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51CF2CE9-6DE3-4195-8180-A4C6392E68A7}"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Print'!$A$1:$H$9</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E257" i="28" l="1"/>
  <c r="E247" i="28"/>
  <c r="L4" i="28"/>
  <c r="L255" i="28" l="1"/>
  <c r="E260" i="28"/>
  <c r="E259" i="28"/>
  <c r="E258" i="28"/>
  <c r="E256" i="28"/>
  <c r="E255" i="28"/>
  <c r="E253" i="28"/>
  <c r="E252" i="28"/>
  <c r="E249" i="28"/>
  <c r="E248" i="28"/>
  <c r="E246" i="28"/>
  <c r="T3" i="29" l="1"/>
  <c r="U3" i="29"/>
  <c r="T4" i="29"/>
  <c r="U4" i="29"/>
  <c r="O3" i="29"/>
  <c r="P3" i="29"/>
  <c r="O4" i="29"/>
  <c r="P4" i="29"/>
  <c r="U2" i="29"/>
  <c r="T2" i="29"/>
  <c r="P2" i="29"/>
  <c r="O2" i="29"/>
  <c r="E100" i="1" l="1"/>
  <c r="E97" i="1"/>
  <c r="E96" i="1"/>
  <c r="E95" i="1"/>
  <c r="E94" i="1"/>
  <c r="E93" i="1"/>
  <c r="E92" i="1"/>
  <c r="E91" i="1"/>
  <c r="E90" i="1"/>
  <c r="E96" i="53" l="1"/>
  <c r="A327" i="1"/>
  <c r="B4" i="80" l="1"/>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M23" i="73" l="1"/>
  <c r="D23" i="73" s="1"/>
  <c r="C281" i="28"/>
  <c r="G87" i="53" l="1"/>
  <c r="L266" i="28" l="1"/>
  <c r="L267" i="28"/>
  <c r="L268" i="28"/>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BC354" i="74" l="1"/>
  <c r="BD354" i="74"/>
  <c r="BE354" i="74"/>
  <c r="BF354" i="74"/>
  <c r="BG354" i="74"/>
  <c r="BH354" i="74"/>
  <c r="BI354" i="74"/>
  <c r="BJ354" i="74"/>
  <c r="BK354" i="74"/>
  <c r="BL354" i="74"/>
  <c r="BM354" i="74"/>
  <c r="BN354" i="74"/>
  <c r="BO354" i="74"/>
  <c r="BP354" i="74"/>
  <c r="BQ354" i="74"/>
  <c r="BR354" i="74"/>
  <c r="BS354" i="74"/>
  <c r="BT354" i="74"/>
  <c r="BU354" i="74"/>
  <c r="BV354" i="74"/>
  <c r="BW354" i="74"/>
  <c r="BX354" i="74"/>
  <c r="BY354" i="74"/>
  <c r="BZ354" i="74"/>
  <c r="CA354" i="74"/>
  <c r="CB354" i="74"/>
  <c r="BC353" i="74"/>
  <c r="BD353" i="74"/>
  <c r="BE353" i="74"/>
  <c r="BF353" i="74"/>
  <c r="BG353" i="74"/>
  <c r="BH353" i="74"/>
  <c r="BI353" i="74"/>
  <c r="BJ353" i="74"/>
  <c r="BK353" i="74"/>
  <c r="BL353" i="74"/>
  <c r="BM353" i="74"/>
  <c r="BN353" i="74"/>
  <c r="BO353" i="74"/>
  <c r="BP353" i="74"/>
  <c r="BQ353" i="74"/>
  <c r="BR353" i="74"/>
  <c r="BS353" i="74"/>
  <c r="BT353" i="74"/>
  <c r="BU353" i="74"/>
  <c r="BV353" i="74"/>
  <c r="BW353" i="74"/>
  <c r="BX353" i="74"/>
  <c r="BY353" i="74"/>
  <c r="BZ353" i="74"/>
  <c r="CA353" i="74"/>
  <c r="CB353" i="74"/>
  <c r="BC352" i="74"/>
  <c r="BD352" i="74"/>
  <c r="BE352" i="74"/>
  <c r="BF352" i="74"/>
  <c r="BG352" i="74"/>
  <c r="BH352" i="74"/>
  <c r="BI352" i="74"/>
  <c r="BJ352" i="74"/>
  <c r="BK352" i="74"/>
  <c r="BL352" i="74"/>
  <c r="BM352" i="74"/>
  <c r="BN352" i="74"/>
  <c r="BO352" i="74"/>
  <c r="BP352" i="74"/>
  <c r="BQ352" i="74"/>
  <c r="BR352" i="74"/>
  <c r="BS352" i="74"/>
  <c r="BT352" i="74"/>
  <c r="BU352" i="74"/>
  <c r="BV352" i="74"/>
  <c r="BW352" i="74"/>
  <c r="BX352" i="74"/>
  <c r="BY352" i="74"/>
  <c r="BZ352" i="74"/>
  <c r="CA352" i="74"/>
  <c r="CB352" i="74"/>
  <c r="BC349" i="74"/>
  <c r="BD349" i="74"/>
  <c r="BE349" i="74"/>
  <c r="BF349" i="74"/>
  <c r="BG349" i="74"/>
  <c r="BH349" i="74"/>
  <c r="BI349" i="74"/>
  <c r="BJ349" i="74"/>
  <c r="BK349" i="74"/>
  <c r="BL349" i="74"/>
  <c r="BM349" i="74"/>
  <c r="BN349" i="74"/>
  <c r="BO349" i="74"/>
  <c r="BP349" i="74"/>
  <c r="BQ349" i="74"/>
  <c r="BR349" i="74"/>
  <c r="BS349" i="74"/>
  <c r="BT349" i="74"/>
  <c r="BU349" i="74"/>
  <c r="BV349" i="74"/>
  <c r="BW349" i="74"/>
  <c r="BX349" i="74"/>
  <c r="BY349" i="74"/>
  <c r="BZ349" i="74"/>
  <c r="CA349" i="74"/>
  <c r="CB349" i="74"/>
  <c r="BC351" i="74"/>
  <c r="BD351" i="74"/>
  <c r="BE351" i="74"/>
  <c r="BF351" i="74"/>
  <c r="BG351" i="74"/>
  <c r="BH351" i="74"/>
  <c r="BI351" i="74"/>
  <c r="BJ351" i="74"/>
  <c r="BK351" i="74"/>
  <c r="BL351" i="74"/>
  <c r="BM351" i="74"/>
  <c r="BN351" i="74"/>
  <c r="BO351" i="74"/>
  <c r="BP351" i="74"/>
  <c r="BQ351" i="74"/>
  <c r="BR351" i="74"/>
  <c r="BS351" i="74"/>
  <c r="BT351" i="74"/>
  <c r="BU351" i="74"/>
  <c r="BV351" i="74"/>
  <c r="BW351" i="74"/>
  <c r="BX351" i="74"/>
  <c r="BY351" i="74"/>
  <c r="BZ351" i="74"/>
  <c r="CA351" i="74"/>
  <c r="CB351" i="74"/>
  <c r="BC348" i="74"/>
  <c r="BD348" i="74"/>
  <c r="BE348" i="74"/>
  <c r="BF348" i="74"/>
  <c r="BG348" i="74"/>
  <c r="BH348" i="74"/>
  <c r="BI348" i="74"/>
  <c r="BJ348" i="74"/>
  <c r="BK348" i="74"/>
  <c r="BL348" i="74"/>
  <c r="BM348" i="74"/>
  <c r="BN348" i="74"/>
  <c r="BO348" i="74"/>
  <c r="BP348" i="74"/>
  <c r="BQ348" i="74"/>
  <c r="BR348" i="74"/>
  <c r="BS348" i="74"/>
  <c r="BT348" i="74"/>
  <c r="BU348" i="74"/>
  <c r="BV348" i="74"/>
  <c r="BW348" i="74"/>
  <c r="BX348" i="74"/>
  <c r="BY348" i="74"/>
  <c r="BZ348" i="74"/>
  <c r="CA348" i="74"/>
  <c r="CB348" i="74"/>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B8" i="71" l="1"/>
  <c r="B12" i="71"/>
  <c r="W243" i="28"/>
  <c r="L253" i="28"/>
  <c r="C253" i="28"/>
  <c r="A253" i="28"/>
  <c r="W253" i="28" l="1"/>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9" i="80" s="1"/>
  <c r="L246" i="28"/>
  <c r="E254" i="28"/>
  <c r="C247" i="28"/>
  <c r="C246" i="28"/>
  <c r="A258" i="28"/>
  <c r="A257" i="28"/>
  <c r="A256" i="28"/>
  <c r="A255" i="28"/>
  <c r="A260" i="28"/>
  <c r="A259" i="28"/>
  <c r="A254" i="28"/>
  <c r="A251" i="28"/>
  <c r="A250" i="28"/>
  <c r="A249" i="28"/>
  <c r="A248" i="28"/>
  <c r="A247" i="28"/>
  <c r="A246" i="28"/>
  <c r="W246" i="28" l="1"/>
  <c r="W260" i="28"/>
  <c r="W192" i="28"/>
  <c r="W247" i="28"/>
  <c r="W255" i="28"/>
  <c r="W191" i="28"/>
  <c r="W248" i="28"/>
  <c r="W249" i="28"/>
  <c r="W257" i="28"/>
  <c r="W254" i="28"/>
  <c r="W250" i="28"/>
  <c r="W258" i="28"/>
  <c r="W161" i="28"/>
  <c r="W244" i="28"/>
  <c r="W259" i="28"/>
  <c r="W193" i="28"/>
  <c r="W256" i="28"/>
  <c r="W251" i="28"/>
  <c r="L254" i="28"/>
  <c r="L259" i="28"/>
  <c r="L258" i="28"/>
  <c r="D8" i="80" s="1"/>
  <c r="F8" i="80" s="1"/>
  <c r="L260" i="28"/>
  <c r="L248" i="28"/>
  <c r="M9" i="80" s="1"/>
  <c r="L249" i="28"/>
  <c r="N9" i="80" s="1"/>
  <c r="L250" i="28"/>
  <c r="L256" i="28"/>
  <c r="L251" i="28"/>
  <c r="L257" i="28"/>
  <c r="D9" i="80" l="1"/>
  <c r="B2" i="73" l="1"/>
  <c r="C9" i="73" s="1"/>
  <c r="C8" i="73" l="1"/>
  <c r="C6" i="73"/>
  <c r="L14" i="73"/>
  <c r="L13" i="73"/>
  <c r="L20" i="73"/>
  <c r="L19" i="73"/>
  <c r="L18" i="73"/>
  <c r="L12" i="73"/>
  <c r="H28" i="53"/>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B3" i="71" l="1"/>
  <c r="B13" i="71"/>
  <c r="B3" i="73"/>
  <c r="Y266" i="28"/>
  <c r="B9" i="73" l="1"/>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M20" i="73" l="1"/>
  <c r="F20" i="73" s="1"/>
  <c r="M14" i="73"/>
  <c r="D14" i="73" s="1"/>
  <c r="D9" i="73"/>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K9" i="73" l="1"/>
  <c r="F9" i="73" s="1"/>
  <c r="D20" i="73"/>
  <c r="G143" i="28"/>
  <c r="F143" i="28"/>
  <c r="D12" i="73"/>
  <c r="F14" i="73"/>
  <c r="D13" i="73"/>
  <c r="F13" i="73" s="1"/>
  <c r="D15" i="73"/>
  <c r="F15" i="73" s="1"/>
  <c r="K8" i="73"/>
  <c r="L8" i="73" s="1"/>
  <c r="E8" i="73"/>
  <c r="K6" i="73"/>
  <c r="L6" i="73"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<sst xmlns="http://schemas.openxmlformats.org/spreadsheetml/2006/main" count="3509" uniqueCount="1715">
  <si>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</si>
  <si>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</si>
  <si>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</si>
  <si>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</si>
  <si>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</si>
  <si>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</si>
  <si>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</si>
  <si>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</si>
  <si>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</si>
  <si>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</si>
  <si>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</si>
  <si>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</si>
  <si>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</si>
  <si>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</si>
  <si>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</si>
  <si>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</si>
  <si>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</si>
  <si>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</si>
  <si>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</si>
  <si>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</si>
  <si>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</si>
  <si>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</si>
  <si>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</si>
  <si>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</si>
  <si>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</si>
  <si>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</si>
  <si>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</si>
  <si>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</si>
  <si>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</si>
  <si>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</si>
  <si>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</si>
  <si>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</si>
  <si>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</si>
  <si>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</si>
  <si>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</si>
  <si>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</si>
  <si>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</si>
  <si>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</si>
  <si>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</si>
  <si>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</si>
  <si>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</si>
  <si>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</si>
  <si>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</si>
  <si>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</si>
  <si>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</si>
  <si>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</si>
  <si>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</si>
  <si>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</si>
  <si>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</si>
  <si>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</si>
  <si>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</si>
  <si>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</si>
  <si>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</si>
  <si>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</si>
  <si>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</si>
  <si>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</si>
  <si>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</si>
  <si>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</si>
  <si>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</si>
  <si>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</si>
  <si>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</si>
  <si>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</si>
  <si>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</si>
  <si>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</si>
  <si>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</si>
  <si>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</si>
  <si>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</si>
  <si>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</si>
  <si>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</si>
  <si>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</si>
  <si>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</si>
  <si>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</si>
  <si>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</si>
  <si>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</si>
  <si>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</si>
  <si>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</si>
  <si>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</si>
  <si>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</si>
  <si>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</si>
  <si>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</si>
  <si>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</si>
  <si>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</si>
  <si>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</si>
  <si>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</si>
  <si>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</si>
  <si>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</si>
  <si>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</si>
  <si>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</si>
  <si>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</si>
  <si>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</si>
  <si>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</si>
  <si>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</si>
  <si>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</si>
  <si>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</si>
  <si>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</si>
  <si>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</si>
  <si>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</si>
  <si>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</si>
  <si>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</si>
  <si>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</si>
  <si>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</si>
  <si>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</si>
  <si>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</si>
  <si>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</si>
  <si>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</si>
  <si>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</si>
  <si>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</si>
  <si>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</si>
  <si>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</si>
  <si>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</si>
  <si>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</si>
  <si>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</si>
  <si>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</si>
  <si>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</si>
  <si>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</si>
  <si>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</si>
  <si>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</si>
  <si>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</si>
  <si>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</si>
  <si>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</si>
  <si>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</si>
  <si>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</si>
  <si>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</si>
  <si>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</si>
  <si>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</si>
  <si>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</si>
  <si>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</si>
  <si>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</si>
  <si>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</si>
  <si>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</si>
  <si>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</si>
  <si>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</si>
  <si>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</si>
  <si>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</si>
  <si>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</si>
  <si>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</si>
  <si>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</si>
  <si>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</si>
  <si>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</si>
  <si>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</si>
  <si>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</si>
  <si>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</si>
  <si>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</si>
  <si>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</si>
  <si>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</si>
  <si>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</si>
  <si>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</si>
  <si>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</si>
  <si>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</si>
  <si>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</si>
  <si>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</si>
  <si>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</si>
  <si>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</si>
  <si>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</si>
  <si>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</si>
  <si>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</si>
  <si>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</si>
  <si>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</si>
  <si>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</si>
  <si>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</si>
  <si>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</si>
  <si>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</si>
  <si>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</si>
  <si>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</si>
  <si>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</si>
  <si>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</si>
  <si>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</si>
  <si>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</si>
  <si>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</si>
  <si>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</si>
  <si>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</si>
  <si>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</si>
  <si>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</si>
  <si>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</si>
  <si>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</si>
  <si>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</si>
  <si>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</si>
  <si>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</si>
  <si>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</si>
  <si>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</si>
  <si>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</si>
  <si>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</si>
  <si>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</si>
  <si>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</si>
  <si>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</si>
  <si>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</si>
  <si>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</si>
  <si>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</si>
  <si>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</si>
  <si>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</si>
  <si>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</si>
  <si>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</si>
  <si>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</si>
  <si>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</si>
  <si>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</si>
  <si>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</si>
  <si>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</si>
  <si>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</si>
  <si>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</si>
  <si>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</si>
  <si>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</si>
  <si>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</si>
  <si>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</si>
  <si>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</si>
  <si>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</si>
  <si>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</si>
  <si>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</si>
  <si>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</si>
  <si>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</si>
  <si>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</si>
  <si>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</si>
  <si>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</si>
  <si>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</si>
  <si>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</si>
  <si>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</si>
  <si>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</si>
  <si>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</si>
  <si>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</si>
  <si>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</si>
  <si>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</si>
  <si>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</si>
  <si>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</si>
  <si>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</si>
  <si>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</si>
  <si>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</si>
  <si>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</si>
  <si>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</si>
  <si>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</si>
  <si>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</si>
  <si>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</si>
  <si>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</si>
  <si>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</si>
  <si>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</si>
  <si>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</si>
  <si>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</si>
  <si>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</si>
  <si>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</si>
  <si>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</si>
  <si>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</si>
  <si>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</si>
  <si>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</si>
  <si>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</si>
  <si>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</si>
  <si>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</si>
  <si>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</si>
  <si>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</si>
  <si>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</si>
  <si>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</si>
  <si>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</si>
  <si>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</si>
  <si>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</si>
  <si>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</si>
  <si>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</si>
  <si>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</si>
  <si>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</si>
  <si>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</si>
  <si>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</si>
  <si>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</si>
  <si>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</si>
  <si>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</si>
  <si>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</si>
  <si>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</si>
  <si>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</si>
  <si>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</si>
  <si>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</si>
  <si>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</si>
  <si>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</si>
  <si>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</si>
  <si>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</si>
  <si>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</si>
  <si>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</si>
  <si>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</si>
  <si>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</si>
  <si>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</si>
  <si>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</si>
  <si>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</si>
  <si>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</si>
  <si>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</si>
  <si>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</si>
  <si>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</si>
  <si>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</si>
  <si>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</si>
  <si>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</si>
  <si>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</si>
  <si>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</si>
  <si>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</si>
  <si>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</si>
  <si>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</si>
  <si>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</si>
  <si>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</si>
  <si>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</si>
  <si>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</si>
  <si>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</si>
  <si>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</si>
  <si>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</si>
  <si>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</si>
  <si>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</si>
  <si>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</si>
  <si>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</si>
  <si>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</si>
  <si>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</si>
  <si>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</si>
  <si>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</si>
  <si>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</si>
  <si>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</si>
  <si>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</si>
  <si>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</si>
  <si>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</si>
  <si>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</si>
  <si>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</si>
  <si>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</si>
  <si>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</si>
  <si>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</si>
  <si>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</si>
  <si>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</si>
  <si>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</si>
  <si>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</si>
  <si>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</si>
  <si>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</si>
  <si>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</si>
  <si>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</si>
  <si>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</si>
  <si>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</si>
  <si>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</si>
  <si>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</si>
  <si>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</si>
  <si>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</si>
  <si>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</si>
  <si>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</si>
  <si>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</si>
  <si>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</si>
  <si>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</si>
  <si>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</si>
  <si>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</si>
  <si>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</si>
  <si>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</si>
  <si>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</si>
  <si>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</si>
  <si>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</si>
  <si>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</si>
  <si>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</si>
  <si>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</si>
  <si>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</si>
  <si>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</si>
  <si>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</si>
  <si>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</si>
  <si>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</si>
  <si>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</si>
  <si>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</si>
  <si>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</si>
  <si>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</si>
  <si>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</si>
  <si>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</si>
  <si>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</si>
  <si>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</si>
  <si>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</si>
  <si>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</si>
  <si>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</si>
  <si>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</si>
  <si>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</si>
  <si>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</si>
  <si>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</si>
  <si>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</si>
  <si>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</si>
  <si>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</si>
  <si>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</si>
  <si>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</si>
  <si>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</si>
  <si>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</si>
  <si>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</si>
  <si>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</si>
  <si>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</si>
  <si>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</si>
  <si>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</si>
  <si>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</si>
  <si>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</si>
  <si>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</si>
  <si>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</si>
  <si>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</si>
  <si>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</si>
  <si>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</si>
  <si>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</si>
  <si>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</si>
  <si>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</si>
  <si>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</si>
  <si>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</si>
  <si>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</si>
  <si>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</si>
  <si>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</si>
  <si>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</si>
  <si>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</si>
  <si>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</si>
  <si>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</si>
  <si>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</si>
  <si>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</si>
  <si>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</si>
  <si>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</si>
  <si>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</si>
  <si>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</si>
  <si>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</si>
  <si>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</si>
  <si>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</si>
  <si>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</si>
  <si>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</si>
  <si>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</si>
  <si>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</si>
  <si>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</si>
  <si>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</si>
  <si>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</si>
  <si>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</si>
  <si>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</si>
  <si>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</si>
  <si>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</si>
  <si>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</si>
  <si>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</si>
  <si>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</si>
  <si>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</si>
  <si>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</si>
  <si>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</si>
  <si>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</si>
  <si>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</si>
  <si>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</si>
  <si>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</si>
  <si>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</si>
  <si>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</si>
  <si>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</si>
  <si>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</si>
  <si>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</si>
  <si>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</si>
  <si>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</si>
  <si>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</si>
  <si>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</si>
  <si>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</si>
  <si>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</si>
  <si>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</si>
  <si>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</si>
  <si>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</si>
  <si>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</si>
  <si>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</si>
  <si>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</si>
  <si>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</si>
  <si>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</si>
  <si>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</si>
  <si>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</si>
  <si>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</si>
  <si>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</si>
  <si>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</si>
  <si>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</si>
  <si>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</si>
  <si>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</si>
  <si>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</si>
  <si>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</si>
  <si>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</si>
  <si>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</si>
  <si>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</si>
  <si>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</si>
  <si>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</si>
  <si>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</si>
  <si>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</si>
  <si>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</si>
  <si>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</si>
  <si>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</si>
  <si>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</si>
  <si>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</si>
  <si>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</si>
  <si>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</si>
  <si>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</si>
  <si>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</si>
  <si>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</si>
  <si>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</si>
  <si>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</si>
  <si>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</si>
  <si>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</si>
  <si>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</si>
  <si>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</si>
  <si>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</si>
  <si>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</si>
  <si>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</si>
  <si>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</si>
  <si>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</si>
  <si>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</si>
  <si>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</si>
  <si>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</si>
  <si>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</si>
  <si>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</si>
  <si>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</si>
  <si>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</si>
  <si>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</si>
  <si>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</si>
  <si>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</si>
  <si>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</si>
  <si>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</si>
  <si>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</si>
  <si>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</si>
  <si>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</si>
  <si>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</si>
  <si>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</si>
  <si>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</si>
  <si>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</si>
  <si>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</si>
  <si>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</si>
  <si>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</si>
  <si>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</si>
  <si>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</si>
  <si>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</si>
  <si>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</si>
  <si>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</si>
  <si>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</si>
  <si>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</si>
  <si>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</si>
  <si>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</si>
  <si>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</si>
  <si>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</si>
  <si>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</si>
  <si>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</si>
  <si>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</si>
  <si>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</si>
  <si>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</si>
  <si>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</si>
  <si>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</si>
  <si>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</si>
  <si>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</si>
  <si>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</si>
  <si>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</si>
  <si>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</si>
  <si>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</si>
  <si>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</si>
  <si>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</si>
  <si>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</si>
  <si>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</si>
  <si>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</si>
  <si>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</si>
  <si>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</si>
  <si>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</si>
  <si>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</si>
  <si>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</si>
  <si>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</si>
  <si>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</si>
  <si>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</si>
  <si>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</si>
  <si>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</si>
  <si>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</si>
  <si>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</si>
  <si>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</si>
  <si>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</si>
  <si>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</si>
  <si>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</si>
  <si>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</si>
  <si>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</si>
  <si>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</si>
  <si>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</si>
  <si>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</si>
  <si>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</si>
  <si>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</si>
  <si>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</si>
  <si>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</si>
  <si>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</si>
  <si>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</si>
  <si>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</si>
  <si>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</si>
  <si>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</si>
  <si>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</si>
  <si>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CCH 551</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</si>
  <si>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</si>
  <si>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</si>
  <si>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</si>
  <si>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</si>
  <si>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</si>
  <si>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</si>
  <si>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</si>
  <si>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</si>
  <si>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</si>
  <si>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</si>
  <si>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</si>
  <si>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</si>
  <si>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</si>
  <si>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</si>
  <si>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</si>
  <si>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</si>
  <si>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</si>
  <si>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</si>
  <si>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</si>
  <si>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</si>
  <si>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</si>
  <si>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</si>
  <si>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</si>
  <si>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</si>
  <si>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</si>
  <si>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</si>
  <si>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</si>
  <si>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</si>
  <si>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</si>
  <si>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</si>
  <si>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</si>
  <si>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</si>
  <si>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</si>
  <si>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</si>
  <si>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</si>
  <si>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WS-EF- Accumulated Infrastructure Deprec Expense</t>
  </si>
  <si>
    <t>GA- Total Program revenues (SOA)</t>
  </si>
  <si>
    <t>GA- Total Net transfers in(out) (SOA)</t>
  </si>
  <si>
    <t>WS-EF- Total depreciable capital assets, gross</t>
  </si>
  <si>
    <t>WS-EF- Total Accum Deprec on all capital assets.</t>
  </si>
  <si>
    <t>GF- Restricted cash &amp; investments</t>
  </si>
  <si>
    <t>Yes  or "1" indicates unit has defined benefit other than the ones adm. By the state</t>
  </si>
  <si>
    <t>CCH 577</t>
  </si>
  <si>
    <t>EF-Advance From - Liability</t>
  </si>
  <si>
    <t>CCH 580</t>
  </si>
  <si>
    <t>EF-Advance To - Asset</t>
  </si>
  <si>
    <t>CCH 581</t>
  </si>
  <si>
    <t>County only-timber receipts sent to the schools</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</si>
  <si>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</si>
  <si>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</si>
  <si>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</si>
  <si>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</si>
  <si>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</si>
  <si>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</si>
  <si>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</si>
  <si>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</si>
  <si>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</si>
  <si>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</si>
  <si>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</si>
  <si>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</si>
  <si>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</si>
  <si>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</si>
  <si>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</si>
  <si>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</si>
  <si>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</si>
  <si>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</si>
  <si>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</si>
  <si>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</si>
  <si>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</si>
  <si>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</si>
  <si>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</si>
  <si>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</si>
  <si>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</si>
  <si>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</si>
  <si>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</si>
  <si>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</si>
  <si>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</si>
  <si>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</si>
  <si>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</si>
  <si>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</si>
  <si>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</si>
  <si>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</si>
  <si>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</si>
  <si>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</si>
  <si>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</si>
  <si>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</si>
  <si>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</si>
  <si>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</si>
  <si>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</si>
  <si>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</si>
  <si>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</si>
  <si>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</si>
  <si>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</si>
  <si>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</si>
  <si>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</si>
  <si>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</si>
  <si>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</si>
  <si>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</si>
  <si>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</si>
  <si>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</si>
  <si>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</si>
  <si>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</si>
  <si>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</si>
  <si>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</si>
  <si>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</si>
  <si>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</si>
  <si>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</si>
  <si>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</si>
  <si>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</si>
  <si>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</si>
  <si>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</si>
  <si>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</si>
  <si>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</si>
  <si>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</si>
  <si>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</si>
  <si>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</si>
  <si>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</si>
  <si>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</si>
  <si>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</si>
  <si>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</si>
  <si>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</si>
  <si>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</si>
  <si>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</si>
  <si>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</si>
  <si>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</si>
  <si>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</si>
  <si>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</si>
  <si>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</si>
  <si>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</si>
  <si>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</si>
  <si>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</si>
  <si>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</si>
  <si>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</si>
  <si>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</si>
  <si>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</si>
  <si>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</si>
  <si>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</si>
  <si>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</si>
  <si>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</si>
  <si>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</si>
  <si>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</si>
  <si>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</si>
  <si>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</si>
  <si>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</si>
  <si>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</si>
  <si>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</si>
  <si>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</si>
  <si>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</si>
  <si>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</si>
  <si>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</si>
  <si>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</si>
  <si>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</si>
  <si>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</si>
  <si>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</si>
  <si>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</si>
  <si>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</si>
  <si>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</si>
  <si>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</si>
  <si>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</si>
  <si>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</si>
  <si>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</si>
  <si>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</si>
  <si>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</si>
  <si>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</si>
  <si>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</si>
  <si>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</si>
  <si>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</si>
  <si>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</si>
  <si>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</si>
  <si>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</si>
  <si>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</si>
  <si>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</si>
  <si>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</si>
  <si>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</si>
  <si>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</si>
  <si>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</si>
  <si>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</si>
  <si>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</si>
  <si>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</si>
  <si>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</si>
  <si>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</si>
  <si>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</si>
  <si>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</si>
  <si>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</si>
  <si>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</si>
  <si>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</si>
  <si>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</si>
  <si>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</si>
  <si>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</si>
  <si>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</si>
  <si>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</si>
  <si>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</si>
  <si>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</si>
  <si>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</si>
  <si>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</si>
  <si>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</si>
  <si>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</si>
  <si>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</si>
  <si>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</si>
  <si>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</si>
  <si>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</si>
  <si>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</si>
  <si>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</si>
  <si>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</si>
  <si>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</si>
  <si>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 Bridge</t>
  </si>
  <si>
    <t>Lumberton</t>
  </si>
  <si>
    <t>Macclesfield</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</si>
  <si>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</si>
  <si>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</si>
  <si>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</si>
  <si>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</si>
  <si>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</si>
  <si>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</si>
  <si>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</si>
  <si>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</si>
  <si>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</si>
  <si>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</si>
  <si>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</si>
  <si>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</si>
  <si>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</si>
  <si>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</si>
  <si>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</si>
  <si>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</si>
  <si>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</si>
  <si>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</si>
  <si>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</si>
  <si>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</si>
  <si>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Hospital-EF- Change in Net Assets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</si>
  <si>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</si>
  <si>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</si>
  <si>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</si>
  <si>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</si>
  <si>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</si>
  <si>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</si>
  <si>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</si>
  <si>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</si>
  <si>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</si>
  <si>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</si>
  <si>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</si>
  <si>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</si>
  <si>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</si>
  <si>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</si>
  <si>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</si>
  <si>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</si>
  <si>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</si>
  <si>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</si>
  <si>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</si>
  <si>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</si>
  <si>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</si>
  <si>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</si>
  <si>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</si>
  <si>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</si>
  <si>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</si>
  <si>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</si>
  <si>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</si>
  <si>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</si>
  <si>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</si>
  <si>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</si>
  <si>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</si>
  <si>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</si>
  <si>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</si>
  <si>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</si>
  <si>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</si>
  <si>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</si>
  <si>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</si>
  <si>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</si>
  <si>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</si>
  <si>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</si>
  <si>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</si>
  <si>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</si>
  <si>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</si>
  <si>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</si>
  <si>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</si>
  <si>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</si>
  <si>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</si>
  <si>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</si>
  <si>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</si>
  <si>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</si>
  <si>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</si>
  <si>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</si>
  <si>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</si>
  <si>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</si>
  <si>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</si>
  <si>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</si>
  <si>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</si>
  <si>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</si>
  <si>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</si>
  <si>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</si>
  <si>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</si>
  <si>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</si>
  <si>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</si>
  <si>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</si>
  <si>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</si>
  <si>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</si>
  <si>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</si>
  <si>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</si>
  <si>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</si>
  <si>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</si>
  <si>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</si>
  <si>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</si>
  <si>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</si>
  <si>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</si>
  <si>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</si>
  <si>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</si>
  <si>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</si>
  <si>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</si>
  <si>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</si>
  <si>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</si>
  <si>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</si>
  <si>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</si>
  <si>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</si>
  <si>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</si>
  <si>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</si>
  <si>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</si>
  <si>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</si>
  <si>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</si>
  <si>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</si>
  <si>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</si>
  <si>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</si>
  <si>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</si>
  <si>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</si>
  <si>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</si>
  <si>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</si>
  <si>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</si>
  <si>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</si>
  <si>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</si>
  <si>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</si>
  <si>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</si>
  <si>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</si>
  <si>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</si>
  <si>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</si>
  <si>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</si>
  <si>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</si>
  <si>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</si>
  <si>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</si>
  <si>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</si>
  <si>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</si>
  <si>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</si>
  <si>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</si>
  <si>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</si>
  <si>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</si>
  <si>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</si>
  <si>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</si>
  <si>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</si>
  <si>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</si>
  <si>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</si>
  <si>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</si>
  <si>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</si>
  <si>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</si>
  <si>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</si>
  <si>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</si>
  <si>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</si>
  <si>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</si>
  <si>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</si>
  <si>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</si>
  <si>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</si>
  <si>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</si>
  <si>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</si>
  <si>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</si>
  <si>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</si>
  <si>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</si>
  <si>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</si>
  <si>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</si>
  <si>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</si>
  <si>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</si>
  <si>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</si>
  <si>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</si>
  <si>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</si>
  <si>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</si>
  <si>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</si>
  <si>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</si>
  <si>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</si>
  <si>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</si>
  <si>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</si>
  <si>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</si>
  <si>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</si>
  <si>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</si>
  <si>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</si>
  <si>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</si>
  <si>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</si>
  <si>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</si>
  <si>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</si>
  <si>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</si>
  <si>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</si>
  <si>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</si>
  <si>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</si>
  <si>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</si>
  <si>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</si>
  <si>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</si>
  <si>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</si>
  <si>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</si>
  <si>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</si>
  <si>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</si>
  <si>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</si>
  <si>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</si>
  <si>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</si>
  <si>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</si>
  <si>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</si>
  <si>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</si>
  <si>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</si>
  <si>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</si>
  <si>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</si>
  <si>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</si>
  <si>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</si>
  <si>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</si>
  <si>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</si>
  <si>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</si>
  <si>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</si>
  <si>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</si>
  <si>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</si>
  <si>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</si>
  <si>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</si>
  <si>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</si>
  <si>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</si>
  <si>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</si>
  <si>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</si>
  <si>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</si>
  <si>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</si>
  <si>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</si>
  <si>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</si>
  <si>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</si>
  <si>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</si>
  <si>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</si>
  <si>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</si>
  <si>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</si>
  <si>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</si>
  <si>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</si>
  <si>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</si>
  <si>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</si>
  <si>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</si>
  <si>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</si>
  <si>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</si>
  <si>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</si>
  <si>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</si>
  <si>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</si>
  <si>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</si>
  <si>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</si>
  <si>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</si>
  <si>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</si>
  <si>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</si>
  <si>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</si>
  <si>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</si>
  <si>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</si>
  <si>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</si>
  <si>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</si>
  <si>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</si>
  <si>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</si>
  <si>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</si>
  <si>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</si>
  <si>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</si>
  <si>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</si>
  <si>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</si>
  <si>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</si>
  <si>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</si>
  <si>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</si>
  <si>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</si>
  <si>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</si>
  <si>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</si>
  <si>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</si>
  <si>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</si>
  <si>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</si>
  <si>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</si>
  <si>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</si>
  <si>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</si>
  <si>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</si>
  <si>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Unit Data from Audit worksheet tab : 80/(85+351-49+331)</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</si>
  <si>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</si>
  <si>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</si>
  <si>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</si>
  <si>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</si>
  <si>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</si>
  <si>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</si>
  <si>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</si>
  <si>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</si>
  <si>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</si>
  <si>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</si>
  <si>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</si>
  <si>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</si>
  <si>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</si>
  <si>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</si>
  <si>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</si>
  <si>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</si>
  <si>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</si>
  <si>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</si>
  <si>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</si>
  <si>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</si>
  <si>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</si>
  <si>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</si>
  <si>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</si>
  <si>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</si>
  <si>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</si>
  <si>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</si>
  <si>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</si>
  <si>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</si>
  <si>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</si>
  <si>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</si>
  <si>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</si>
  <si>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</si>
  <si>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</si>
  <si>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</si>
  <si>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</si>
  <si>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</si>
  <si>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</si>
  <si>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</si>
  <si>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</si>
  <si>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</si>
  <si>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</si>
  <si>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</si>
  <si>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</si>
  <si>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</si>
  <si>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</si>
  <si>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</si>
  <si>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</si>
  <si>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</si>
  <si>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</si>
  <si>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</si>
  <si>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</si>
  <si>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</si>
  <si>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</si>
  <si>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</si>
  <si>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</si>
  <si>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</si>
  <si>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</si>
  <si>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</si>
  <si>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</si>
  <si>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</si>
  <si>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</si>
  <si>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</si>
  <si>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</si>
  <si>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</si>
  <si>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</si>
  <si>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</si>
  <si>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</si>
  <si>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</si>
  <si>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</si>
  <si>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</si>
  <si>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</si>
  <si>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</si>
  <si>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</si>
  <si>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</si>
  <si>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</si>
  <si>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</si>
  <si>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</si>
  <si>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</si>
  <si>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</si>
  <si>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</si>
  <si>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</si>
  <si>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</si>
  <si>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</si>
  <si>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</si>
  <si>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</si>
  <si>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</si>
  <si>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</si>
  <si>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</si>
  <si>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</si>
  <si>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</si>
  <si>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</si>
  <si>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</si>
  <si>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</si>
  <si>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</si>
  <si>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</si>
  <si>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</si>
  <si>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</si>
  <si>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</si>
  <si>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</si>
  <si>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</si>
  <si>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</si>
  <si>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</si>
  <si>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</si>
  <si>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</si>
  <si>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</si>
  <si>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</si>
  <si>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</si>
  <si>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</si>
  <si>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</si>
  <si>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</si>
  <si>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</si>
  <si>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</si>
  <si>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</si>
  <si>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</si>
  <si>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</si>
  <si>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</si>
  <si>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</si>
  <si>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</si>
  <si>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</si>
  <si>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</si>
  <si>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</si>
  <si>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</si>
  <si>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</si>
  <si>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</si>
  <si>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</si>
  <si>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</si>
  <si>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</si>
  <si>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</si>
  <si>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</si>
  <si>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</si>
  <si>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</si>
  <si>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</si>
  <si>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</si>
  <si>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</si>
  <si>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</si>
  <si>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</si>
  <si>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</si>
  <si>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</si>
  <si>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</si>
  <si>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</si>
  <si>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</si>
  <si>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</si>
  <si>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</si>
  <si>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</si>
  <si>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</si>
  <si>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</si>
  <si>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</si>
  <si>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</si>
  <si>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</si>
  <si>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</si>
  <si>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</si>
  <si>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</si>
  <si>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</si>
  <si>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</si>
  <si>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</si>
  <si>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</si>
  <si>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34% -- Average of similar units is 68%</t>
  </si>
  <si>
    <t>25% -- Average of similar units is 50%</t>
  </si>
  <si>
    <t>71% -- Average of similar units is 142%</t>
  </si>
  <si>
    <t>100 -- Average of similar units is 300%</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</si>
  <si>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</si>
  <si>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</si>
  <si>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</si>
  <si>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</si>
  <si>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</si>
  <si>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</si>
  <si>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</si>
  <si>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</si>
  <si>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</si>
  <si>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</si>
  <si>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</si>
  <si>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</si>
  <si>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</si>
  <si>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</si>
  <si>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</si>
  <si>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</si>
  <si>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</si>
  <si>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</si>
  <si>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</si>
  <si>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</si>
  <si>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</si>
  <si>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</si>
  <si>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</si>
  <si>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</si>
  <si>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</si>
  <si>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</si>
  <si>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</si>
  <si>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</si>
  <si>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</si>
  <si>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</si>
  <si>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</si>
  <si>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</si>
  <si>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</si>
  <si>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</si>
  <si>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</si>
  <si>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</si>
  <si>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</si>
  <si>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</si>
  <si>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</si>
  <si>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</si>
  <si>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</si>
  <si>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</si>
  <si>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</si>
  <si>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</si>
  <si>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</si>
  <si>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</si>
  <si>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</si>
  <si>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</si>
  <si>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</si>
  <si>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</si>
  <si>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</si>
  <si>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</si>
  <si>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</si>
  <si>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</si>
  <si>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</si>
  <si>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</si>
  <si>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</si>
  <si>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</si>
  <si>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</si>
  <si>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</si>
  <si>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</si>
  <si>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</si>
  <si>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</si>
  <si>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</si>
  <si>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</si>
  <si>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</si>
  <si>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</si>
  <si>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</si>
  <si>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</si>
  <si>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</si>
  <si>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</si>
  <si>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</si>
  <si>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</si>
  <si>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</si>
  <si>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</si>
  <si>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</si>
  <si>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</si>
  <si>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</si>
  <si>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</si>
  <si>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</si>
  <si>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</si>
  <si>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</si>
  <si>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</si>
  <si>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</si>
  <si>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</si>
  <si>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</si>
  <si>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</si>
  <si>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</si>
  <si>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</si>
  <si>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</si>
  <si>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</si>
  <si>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</si>
  <si>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</si>
  <si>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</si>
  <si>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</si>
  <si>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</si>
  <si>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</si>
  <si>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</si>
  <si>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</si>
  <si>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</si>
  <si>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</si>
  <si>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</si>
  <si>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</si>
  <si>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</si>
  <si>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</si>
  <si>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</si>
  <si>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</si>
  <si>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</si>
  <si>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</si>
  <si>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</si>
  <si>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</si>
  <si>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</si>
  <si>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</si>
  <si>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</si>
  <si>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</si>
  <si>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</si>
  <si>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</si>
  <si>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</si>
  <si>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</si>
  <si>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</si>
  <si>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</si>
  <si>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</si>
  <si>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</si>
  <si>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</si>
  <si>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</si>
  <si>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</si>
  <si>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</si>
  <si>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</si>
  <si>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</si>
  <si>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</si>
  <si>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</si>
  <si>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</si>
  <si>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</si>
  <si>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</si>
  <si>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</si>
  <si>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</si>
  <si>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</si>
  <si>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</si>
  <si>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</si>
  <si>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</si>
  <si>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</si>
  <si>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</si>
  <si>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</si>
  <si>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</si>
  <si>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</si>
  <si>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</si>
  <si>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</si>
  <si>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</si>
  <si>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</si>
  <si>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</si>
  <si>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</si>
  <si>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</si>
  <si>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</si>
  <si>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</si>
  <si>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</si>
  <si>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</si>
  <si>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</si>
  <si>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</si>
  <si>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</si>
  <si>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</si>
  <si>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</si>
  <si>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</si>
  <si>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</si>
  <si>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</si>
  <si>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</si>
  <si>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</si>
  <si>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</si>
  <si>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</si>
  <si>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</si>
  <si>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</si>
  <si>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</si>
  <si>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</si>
  <si>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</si>
  <si>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</si>
  <si>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</si>
  <si>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</si>
  <si>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</si>
  <si>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</si>
  <si>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</si>
  <si>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</si>
  <si>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</si>
  <si>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</si>
  <si>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</si>
  <si>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</si>
  <si>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</si>
  <si>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</si>
  <si>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</si>
  <si>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</si>
  <si>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</si>
  <si>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</si>
  <si>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</si>
  <si>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</si>
  <si>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</si>
  <si>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</si>
  <si>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</si>
  <si>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</si>
  <si>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</si>
  <si>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</si>
  <si>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</si>
  <si>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</si>
  <si>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</si>
  <si>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</si>
  <si>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</si>
  <si>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</si>
  <si>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</si>
  <si>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</si>
  <si>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</si>
  <si>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</si>
  <si>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</si>
  <si>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</si>
  <si>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</si>
  <si>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</si>
  <si>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</si>
  <si>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</si>
  <si>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</si>
  <si>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</si>
  <si>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</si>
  <si>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</si>
  <si>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</si>
  <si>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</si>
  <si>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</si>
  <si>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</si>
  <si>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</si>
  <si>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</si>
  <si>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</si>
  <si>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</si>
  <si>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</si>
  <si>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</si>
  <si>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</si>
  <si>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</si>
  <si>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</si>
  <si>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</si>
  <si>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</si>
  <si>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</si>
  <si>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</si>
  <si>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</si>
  <si>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</si>
  <si>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</si>
  <si>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</si>
  <si>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</si>
  <si>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</si>
  <si>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</si>
  <si>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</si>
  <si>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</si>
  <si>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</si>
  <si>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</si>
  <si>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</si>
  <si>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</si>
  <si>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</si>
  <si>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</si>
  <si>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</si>
  <si>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</si>
  <si>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</si>
  <si>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</si>
  <si>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</si>
  <si>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</si>
  <si>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</si>
  <si>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</si>
  <si>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</si>
  <si>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</si>
  <si>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</si>
  <si>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</si>
  <si>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</si>
  <si>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</si>
  <si>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</si>
  <si>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</si>
  <si>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</si>
  <si>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</si>
  <si>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</si>
  <si>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</si>
  <si>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</si>
  <si>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</si>
  <si>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</si>
  <si>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</si>
  <si>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</si>
  <si>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</si>
  <si>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</si>
  <si>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</si>
  <si>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</si>
  <si>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</si>
  <si>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</si>
  <si>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</si>
  <si>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</si>
  <si>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</si>
  <si>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</si>
  <si>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</si>
  <si>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</si>
  <si>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</si>
  <si>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</si>
  <si>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</si>
  <si>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</si>
  <si>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</si>
  <si>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</si>
  <si>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</si>
  <si>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</si>
  <si>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</si>
  <si>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</si>
  <si>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</si>
  <si>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</si>
  <si>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</si>
  <si>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</si>
  <si>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</si>
  <si>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</si>
  <si>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</si>
  <si>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</si>
  <si>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</si>
  <si>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</si>
  <si>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</si>
  <si>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</si>
  <si>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</si>
  <si>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</si>
  <si>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</si>
  <si>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</si>
  <si>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</si>
  <si>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</si>
  <si>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</si>
  <si>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</si>
  <si>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</si>
  <si>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</si>
  <si>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</si>
  <si>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</si>
  <si>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</si>
  <si>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</si>
  <si>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</si>
  <si>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</si>
  <si>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</si>
  <si>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</si>
  <si>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</si>
  <si>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</si>
  <si>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</si>
  <si>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</si>
  <si>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</si>
  <si>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</si>
  <si>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</si>
  <si>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</si>
  <si>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</si>
  <si>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</si>
  <si>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</si>
  <si>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</si>
  <si>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</si>
  <si>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</si>
  <si>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</si>
  <si>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</si>
  <si>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</si>
  <si>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</si>
  <si>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</si>
  <si>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</si>
  <si>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</si>
  <si>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</si>
  <si>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</si>
  <si>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</si>
  <si>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</si>
  <si>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</si>
  <si>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</si>
  <si>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</si>
  <si>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</si>
  <si>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</si>
  <si>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</si>
  <si>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</si>
  <si>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</si>
  <si>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</si>
  <si>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</si>
  <si>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</si>
  <si>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</si>
  <si>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</si>
  <si>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</si>
  <si>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</si>
  <si>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</si>
  <si>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</si>
  <si>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</si>
  <si>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</si>
  <si>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</si>
  <si>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</si>
  <si>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</si>
  <si>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2021</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</si>
  <si>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</si>
  <si>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</si>
  <si>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</si>
  <si>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</si>
  <si>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</si>
  <si>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</si>
  <si>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</si>
  <si>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</si>
  <si>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</si>
  <si>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</si>
  <si>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</si>
  <si>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Murphy Power Board</t>
  </si>
  <si>
    <t>North Carolina Eastern Municipal Power Agency</t>
  </si>
  <si>
    <t>North Carolina Municipal Power Agency #1</t>
  </si>
  <si>
    <t>2019 Data Input</t>
  </si>
  <si>
    <t>GF- Encumbrances in fund balance</t>
  </si>
  <si>
    <t>GF- Inventory/prepaids in fund balance</t>
  </si>
  <si>
    <t>GF- Total Fund Balance per report</t>
  </si>
  <si>
    <t>GF- Powell Bill in FBA</t>
  </si>
  <si>
    <t>GF- Total revenues</t>
  </si>
  <si>
    <t>GF- Transfers In (incl. CU)</t>
  </si>
  <si>
    <t>GF- Transfers Out (incl. CU)</t>
  </si>
  <si>
    <t>GF- Other items.</t>
  </si>
  <si>
    <t>GF-net change in fund balance</t>
  </si>
  <si>
    <t>WS-EF- Depreciation &amp; Amort. Expense</t>
  </si>
  <si>
    <t>WS-EF- Cash Flow from Operating Activities</t>
  </si>
  <si>
    <t>E-EF- Depreciation &amp; Amort. Expense</t>
  </si>
  <si>
    <t>E-EF- Cash Flow from Operating Activities</t>
  </si>
  <si>
    <t>Tax Collection Rate- UNIT-WIDE</t>
  </si>
  <si>
    <t>WS-EF- Unrestricted Cash &amp; Investments</t>
  </si>
  <si>
    <t>WS-EF- Customer Accounts Receivable, net (billed &amp; unbilled)</t>
  </si>
  <si>
    <t>WS-EF- Total LT Debt (ST &amp;LT; External debt only; No Comp Abs, Pension, OPEB)</t>
  </si>
  <si>
    <t>WS-EF- Total Operating Revenues</t>
  </si>
  <si>
    <t>WS-EF- Total Operating Expenses</t>
  </si>
  <si>
    <t>WS-EF- Charges For Services</t>
  </si>
  <si>
    <t>WS-EF- Interest Expense</t>
  </si>
  <si>
    <t>E-EF- Unrestricted Cash and Investments</t>
  </si>
  <si>
    <t>E-EF- Customer Accounts Receivable (net)</t>
  </si>
  <si>
    <t>E-EF- Total Operating Revenues</t>
  </si>
  <si>
    <t>E-EF- Total Operating Expenses</t>
  </si>
  <si>
    <t>E-EF- Charges for Services</t>
  </si>
  <si>
    <t>E-EF- Interest expense</t>
  </si>
  <si>
    <t>E-EF- Electrical Power Purchases</t>
  </si>
  <si>
    <t>E-EF- Principal paid on LTD</t>
  </si>
  <si>
    <t>E-EF- Capital Outlay (SCF)</t>
  </si>
  <si>
    <t>Tax Collection Rate - Excluding Motor Vehicles</t>
  </si>
  <si>
    <t>Tax Collection Rate - Motor Vehicles</t>
  </si>
  <si>
    <t>City &amp; County- Debt Service for Governmental Funds (prin &amp; int)</t>
  </si>
  <si>
    <t>WS-EF- Capital contributions (only positive)</t>
  </si>
  <si>
    <t>E-EF- Capital contributions (only positive)</t>
  </si>
  <si>
    <t>GA-change in net assets</t>
  </si>
  <si>
    <t>OPEB- Net OPEB obligation, ending</t>
  </si>
  <si>
    <t>OPEB- Annual OPEB cost(expense)</t>
  </si>
  <si>
    <t>OPEB- Total UAAL (unfunded actuarial accrued liability)</t>
  </si>
  <si>
    <t>OPEB- ARC (annual required contribution)</t>
  </si>
  <si>
    <t>OPEB- UAAL as % of covered payroll</t>
  </si>
  <si>
    <t>WS-EF- Land and intangibles</t>
  </si>
  <si>
    <t>WS-EF- CIP (construction in progress)</t>
  </si>
  <si>
    <t>WS-EF- Principal paid on LTD</t>
  </si>
  <si>
    <t>WS-EF- Capital Outlay</t>
  </si>
  <si>
    <t>GA- Total Unrestricted Cash &amp; Investments (SNA)</t>
  </si>
  <si>
    <t>GA- Total Depreciable capital assets, gross (no non-depreciable CA)</t>
  </si>
  <si>
    <t>GA- Current liabilities (Inc. UR, LTD, ISF)(Ex. BANs, Comp Abs, Pension, OPEB, Payables from Rest. Assets)</t>
  </si>
  <si>
    <t>GA- Total LTD (ST &amp;LT, include BANs; No Comp Abs, Pension, OPEB)(Notes)</t>
  </si>
  <si>
    <t>GA- Total Charges for services (SOA)</t>
  </si>
  <si>
    <t>GA- Total General revenues (No transfers, special, extraordinary items)(SOA)</t>
  </si>
  <si>
    <t>GA- Principal paid on LT Debt (Notes)</t>
  </si>
  <si>
    <t>GA- Interest of LTD (SOA)</t>
  </si>
  <si>
    <t>WS-EF- Total non-operating revenue only (exclude Capital Contributions)</t>
  </si>
  <si>
    <t>WS-EF- Total non-operating expense only</t>
  </si>
  <si>
    <t>WS-EF- Total transfers in</t>
  </si>
  <si>
    <t>WS-EF- Total transfers out (include PILOTS)</t>
  </si>
  <si>
    <t>E-EF- Total depreciable capital assets, gross</t>
  </si>
  <si>
    <t>E-EF- Total Accum Deprec on all capital assets.</t>
  </si>
  <si>
    <t>E-EF- Total LT Debt (ST &amp;LT; External debt only; No Comp Abs, Pension, OPEB)</t>
  </si>
  <si>
    <t>E-EF- Total non-operating revenue only (exclude Capital Contributions)</t>
  </si>
  <si>
    <t>E-EF- Total non-operating expense only</t>
  </si>
  <si>
    <t>E-EF- Total transfers in</t>
  </si>
  <si>
    <t>E-EF- Total transfers out (includes PILOTS)</t>
  </si>
  <si>
    <t>GF- Liabilities payable from restricted assets</t>
  </si>
  <si>
    <t>GF- Total Intergovernmental revenue (Rest &amp; Unrest)</t>
  </si>
  <si>
    <t>GF- Principal &amp; interest paid on LT debt (Exh. 4)</t>
  </si>
  <si>
    <t>GF- Transfers out to Debt Service Fund</t>
  </si>
  <si>
    <t>GA- Total accum. deprec. on all capital assets</t>
  </si>
  <si>
    <t>WS-EF- Total net assets, unrestricted</t>
  </si>
  <si>
    <t>WS-EF- Unearned revenue.</t>
  </si>
  <si>
    <t>GA- Transfers In (SOA)</t>
  </si>
  <si>
    <t>GA- Transfers Out (SOA)</t>
  </si>
  <si>
    <t>GA- Total Expenses (SOA)</t>
  </si>
  <si>
    <t>GA- extraordinary &amp; special items (SOA)</t>
  </si>
  <si>
    <t>GF- Restricted for Stablization by State Statute</t>
  </si>
  <si>
    <t>Governmental Activities-All restricted cash and investmetns</t>
  </si>
  <si>
    <t>Gen Fund - Total Expenditures (w/o Neg Refund)</t>
  </si>
  <si>
    <t>Gen Fund - Proceeds from LTD (w/o Pos Refund)</t>
  </si>
  <si>
    <t>Cash and investments-Bond Proceeds-all funds</t>
  </si>
  <si>
    <t>Gen-Fund Restricted Cash &amp; Investments</t>
  </si>
  <si>
    <t>"Internal Control-
1) no IC issues 
2)Immaterial 
3) Unit letter for IC 
4) Unit visit for IC"</t>
  </si>
  <si>
    <t>import tab only</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</si>
  <si>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</si>
  <si>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</si>
  <si>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</si>
  <si>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</si>
  <si>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2020 Import Tab</t>
  </si>
  <si>
    <t>included in TD Questions</t>
  </si>
  <si>
    <t>do not delete</t>
  </si>
  <si>
    <t>total expenditures for FBA Calculation</t>
  </si>
  <si>
    <t xml:space="preserve"> 331+89 </t>
  </si>
  <si>
    <t>Electric Gross Capital Assets</t>
  </si>
  <si>
    <t xml:space="preserve">Performance Indicator Tab Target for FBA - County </t>
  </si>
  <si>
    <t>master Upload</t>
  </si>
  <si>
    <t>2021 Data Column E</t>
  </si>
  <si>
    <t>Please indicate if you expect your revaluation to increase, decrease, or no change.  If you are not listed please select N/A</t>
  </si>
  <si>
    <t>2020 Data(H)</t>
  </si>
  <si>
    <t>2019 Data(H)</t>
  </si>
  <si>
    <t>I</t>
  </si>
  <si>
    <t xml:space="preserve">Is the Finance Officer bonded for at least $50,000 (GS 159-42(h) </t>
  </si>
  <si>
    <t>Do you operate a landfill that will be closing  or have a significant portion closing within the next 5 years</t>
  </si>
  <si>
    <t xml:space="preserve">                                   -  </t>
  </si>
  <si>
    <t xml:space="preserve">                                        -  </t>
  </si>
  <si>
    <t xml:space="preserve">                                           -  </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</si>
  <si>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</si>
  <si>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</si>
  <si>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</si>
  <si>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</si>
  <si>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</si>
  <si>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</si>
  <si>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</si>
  <si>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</si>
  <si>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</si>
  <si>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</si>
  <si>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</si>
  <si>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</si>
  <si>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</si>
  <si>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</si>
  <si>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</si>
  <si>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</si>
  <si>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</si>
  <si>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</si>
  <si>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</si>
  <si>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</si>
  <si>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</si>
  <si>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</si>
  <si>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</si>
  <si>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</si>
  <si>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</si>
  <si>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see the INSTRUCTIONS worksheet before completing this form.</t>
  </si>
  <si>
    <t>Please have the completed audit report available to complete this form.  ALL questions must be answered before submitting to the portal.</t>
  </si>
  <si>
    <t>Formula in cell E250</t>
  </si>
  <si>
    <t>Formula in cell E251</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</si>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</sst>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 numFmtId="185" formatCode="0.00_);[Red]\(0.00\)"/>
    <numFmt numFmtId="186" formatCode="_(* #,##0.000000_);_(* \(#,##0.000000\);_(* &quot;-&quot;??_);_(@_)"/>
  </numFmts>
  <fonts count="21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indexed="8"/>
      <name val="Calibri"/>
      <family val="2"/>
    </font>
    <font>
      <b/>
      <sz val="10"/>
      <color theme="1"/>
      <name val="Century Schoolbook"/>
      <family val="2"/>
    </font>
    <font>
      <b/>
      <sz val="10"/>
      <color indexed="8"/>
      <name val="Calibri"/>
      <family val="2"/>
      <scheme val="minor"/>
    </font>
    <font>
      <sz val="10"/>
      <name val="Arial"/>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right style="thin">
        <color indexed="44"/>
      </right>
      <top style="thin">
        <color indexed="44"/>
      </top>
      <bottom style="thin">
        <color indexed="44"/>
      </bottom>
      <diagonal/>
    </border>
    <border>
      <left/>
      <right style="thin">
        <color indexed="44"/>
      </right>
      <top style="thin">
        <color indexed="44"/>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6" fillId="0" borderId="0"/>
    <xf numFmtId="0" fontId="67" fillId="0" borderId="0"/>
    <xf numFmtId="0" fontId="67" fillId="0" borderId="0"/>
    <xf numFmtId="0" fontId="66" fillId="0" borderId="0"/>
    <xf numFmtId="0" fontId="67" fillId="0" borderId="0"/>
    <xf numFmtId="0" fontId="67" fillId="0" borderId="0"/>
    <xf numFmtId="0" fontId="68" fillId="0" borderId="0"/>
    <xf numFmtId="0" fontId="67"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11"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21"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11" fillId="0" borderId="0"/>
    <xf numFmtId="0" fontId="68" fillId="0" borderId="0"/>
    <xf numFmtId="0" fontId="68" fillId="0" borderId="0"/>
    <xf numFmtId="0" fontId="68" fillId="0" borderId="0"/>
    <xf numFmtId="0" fontId="68"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33" fillId="0" borderId="0"/>
    <xf numFmtId="0" fontId="33" fillId="0" borderId="0"/>
    <xf numFmtId="0" fontId="33" fillId="0" borderId="0"/>
    <xf numFmtId="0" fontId="33"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7"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8"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7"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2" fillId="0" borderId="47" applyNumberFormat="0" applyFill="0" applyAlignment="0" applyProtection="0"/>
    <xf numFmtId="0" fontId="73" fillId="0" borderId="48" applyNumberFormat="0" applyFill="0" applyAlignment="0" applyProtection="0"/>
    <xf numFmtId="0" fontId="74" fillId="0" borderId="49" applyNumberFormat="0" applyFill="0" applyAlignment="0" applyProtection="0"/>
    <xf numFmtId="0" fontId="74" fillId="0" borderId="0" applyNumberFormat="0" applyFill="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7" fillId="40" borderId="50" applyNumberFormat="0" applyAlignment="0" applyProtection="0"/>
    <xf numFmtId="0" fontId="78" fillId="41" borderId="51" applyNumberFormat="0" applyAlignment="0" applyProtection="0"/>
    <xf numFmtId="0" fontId="79" fillId="41" borderId="50" applyNumberFormat="0" applyAlignment="0" applyProtection="0"/>
    <xf numFmtId="0" fontId="80" fillId="0" borderId="52" applyNumberFormat="0" applyFill="0" applyAlignment="0" applyProtection="0"/>
    <xf numFmtId="0" fontId="81" fillId="42" borderId="53" applyNumberFormat="0" applyAlignment="0" applyProtection="0"/>
    <xf numFmtId="0" fontId="69" fillId="0" borderId="0" applyNumberFormat="0" applyFill="0" applyBorder="0" applyAlignment="0" applyProtection="0"/>
    <xf numFmtId="0" fontId="39" fillId="0" borderId="55" applyNumberFormat="0" applyFill="0" applyAlignment="0" applyProtection="0"/>
    <xf numFmtId="0" fontId="82" fillId="44" borderId="0" applyNumberFormat="0" applyBorder="0" applyAlignment="0" applyProtection="0"/>
    <xf numFmtId="0" fontId="82" fillId="45" borderId="0" applyNumberFormat="0" applyBorder="0" applyAlignment="0" applyProtection="0"/>
    <xf numFmtId="0" fontId="82" fillId="46" borderId="0" applyNumberFormat="0" applyBorder="0" applyAlignment="0" applyProtection="0"/>
    <xf numFmtId="0" fontId="82" fillId="47" borderId="0" applyNumberFormat="0" applyBorder="0" applyAlignment="0" applyProtection="0"/>
    <xf numFmtId="0" fontId="82" fillId="48" borderId="0" applyNumberFormat="0" applyBorder="0" applyAlignment="0" applyProtection="0"/>
    <xf numFmtId="0" fontId="82"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91" fillId="39" borderId="0" applyNumberFormat="0" applyBorder="0" applyAlignment="0" applyProtection="0"/>
    <xf numFmtId="0" fontId="33" fillId="43" borderId="54" applyNumberFormat="0" applyFont="0" applyAlignment="0" applyProtection="0"/>
    <xf numFmtId="40" fontId="84" fillId="0" borderId="17">
      <alignment horizontal="right"/>
    </xf>
    <xf numFmtId="0" fontId="85" fillId="0" borderId="0">
      <alignment horizontal="left"/>
    </xf>
    <xf numFmtId="49" fontId="11" fillId="0" borderId="0"/>
    <xf numFmtId="0" fontId="85" fillId="0" borderId="0">
      <alignment horizontal="left"/>
    </xf>
    <xf numFmtId="177" fontId="84" fillId="0" borderId="17">
      <alignment horizontal="right"/>
    </xf>
    <xf numFmtId="49" fontId="84"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3" fillId="50" borderId="0">
      <alignment horizontal="right" vertical="center"/>
    </xf>
    <xf numFmtId="49" fontId="83" fillId="50" borderId="0">
      <alignment horizontal="left" vertical="center"/>
    </xf>
    <xf numFmtId="49" fontId="83" fillId="50" borderId="0">
      <alignment horizontal="center" vertical="center"/>
    </xf>
    <xf numFmtId="49" fontId="83" fillId="50" borderId="0">
      <alignment horizontal="center" vertical="center"/>
    </xf>
    <xf numFmtId="49" fontId="83" fillId="50" borderId="0">
      <alignment horizontal="right" vertical="center"/>
    </xf>
    <xf numFmtId="40" fontId="83" fillId="50" borderId="0">
      <alignment horizontal="right"/>
    </xf>
    <xf numFmtId="49" fontId="83"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3" fillId="50" borderId="0">
      <alignment horizontal="center" vertical="center"/>
    </xf>
    <xf numFmtId="49" fontId="83" fillId="50" borderId="0">
      <alignment horizontal="center" vertical="center"/>
    </xf>
    <xf numFmtId="177" fontId="83" fillId="50" borderId="0">
      <alignment horizontal="center" vertical="center"/>
    </xf>
    <xf numFmtId="49" fontId="83" fillId="50" borderId="0">
      <alignment horizontal="right"/>
    </xf>
    <xf numFmtId="40" fontId="84" fillId="0" borderId="19">
      <alignment horizontal="right"/>
    </xf>
    <xf numFmtId="0" fontId="85" fillId="0" borderId="0">
      <alignment horizontal="left"/>
    </xf>
    <xf numFmtId="49" fontId="11" fillId="0" borderId="0"/>
    <xf numFmtId="0" fontId="85" fillId="0" borderId="0">
      <alignment horizontal="left"/>
    </xf>
    <xf numFmtId="177" fontId="84" fillId="0" borderId="19">
      <alignment horizontal="right"/>
    </xf>
    <xf numFmtId="49" fontId="84" fillId="0" borderId="0">
      <alignment horizontal="right"/>
    </xf>
    <xf numFmtId="49" fontId="11" fillId="0" borderId="0"/>
    <xf numFmtId="49" fontId="11" fillId="0" borderId="0"/>
    <xf numFmtId="40" fontId="84" fillId="0" borderId="14">
      <alignment horizontal="right"/>
    </xf>
    <xf numFmtId="49" fontId="84" fillId="0" borderId="0">
      <alignment horizontal="left"/>
    </xf>
    <xf numFmtId="49" fontId="11" fillId="0" borderId="0"/>
    <xf numFmtId="49" fontId="84" fillId="0" borderId="0">
      <alignment horizontal="left"/>
    </xf>
    <xf numFmtId="177" fontId="84" fillId="0" borderId="14">
      <alignment horizontal="right"/>
    </xf>
    <xf numFmtId="49" fontId="84" fillId="0" borderId="0">
      <alignment horizontal="right"/>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83"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4" fillId="51" borderId="0">
      <alignment horizontal="center" vertical="center"/>
    </xf>
    <xf numFmtId="49" fontId="11" fillId="51" borderId="0">
      <alignment horizontal="left" vertical="center"/>
    </xf>
    <xf numFmtId="49" fontId="84" fillId="51" borderId="0">
      <alignment horizontal="center" vertical="center"/>
    </xf>
    <xf numFmtId="0" fontId="84" fillId="52" borderId="0">
      <alignment horizontal="left"/>
    </xf>
    <xf numFmtId="49" fontId="11" fillId="0" borderId="0"/>
    <xf numFmtId="0" fontId="84" fillId="52" borderId="0">
      <alignment horizontal="left"/>
    </xf>
    <xf numFmtId="40" fontId="84" fillId="0" borderId="0">
      <alignment horizontal="right"/>
    </xf>
    <xf numFmtId="49" fontId="83" fillId="50" borderId="0"/>
    <xf numFmtId="49" fontId="83" fillId="50" borderId="0"/>
    <xf numFmtId="49" fontId="11" fillId="0" borderId="0"/>
    <xf numFmtId="0" fontId="86" fillId="53" borderId="0" applyFont="0" applyFill="0">
      <alignment horizontal="left" vertical="top" wrapText="1"/>
    </xf>
    <xf numFmtId="40" fontId="86" fillId="0" borderId="0"/>
    <xf numFmtId="40" fontId="86" fillId="0" borderId="0"/>
    <xf numFmtId="0" fontId="86" fillId="0" borderId="0">
      <alignment horizontal="left"/>
    </xf>
    <xf numFmtId="0" fontId="86" fillId="0" borderId="0">
      <alignment horizontal="center"/>
    </xf>
    <xf numFmtId="0" fontId="87" fillId="0" borderId="0">
      <alignment horizontal="center"/>
    </xf>
    <xf numFmtId="0" fontId="88" fillId="50" borderId="0">
      <alignment horizontal="left"/>
    </xf>
    <xf numFmtId="0" fontId="88" fillId="50" borderId="0">
      <alignment horizontal="left"/>
    </xf>
    <xf numFmtId="0" fontId="87" fillId="0" borderId="0">
      <alignment horizontal="center"/>
    </xf>
    <xf numFmtId="40" fontId="89" fillId="0" borderId="18"/>
    <xf numFmtId="40" fontId="89" fillId="0" borderId="18"/>
    <xf numFmtId="0" fontId="89" fillId="0" borderId="0"/>
    <xf numFmtId="0" fontId="89" fillId="0" borderId="0"/>
    <xf numFmtId="0" fontId="87" fillId="0" borderId="0">
      <alignment horizontal="center"/>
    </xf>
    <xf numFmtId="0" fontId="90" fillId="54" borderId="0">
      <alignment horizontal="left"/>
    </xf>
    <xf numFmtId="0" fontId="90" fillId="54" borderId="0">
      <alignment horizontal="left"/>
    </xf>
    <xf numFmtId="40" fontId="84" fillId="0" borderId="0">
      <alignment horizontal="right"/>
    </xf>
    <xf numFmtId="0" fontId="85" fillId="0" borderId="0">
      <alignment horizontal="left"/>
    </xf>
    <xf numFmtId="49" fontId="11" fillId="0" borderId="0"/>
    <xf numFmtId="0" fontId="85" fillId="0" borderId="0">
      <alignment horizontal="left"/>
    </xf>
    <xf numFmtId="177" fontId="84" fillId="0" borderId="0">
      <alignment horizontal="right"/>
    </xf>
    <xf numFmtId="49" fontId="84" fillId="0" borderId="0" applyBorder="0">
      <alignment horizontal="right"/>
    </xf>
    <xf numFmtId="0" fontId="11" fillId="0" borderId="0"/>
    <xf numFmtId="49" fontId="92" fillId="53" borderId="0">
      <alignment horizontal="left"/>
    </xf>
    <xf numFmtId="49" fontId="92" fillId="53" borderId="0">
      <alignment horizontal="left"/>
    </xf>
    <xf numFmtId="0" fontId="93" fillId="53" borderId="0">
      <alignment horizontal="left"/>
    </xf>
    <xf numFmtId="178" fontId="93" fillId="53" borderId="0">
      <alignment horizontal="left"/>
    </xf>
    <xf numFmtId="40" fontId="84" fillId="0" borderId="0">
      <alignment horizontal="right"/>
    </xf>
    <xf numFmtId="49" fontId="94" fillId="53" borderId="0">
      <alignment horizontal="left"/>
    </xf>
    <xf numFmtId="49" fontId="94" fillId="53" borderId="0">
      <alignment horizontal="left"/>
    </xf>
    <xf numFmtId="49" fontId="11" fillId="0" borderId="0"/>
    <xf numFmtId="40" fontId="84" fillId="0" borderId="14">
      <alignment horizontal="right"/>
    </xf>
    <xf numFmtId="49" fontId="84" fillId="0" borderId="0">
      <alignment horizontal="left"/>
    </xf>
    <xf numFmtId="49" fontId="11" fillId="0" borderId="0"/>
    <xf numFmtId="49" fontId="84" fillId="0" borderId="0">
      <alignment horizontal="left"/>
    </xf>
    <xf numFmtId="177" fontId="84" fillId="0" borderId="14">
      <alignment horizontal="right"/>
    </xf>
    <xf numFmtId="49" fontId="84" fillId="0" borderId="0">
      <alignment horizontal="right"/>
    </xf>
    <xf numFmtId="40" fontId="84" fillId="0" borderId="14">
      <alignment horizontal="right"/>
    </xf>
    <xf numFmtId="0" fontId="84" fillId="52" borderId="0">
      <alignment horizontal="left"/>
    </xf>
    <xf numFmtId="49" fontId="11" fillId="0" borderId="0"/>
    <xf numFmtId="0" fontId="84" fillId="52" borderId="0">
      <alignment horizontal="left"/>
    </xf>
    <xf numFmtId="177" fontId="84" fillId="0" borderId="14">
      <alignment horizontal="right"/>
    </xf>
    <xf numFmtId="49" fontId="84" fillId="0" borderId="0">
      <alignment horizontal="right"/>
    </xf>
    <xf numFmtId="0" fontId="89" fillId="0" borderId="0"/>
    <xf numFmtId="40" fontId="86" fillId="0" borderId="18"/>
    <xf numFmtId="40" fontId="86" fillId="0" borderId="18"/>
    <xf numFmtId="0" fontId="86" fillId="0" borderId="0"/>
    <xf numFmtId="0" fontId="86" fillId="0" borderId="0"/>
    <xf numFmtId="40" fontId="86" fillId="0" borderId="0"/>
    <xf numFmtId="179" fontId="86" fillId="0" borderId="0"/>
    <xf numFmtId="40" fontId="86" fillId="0" borderId="0"/>
    <xf numFmtId="0" fontId="86" fillId="0" borderId="0"/>
    <xf numFmtId="0" fontId="86" fillId="0" borderId="0"/>
    <xf numFmtId="40" fontId="84" fillId="0" borderId="18">
      <alignment horizontal="right"/>
    </xf>
    <xf numFmtId="49" fontId="84" fillId="0" borderId="0">
      <alignment horizontal="left"/>
    </xf>
    <xf numFmtId="49" fontId="11" fillId="0" borderId="0"/>
    <xf numFmtId="49" fontId="84" fillId="0" borderId="0">
      <alignment horizontal="left"/>
    </xf>
    <xf numFmtId="177" fontId="84" fillId="0" borderId="18">
      <alignment horizontal="right"/>
    </xf>
    <xf numFmtId="49" fontId="84"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5"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2" fillId="57" borderId="0" applyNumberFormat="0" applyBorder="0" applyAlignment="0" applyProtection="0"/>
    <xf numFmtId="0" fontId="96" fillId="57" borderId="0" applyNumberFormat="0" applyBorder="0" applyAlignment="0" applyProtection="0"/>
    <xf numFmtId="0" fontId="82" fillId="60" borderId="0" applyNumberFormat="0" applyBorder="0" applyAlignment="0" applyProtection="0"/>
    <xf numFmtId="0" fontId="96" fillId="60" borderId="0" applyNumberFormat="0" applyBorder="0" applyAlignment="0" applyProtection="0"/>
    <xf numFmtId="0" fontId="82" fillId="63" borderId="0" applyNumberFormat="0" applyBorder="0" applyAlignment="0" applyProtection="0"/>
    <xf numFmtId="0" fontId="96" fillId="63" borderId="0" applyNumberFormat="0" applyBorder="0" applyAlignment="0" applyProtection="0"/>
    <xf numFmtId="0" fontId="82" fillId="66" borderId="0" applyNumberFormat="0" applyBorder="0" applyAlignment="0" applyProtection="0"/>
    <xf numFmtId="0" fontId="96" fillId="66" borderId="0" applyNumberFormat="0" applyBorder="0" applyAlignment="0" applyProtection="0"/>
    <xf numFmtId="0" fontId="82" fillId="69" borderId="0" applyNumberFormat="0" applyBorder="0" applyAlignment="0" applyProtection="0"/>
    <xf numFmtId="0" fontId="96" fillId="69" borderId="0" applyNumberFormat="0" applyBorder="0" applyAlignment="0" applyProtection="0"/>
    <xf numFmtId="0" fontId="82" fillId="72" borderId="0" applyNumberFormat="0" applyBorder="0" applyAlignment="0" applyProtection="0"/>
    <xf numFmtId="0" fontId="96" fillId="72" borderId="0" applyNumberFormat="0" applyBorder="0" applyAlignment="0" applyProtection="0"/>
    <xf numFmtId="0" fontId="96" fillId="44"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45" borderId="0" applyNumberFormat="0" applyBorder="0" applyAlignment="0" applyProtection="0"/>
    <xf numFmtId="0" fontId="96" fillId="46" borderId="0" applyNumberFormat="0" applyBorder="0" applyAlignment="0" applyProtection="0"/>
    <xf numFmtId="0" fontId="96" fillId="46" borderId="0" applyNumberFormat="0" applyBorder="0" applyAlignment="0" applyProtection="0"/>
    <xf numFmtId="0" fontId="96" fillId="47"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7" fillId="38" borderId="0" applyNumberFormat="0" applyBorder="0" applyAlignment="0" applyProtection="0"/>
    <xf numFmtId="0" fontId="98" fillId="41" borderId="50" applyNumberFormat="0" applyAlignment="0" applyProtection="0"/>
    <xf numFmtId="0" fontId="99"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00" fillId="0" borderId="0" applyNumberFormat="0" applyFill="0" applyBorder="0" applyAlignment="0" applyProtection="0"/>
    <xf numFmtId="0" fontId="101" fillId="37" borderId="0" applyNumberFormat="0" applyBorder="0" applyAlignment="0" applyProtection="0"/>
    <xf numFmtId="0" fontId="102" fillId="0" borderId="47" applyNumberFormat="0" applyFill="0" applyAlignment="0" applyProtection="0"/>
    <xf numFmtId="0" fontId="103"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4" fillId="0" borderId="49" applyNumberFormat="0" applyFill="0" applyAlignment="0" applyProtection="0"/>
    <xf numFmtId="0" fontId="104" fillId="0" borderId="0" applyNumberFormat="0" applyFill="0" applyBorder="0" applyAlignment="0" applyProtection="0"/>
    <xf numFmtId="0" fontId="105" fillId="40" borderId="50" applyNumberFormat="0" applyAlignment="0" applyProtection="0"/>
    <xf numFmtId="0" fontId="106" fillId="0" borderId="52" applyNumberFormat="0" applyFill="0" applyAlignment="0" applyProtection="0"/>
    <xf numFmtId="0" fontId="107"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8" fillId="41" borderId="51" applyNumberFormat="0" applyAlignment="0" applyProtection="0"/>
    <xf numFmtId="9" fontId="6" fillId="0" borderId="0" applyFont="0" applyFill="0" applyBorder="0" applyAlignment="0" applyProtection="0"/>
    <xf numFmtId="0" fontId="109" fillId="0" borderId="0" applyNumberFormat="0" applyFill="0" applyBorder="0" applyAlignment="0" applyProtection="0"/>
    <xf numFmtId="0" fontId="110" fillId="0" borderId="55" applyNumberFormat="0" applyFill="0" applyAlignment="0" applyProtection="0"/>
    <xf numFmtId="0" fontId="111" fillId="0" borderId="0" applyNumberFormat="0" applyFill="0" applyBorder="0" applyAlignment="0" applyProtection="0"/>
    <xf numFmtId="0" fontId="114" fillId="0" borderId="0"/>
    <xf numFmtId="43" fontId="115" fillId="0" borderId="0" applyFont="0" applyFill="0" applyBorder="0" applyAlignment="0" applyProtection="0"/>
    <xf numFmtId="0" fontId="115"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6" fillId="0" borderId="0" applyNumberFormat="0" applyFill="0" applyBorder="0" applyAlignment="0" applyProtection="0">
      <alignment vertical="top"/>
      <protection locked="0"/>
    </xf>
    <xf numFmtId="0" fontId="117" fillId="0" borderId="0" applyNumberFormat="0" applyFill="0" applyBorder="0" applyAlignment="0" applyProtection="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5" fillId="0" borderId="0"/>
    <xf numFmtId="0" fontId="11"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6" fillId="0" borderId="0"/>
    <xf numFmtId="43" fontId="114" fillId="0" borderId="0" applyFont="0" applyFill="0" applyBorder="0" applyAlignment="0" applyProtection="0"/>
    <xf numFmtId="0" fontId="114" fillId="0" borderId="0"/>
    <xf numFmtId="0" fontId="151" fillId="0" borderId="0"/>
    <xf numFmtId="0" fontId="33" fillId="0" borderId="0"/>
    <xf numFmtId="0" fontId="151" fillId="0" borderId="0"/>
    <xf numFmtId="43" fontId="114" fillId="0" borderId="0" applyFont="0" applyFill="0" applyBorder="0" applyAlignment="0" applyProtection="0"/>
    <xf numFmtId="0" fontId="114" fillId="0" borderId="0"/>
    <xf numFmtId="0" fontId="114" fillId="0" borderId="0"/>
    <xf numFmtId="0" fontId="114" fillId="0" borderId="0"/>
    <xf numFmtId="0" fontId="154" fillId="0" borderId="0"/>
    <xf numFmtId="0" fontId="154" fillId="0" borderId="0"/>
    <xf numFmtId="0" fontId="155" fillId="0" borderId="0"/>
    <xf numFmtId="0" fontId="154" fillId="0" borderId="0"/>
    <xf numFmtId="0" fontId="151" fillId="0" borderId="0"/>
    <xf numFmtId="0" fontId="154" fillId="0" borderId="0"/>
    <xf numFmtId="0" fontId="151" fillId="0" borderId="0"/>
    <xf numFmtId="0" fontId="155"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4" fillId="0" borderId="0"/>
    <xf numFmtId="0" fontId="151" fillId="0" borderId="0"/>
    <xf numFmtId="0" fontId="151" fillId="0" borderId="0"/>
    <xf numFmtId="0" fontId="154" fillId="0" borderId="0"/>
    <xf numFmtId="0" fontId="151" fillId="0" borderId="0"/>
    <xf numFmtId="0" fontId="151" fillId="0" borderId="0"/>
    <xf numFmtId="0" fontId="155" fillId="0" borderId="0"/>
    <xf numFmtId="0" fontId="151" fillId="5" borderId="7" applyNumberFormat="0" applyFont="0" applyAlignment="0" applyProtection="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1" fillId="0" borderId="0"/>
    <xf numFmtId="0" fontId="155"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1" fillId="5" borderId="7" applyNumberFormat="0" applyFont="0" applyAlignment="0" applyProtection="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1" fillId="0" borderId="0"/>
    <xf numFmtId="0" fontId="155" fillId="0" borderId="0"/>
    <xf numFmtId="0" fontId="151" fillId="0" borderId="0"/>
    <xf numFmtId="0" fontId="155" fillId="0" borderId="0"/>
    <xf numFmtId="0" fontId="151" fillId="0" borderId="0"/>
    <xf numFmtId="0" fontId="156"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6"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14"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4" fillId="0" borderId="0"/>
    <xf numFmtId="43" fontId="114" fillId="0" borderId="0" applyFont="0" applyFill="0" applyBorder="0" applyAlignment="0" applyProtection="0"/>
    <xf numFmtId="0" fontId="114"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4"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8" fillId="0" borderId="0"/>
  </cellStyleXfs>
  <cellXfs count="1283">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3" fillId="26" borderId="0" xfId="682" applyFont="1" applyFill="1"/>
    <xf numFmtId="0" fontId="53" fillId="0" borderId="0" xfId="682" applyFont="1" applyFill="1"/>
    <xf numFmtId="0" fontId="39" fillId="0" borderId="0" xfId="682" applyFont="1"/>
    <xf numFmtId="40" fontId="54" fillId="0" borderId="0" xfId="0" applyNumberFormat="1"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6"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4" fillId="0" borderId="0" xfId="439" applyNumberFormat="1" applyFont="1" applyFill="1" applyAlignment="1" applyProtection="1">
      <alignment horizontal="center" vertical="center" wrapText="1"/>
    </xf>
    <xf numFmtId="173" fontId="44" fillId="0" borderId="0" xfId="439" applyNumberFormat="1" applyFont="1" applyFill="1" applyAlignment="1" applyProtection="1">
      <alignment horizontal="center" vertical="center" wrapText="1"/>
    </xf>
    <xf numFmtId="164" fontId="57"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8" fillId="0" borderId="25" xfId="0" applyNumberFormat="1" applyFont="1" applyFill="1" applyBorder="1" applyAlignment="1" applyProtection="1">
      <alignment horizontal="center" vertical="center"/>
    </xf>
    <xf numFmtId="0" fontId="59"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7"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7" fillId="0" borderId="0" xfId="0" applyFont="1" applyProtection="1"/>
    <xf numFmtId="0" fontId="57" fillId="23" borderId="23" xfId="0" applyNumberFormat="1" applyFont="1" applyFill="1" applyBorder="1" applyAlignment="1" applyProtection="1">
      <alignment horizontal="left" vertical="center" wrapText="1"/>
    </xf>
    <xf numFmtId="0" fontId="57"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7"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4" fillId="0" borderId="0" xfId="439" applyNumberFormat="1" applyFont="1" applyFill="1" applyAlignment="1" applyProtection="1">
      <alignment horizontal="center" vertical="center" wrapText="1"/>
    </xf>
    <xf numFmtId="0" fontId="60"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7"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2"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7" fillId="0" borderId="29" xfId="439" applyNumberFormat="1" applyFont="1" applyFill="1" applyBorder="1" applyAlignment="1" applyProtection="1">
      <alignment horizontal="center" vertical="center" wrapText="1"/>
    </xf>
    <xf numFmtId="39" fontId="57"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1"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7"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4" fillId="0" borderId="0" xfId="0" applyNumberFormat="1" applyFont="1" applyFill="1" applyAlignment="1" applyProtection="1">
      <alignment wrapText="1"/>
    </xf>
    <xf numFmtId="0" fontId="63"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7"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7" fillId="29" borderId="23" xfId="439" applyNumberFormat="1" applyFont="1" applyFill="1" applyBorder="1" applyAlignment="1" applyProtection="1">
      <alignment horizontal="center" vertical="center" wrapText="1"/>
      <protection locked="0"/>
    </xf>
    <xf numFmtId="37" fontId="58"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8"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7"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7"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7" fillId="0" borderId="29" xfId="439" applyNumberFormat="1" applyFont="1" applyFill="1" applyBorder="1" applyAlignment="1" applyProtection="1">
      <alignment horizontal="center" vertical="center" wrapText="1"/>
    </xf>
    <xf numFmtId="172" fontId="57"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7" fillId="29" borderId="44" xfId="439" applyNumberFormat="1" applyFont="1" applyFill="1" applyBorder="1" applyAlignment="1" applyProtection="1">
      <alignment horizontal="center" vertical="center" wrapText="1"/>
      <protection locked="0"/>
    </xf>
    <xf numFmtId="164" fontId="57" fillId="0" borderId="30" xfId="439" applyNumberFormat="1" applyFont="1" applyFill="1" applyBorder="1" applyAlignment="1" applyProtection="1">
      <alignment horizontal="center" vertical="center" wrapText="1"/>
    </xf>
    <xf numFmtId="39" fontId="57" fillId="0" borderId="27" xfId="439" applyNumberFormat="1" applyFont="1" applyFill="1" applyBorder="1" applyAlignment="1" applyProtection="1">
      <alignment horizontal="center" vertical="center" wrapText="1"/>
    </xf>
    <xf numFmtId="164" fontId="57"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7" fillId="29" borderId="45" xfId="439" applyNumberFormat="1" applyFont="1" applyFill="1" applyBorder="1" applyAlignment="1" applyProtection="1">
      <alignment horizontal="center" vertical="center" wrapText="1"/>
      <protection locked="0"/>
    </xf>
    <xf numFmtId="0" fontId="57" fillId="0" borderId="30" xfId="0" applyNumberFormat="1" applyFont="1" applyFill="1" applyBorder="1" applyAlignment="1" applyProtection="1">
      <alignment horizontal="left" vertical="center" wrapText="1"/>
    </xf>
    <xf numFmtId="0" fontId="57" fillId="23" borderId="31" xfId="0" applyNumberFormat="1" applyFont="1" applyFill="1" applyBorder="1" applyAlignment="1" applyProtection="1">
      <alignment horizontal="left" vertical="center" wrapText="1"/>
    </xf>
    <xf numFmtId="0" fontId="57"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9" fillId="0" borderId="0" xfId="0" applyNumberFormat="1" applyFont="1" applyFill="1" applyAlignment="1" applyProtection="1">
      <alignment horizontal="left" vertical="center" wrapText="1" indent="6"/>
    </xf>
    <xf numFmtId="0" fontId="57"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0" fillId="24" borderId="0" xfId="439" applyNumberFormat="1" applyFont="1" applyFill="1" applyBorder="1" applyAlignment="1" applyProtection="1">
      <alignment horizontal="center" wrapText="1"/>
    </xf>
    <xf numFmtId="41" fontId="65" fillId="0" borderId="0" xfId="0" applyNumberFormat="1" applyFont="1" applyFill="1" applyAlignment="1" applyProtection="1">
      <alignment wrapText="1"/>
    </xf>
    <xf numFmtId="14" fontId="57"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7" fillId="22" borderId="23" xfId="439" applyNumberFormat="1" applyFont="1" applyFill="1" applyBorder="1" applyAlignment="1" applyProtection="1">
      <alignment horizontal="center" vertical="center" wrapText="1"/>
      <protection locked="0"/>
    </xf>
    <xf numFmtId="172" fontId="57" fillId="22" borderId="23" xfId="439" applyNumberFormat="1" applyFont="1" applyFill="1" applyBorder="1" applyAlignment="1" applyProtection="1">
      <alignment horizontal="center" vertical="center" wrapText="1"/>
    </xf>
    <xf numFmtId="39" fontId="57" fillId="22" borderId="28" xfId="439" applyNumberFormat="1" applyFont="1" applyFill="1" applyBorder="1" applyAlignment="1" applyProtection="1">
      <alignment horizontal="center" vertical="center" wrapText="1"/>
    </xf>
    <xf numFmtId="164" fontId="57"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7"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7" fillId="22" borderId="30" xfId="439" applyNumberFormat="1" applyFont="1" applyFill="1" applyBorder="1" applyAlignment="1" applyProtection="1">
      <alignment horizontal="center" vertical="center" wrapText="1"/>
    </xf>
    <xf numFmtId="175" fontId="57" fillId="75" borderId="23" xfId="439" applyNumberFormat="1" applyFont="1" applyFill="1" applyBorder="1" applyAlignment="1" applyProtection="1">
      <alignment horizontal="center" vertical="center" wrapText="1"/>
    </xf>
    <xf numFmtId="3" fontId="57" fillId="0" borderId="23" xfId="439" applyNumberFormat="1" applyFont="1" applyFill="1" applyBorder="1" applyAlignment="1" applyProtection="1">
      <alignment horizontal="center" vertical="center" wrapText="1"/>
      <protection locked="0"/>
    </xf>
    <xf numFmtId="180" fontId="57" fillId="75" borderId="23" xfId="439" applyNumberFormat="1" applyFont="1" applyFill="1" applyBorder="1" applyAlignment="1" applyProtection="1">
      <alignment horizontal="center" vertical="center" wrapText="1"/>
    </xf>
    <xf numFmtId="39" fontId="57" fillId="0" borderId="23" xfId="439" applyNumberFormat="1" applyFont="1" applyFill="1" applyBorder="1" applyAlignment="1" applyProtection="1">
      <alignment horizontal="center" vertical="center" wrapText="1"/>
    </xf>
    <xf numFmtId="3" fontId="57" fillId="0" borderId="31" xfId="439" applyNumberFormat="1" applyFont="1" applyFill="1" applyBorder="1" applyAlignment="1" applyProtection="1">
      <alignment horizontal="center" vertical="center" wrapText="1"/>
    </xf>
    <xf numFmtId="3" fontId="57" fillId="23" borderId="31" xfId="439" applyNumberFormat="1" applyFont="1" applyFill="1" applyBorder="1" applyAlignment="1" applyProtection="1">
      <alignment horizontal="center" vertical="center" wrapText="1"/>
    </xf>
    <xf numFmtId="3" fontId="57" fillId="23" borderId="23" xfId="439" applyNumberFormat="1" applyFont="1" applyFill="1" applyBorder="1" applyAlignment="1" applyProtection="1">
      <alignment horizontal="center" vertical="center" wrapText="1"/>
    </xf>
    <xf numFmtId="3" fontId="57" fillId="0" borderId="30" xfId="439" applyNumberFormat="1" applyFont="1" applyFill="1" applyBorder="1" applyAlignment="1" applyProtection="1">
      <alignment horizontal="center" vertical="center" wrapText="1"/>
    </xf>
    <xf numFmtId="37" fontId="57"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3"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71" fillId="22" borderId="0" xfId="0" applyFont="1" applyFill="1" applyProtection="1"/>
    <xf numFmtId="0" fontId="118" fillId="22" borderId="0" xfId="0" applyFont="1" applyFill="1" applyProtection="1"/>
    <xf numFmtId="0" fontId="82" fillId="22" borderId="0" xfId="0" applyFont="1" applyFill="1" applyAlignment="1" applyProtection="1">
      <alignment vertical="center" wrapText="1"/>
    </xf>
    <xf numFmtId="0" fontId="82" fillId="22" borderId="0" xfId="0" applyFont="1" applyFill="1" applyAlignment="1" applyProtection="1">
      <alignment vertical="center"/>
      <protection locked="0"/>
    </xf>
    <xf numFmtId="0" fontId="82" fillId="22" borderId="0" xfId="0" applyFont="1" applyFill="1" applyAlignment="1" applyProtection="1">
      <alignment vertical="center"/>
    </xf>
    <xf numFmtId="0" fontId="0" fillId="0" borderId="0" xfId="0" applyAlignment="1">
      <alignment horizontal="center"/>
    </xf>
    <xf numFmtId="0" fontId="82"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0" fontId="0" fillId="34" borderId="45" xfId="0" applyFont="1" applyFill="1" applyBorder="1" applyAlignment="1">
      <alignment vertical="center" wrapText="1"/>
    </xf>
    <xf numFmtId="171" fontId="57" fillId="75" borderId="29"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19" fillId="73" borderId="0" xfId="0" applyFont="1" applyFill="1" applyAlignment="1">
      <alignment vertical="center" wrapText="1"/>
    </xf>
    <xf numFmtId="0" fontId="46" fillId="73" borderId="0" xfId="0" applyFont="1" applyFill="1" applyAlignment="1">
      <alignment horizontal="justify" vertical="center"/>
    </xf>
    <xf numFmtId="0" fontId="124" fillId="77" borderId="0" xfId="0" applyFont="1" applyFill="1" applyAlignment="1">
      <alignment vertical="center"/>
    </xf>
    <xf numFmtId="0" fontId="61" fillId="0" borderId="45" xfId="0" applyFont="1" applyFill="1" applyBorder="1" applyAlignment="1" applyProtection="1">
      <alignment horizontal="center" vertical="center" wrapText="1"/>
    </xf>
    <xf numFmtId="0" fontId="61" fillId="32" borderId="45" xfId="0" applyFont="1" applyFill="1" applyBorder="1" applyAlignment="1" applyProtection="1">
      <alignment horizontal="center" vertical="center" wrapText="1"/>
    </xf>
    <xf numFmtId="0" fontId="57" fillId="31" borderId="25"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7" fillId="0" borderId="23" xfId="439" applyNumberFormat="1" applyFont="1" applyFill="1" applyBorder="1" applyAlignment="1" applyProtection="1">
      <alignment horizontal="center" vertical="center" wrapText="1"/>
    </xf>
    <xf numFmtId="0" fontId="120" fillId="73" borderId="0" xfId="0" applyFont="1" applyFill="1" applyAlignment="1">
      <alignment horizontal="left" vertical="center" wrapText="1"/>
    </xf>
    <xf numFmtId="0" fontId="33" fillId="73" borderId="0" xfId="30098" applyFill="1"/>
    <xf numFmtId="0" fontId="123" fillId="77" borderId="0" xfId="30098" applyFont="1" applyFill="1" applyAlignment="1">
      <alignment horizontal="center" vertical="center" wrapText="1"/>
    </xf>
    <xf numFmtId="0" fontId="119" fillId="73" borderId="0" xfId="30098" applyFont="1" applyFill="1" applyAlignment="1">
      <alignment vertical="center" wrapText="1"/>
    </xf>
    <xf numFmtId="0" fontId="46" fillId="73" borderId="0" xfId="30098" applyFont="1" applyFill="1" applyAlignment="1">
      <alignment vertical="center" wrapText="1"/>
    </xf>
    <xf numFmtId="0" fontId="124" fillId="77" borderId="0" xfId="30098" applyFont="1" applyFill="1" applyAlignment="1">
      <alignment vertical="center"/>
    </xf>
    <xf numFmtId="0" fontId="127" fillId="0" borderId="0" xfId="30099" applyFont="1" applyAlignment="1">
      <alignment horizontal="left" vertical="top"/>
    </xf>
    <xf numFmtId="0" fontId="129" fillId="0" borderId="0" xfId="30099" applyFont="1" applyAlignment="1">
      <alignment horizontal="left" vertical="top"/>
    </xf>
    <xf numFmtId="0" fontId="127" fillId="36" borderId="0" xfId="30099" applyFont="1" applyFill="1" applyAlignment="1">
      <alignment horizontal="left" vertical="top"/>
    </xf>
    <xf numFmtId="0" fontId="129" fillId="0" borderId="0" xfId="30099" applyFont="1" applyAlignment="1">
      <alignment vertical="top"/>
    </xf>
    <xf numFmtId="0" fontId="127" fillId="0" borderId="0" xfId="30099" applyFont="1" applyAlignment="1">
      <alignment vertical="top"/>
    </xf>
    <xf numFmtId="0" fontId="129" fillId="79" borderId="13" xfId="30099" applyFont="1" applyFill="1" applyBorder="1" applyAlignment="1">
      <alignment horizontal="left" vertical="top"/>
    </xf>
    <xf numFmtId="0" fontId="129" fillId="79" borderId="16" xfId="30099" applyFont="1" applyFill="1" applyBorder="1" applyAlignment="1">
      <alignment horizontal="left" vertical="top"/>
    </xf>
    <xf numFmtId="164" fontId="134" fillId="79" borderId="16" xfId="30100" applyNumberFormat="1" applyFont="1" applyFill="1" applyBorder="1" applyAlignment="1">
      <alignment vertical="center"/>
    </xf>
    <xf numFmtId="0" fontId="135" fillId="79" borderId="16" xfId="30099" applyFont="1" applyFill="1" applyBorder="1" applyAlignment="1">
      <alignment vertical="center" wrapText="1"/>
    </xf>
    <xf numFmtId="0" fontId="135" fillId="79" borderId="16" xfId="30099" applyFont="1" applyFill="1" applyBorder="1" applyAlignment="1">
      <alignment vertical="center"/>
    </xf>
    <xf numFmtId="0" fontId="127" fillId="79" borderId="11" xfId="30099" applyFont="1" applyFill="1" applyBorder="1" applyAlignment="1">
      <alignment horizontal="left" vertical="top" wrapText="1"/>
    </xf>
    <xf numFmtId="0" fontId="136" fillId="0" borderId="0" xfId="30099" applyFont="1" applyAlignment="1">
      <alignment horizontal="left" vertical="top"/>
    </xf>
    <xf numFmtId="0" fontId="136" fillId="26" borderId="15" xfId="30099" applyFont="1" applyFill="1" applyBorder="1" applyAlignment="1">
      <alignment horizontal="left" vertical="top"/>
    </xf>
    <xf numFmtId="0" fontId="136" fillId="26" borderId="0" xfId="30099" applyFont="1" applyFill="1" applyAlignment="1">
      <alignment horizontal="left" vertical="top"/>
    </xf>
    <xf numFmtId="0" fontId="127" fillId="26" borderId="0" xfId="30099" applyFont="1" applyFill="1" applyAlignment="1">
      <alignment horizontal="left" vertical="top" wrapText="1"/>
    </xf>
    <xf numFmtId="0" fontId="136" fillId="26" borderId="0" xfId="30099" applyFont="1" applyFill="1" applyAlignment="1">
      <alignment horizontal="left" vertical="center"/>
    </xf>
    <xf numFmtId="0" fontId="136" fillId="26" borderId="60" xfId="30099" applyFont="1" applyFill="1" applyBorder="1" applyAlignment="1">
      <alignment horizontal="left" vertical="top" wrapText="1"/>
    </xf>
    <xf numFmtId="0" fontId="127" fillId="26" borderId="15" xfId="30099" applyFont="1" applyFill="1" applyBorder="1" applyAlignment="1">
      <alignment horizontal="left" vertical="top"/>
    </xf>
    <xf numFmtId="0" fontId="127" fillId="26" borderId="0" xfId="30099" applyFont="1" applyFill="1" applyAlignment="1">
      <alignment horizontal="left" vertical="top"/>
    </xf>
    <xf numFmtId="0" fontId="127" fillId="26" borderId="60" xfId="30099" applyFont="1" applyFill="1" applyBorder="1" applyAlignment="1">
      <alignment horizontal="left" vertical="top" wrapText="1"/>
    </xf>
    <xf numFmtId="0" fontId="139" fillId="26" borderId="0" xfId="30099" applyFont="1" applyFill="1" applyAlignment="1">
      <alignment horizontal="left" vertical="top"/>
    </xf>
    <xf numFmtId="0" fontId="127" fillId="26" borderId="0" xfId="30099" applyFont="1" applyFill="1" applyAlignment="1">
      <alignment horizontal="left" vertical="center"/>
    </xf>
    <xf numFmtId="14" fontId="127" fillId="0" borderId="69" xfId="30099" applyNumberFormat="1" applyFont="1" applyBorder="1" applyAlignment="1" applyProtection="1">
      <alignment horizontal="center" vertical="center"/>
      <protection locked="0"/>
    </xf>
    <xf numFmtId="0" fontId="127" fillId="26" borderId="0" xfId="30099" applyFont="1" applyFill="1" applyAlignment="1">
      <alignment horizontal="left" vertical="center" wrapText="1"/>
    </xf>
    <xf numFmtId="0" fontId="127" fillId="0" borderId="69" xfId="30099" applyFont="1" applyBorder="1" applyAlignment="1" applyProtection="1">
      <alignment horizontal="center" vertical="center"/>
      <protection locked="0"/>
    </xf>
    <xf numFmtId="0" fontId="143" fillId="26" borderId="0" xfId="30099" applyFont="1" applyFill="1" applyAlignment="1">
      <alignment horizontal="center" vertical="center" wrapText="1"/>
    </xf>
    <xf numFmtId="0" fontId="127" fillId="0" borderId="57" xfId="30099" applyFont="1" applyBorder="1" applyAlignment="1" applyProtection="1">
      <alignment horizontal="center" vertical="center"/>
      <protection locked="0"/>
    </xf>
    <xf numFmtId="0" fontId="127" fillId="26" borderId="0" xfId="30099" applyFont="1" applyFill="1" applyAlignment="1">
      <alignment horizontal="center" vertical="center"/>
    </xf>
    <xf numFmtId="0" fontId="144" fillId="26" borderId="0" xfId="30099" applyFont="1" applyFill="1" applyAlignment="1">
      <alignment horizontal="left" vertical="top" wrapText="1"/>
    </xf>
    <xf numFmtId="0" fontId="144" fillId="0" borderId="57" xfId="30099" applyFont="1" applyBorder="1" applyAlignment="1" applyProtection="1">
      <alignment horizontal="center" vertical="center" wrapText="1"/>
      <protection locked="0"/>
    </xf>
    <xf numFmtId="0" fontId="129" fillId="0" borderId="0" xfId="30099" applyFont="1" applyAlignment="1">
      <alignment horizontal="left"/>
    </xf>
    <xf numFmtId="0" fontId="128" fillId="0" borderId="69" xfId="30099" applyFont="1" applyBorder="1" applyAlignment="1" applyProtection="1">
      <alignment horizontal="center" vertical="center"/>
      <protection locked="0"/>
    </xf>
    <xf numFmtId="0" fontId="127" fillId="26" borderId="0" xfId="30099" applyFont="1" applyFill="1" applyAlignment="1">
      <alignment vertical="top" wrapText="1"/>
    </xf>
    <xf numFmtId="0" fontId="127" fillId="26" borderId="60" xfId="30099" applyFont="1" applyFill="1" applyBorder="1" applyAlignment="1">
      <alignment vertical="top" wrapText="1"/>
    </xf>
    <xf numFmtId="0" fontId="131" fillId="26" borderId="0" xfId="30099" applyFont="1" applyFill="1" applyAlignment="1">
      <alignment horizontal="left" vertical="top"/>
    </xf>
    <xf numFmtId="0" fontId="139" fillId="26" borderId="0" xfId="30099" applyFont="1" applyFill="1" applyAlignment="1">
      <alignment horizontal="left" vertical="top" wrapText="1"/>
    </xf>
    <xf numFmtId="0" fontId="127" fillId="26" borderId="15" xfId="30099" applyFont="1" applyFill="1" applyBorder="1" applyAlignment="1">
      <alignment horizontal="left"/>
    </xf>
    <xf numFmtId="0" fontId="127" fillId="26" borderId="0" xfId="30099" applyFont="1" applyFill="1" applyAlignment="1">
      <alignment horizontal="left"/>
    </xf>
    <xf numFmtId="0" fontId="127" fillId="26" borderId="0" xfId="30099" applyFont="1" applyFill="1" applyAlignment="1">
      <alignment vertical="center" wrapText="1"/>
    </xf>
    <xf numFmtId="0" fontId="139" fillId="26" borderId="0" xfId="30099" applyFont="1" applyFill="1" applyAlignment="1">
      <alignment vertical="center" wrapText="1"/>
    </xf>
    <xf numFmtId="0" fontId="127" fillId="0" borderId="0" xfId="30099" applyFont="1" applyAlignment="1">
      <alignment horizontal="left"/>
    </xf>
    <xf numFmtId="0" fontId="133" fillId="26" borderId="0" xfId="30099" applyFont="1" applyFill="1" applyAlignment="1">
      <alignment horizontal="left"/>
    </xf>
    <xf numFmtId="0" fontId="133" fillId="26" borderId="0" xfId="30099" applyFont="1" applyFill="1" applyAlignment="1">
      <alignment horizontal="right" vertical="center"/>
    </xf>
    <xf numFmtId="0" fontId="133" fillId="26" borderId="0" xfId="30099" applyFont="1" applyFill="1" applyAlignment="1">
      <alignment horizontal="right"/>
    </xf>
    <xf numFmtId="0" fontId="127" fillId="26" borderId="0" xfId="30099" applyFont="1" applyFill="1" applyAlignment="1">
      <alignment horizontal="right" vertical="center" wrapText="1"/>
    </xf>
    <xf numFmtId="14" fontId="127" fillId="26" borderId="0" xfId="30099" applyNumberFormat="1" applyFont="1" applyFill="1" applyAlignment="1">
      <alignment horizontal="left" vertical="center"/>
    </xf>
    <xf numFmtId="0" fontId="148" fillId="79" borderId="0" xfId="30099" applyFont="1" applyFill="1" applyAlignment="1">
      <alignment vertical="center"/>
    </xf>
    <xf numFmtId="0" fontId="148" fillId="79" borderId="0" xfId="30099" applyFont="1" applyFill="1" applyAlignment="1">
      <alignment horizontal="left" vertical="center"/>
    </xf>
    <xf numFmtId="0" fontId="139" fillId="26" borderId="0" xfId="30099" applyFont="1" applyFill="1" applyAlignment="1">
      <alignment horizontal="left" vertical="center" wrapText="1"/>
    </xf>
    <xf numFmtId="0" fontId="139" fillId="26" borderId="60" xfId="30099" applyFont="1" applyFill="1" applyBorder="1" applyAlignment="1">
      <alignment vertical="top" wrapText="1"/>
    </xf>
    <xf numFmtId="0" fontId="127" fillId="26" borderId="40" xfId="30099" applyFont="1" applyFill="1" applyBorder="1" applyAlignment="1">
      <alignment horizontal="left" vertical="top"/>
    </xf>
    <xf numFmtId="0" fontId="127" fillId="26" borderId="41" xfId="30099" applyFont="1" applyFill="1" applyBorder="1" applyAlignment="1">
      <alignment horizontal="left" vertical="top"/>
    </xf>
    <xf numFmtId="0" fontId="127" fillId="26" borderId="41" xfId="30099" applyFont="1" applyFill="1" applyBorder="1" applyAlignment="1">
      <alignment horizontal="right" vertical="center" wrapText="1"/>
    </xf>
    <xf numFmtId="0" fontId="127" fillId="26" borderId="41" xfId="30099" applyFont="1" applyFill="1" applyBorder="1" applyAlignment="1">
      <alignment horizontal="left" vertical="center"/>
    </xf>
    <xf numFmtId="0" fontId="127" fillId="26" borderId="42" xfId="30099" applyFont="1" applyFill="1" applyBorder="1" applyAlignment="1">
      <alignment horizontal="left" vertical="top" wrapText="1"/>
    </xf>
    <xf numFmtId="0" fontId="127" fillId="0" borderId="0" xfId="30099" applyFont="1" applyAlignment="1">
      <alignment horizontal="left" vertical="top" wrapText="1"/>
    </xf>
    <xf numFmtId="2" fontId="127" fillId="0" borderId="0" xfId="30099" applyNumberFormat="1" applyFont="1" applyAlignment="1">
      <alignment horizontal="left" vertical="top"/>
    </xf>
    <xf numFmtId="0" fontId="127" fillId="0" borderId="0" xfId="30099" applyFont="1" applyAlignment="1">
      <alignment horizontal="left" vertical="center" wrapText="1"/>
    </xf>
    <xf numFmtId="14" fontId="127" fillId="0" borderId="0" xfId="30099" applyNumberFormat="1" applyFont="1" applyAlignment="1">
      <alignment horizontal="left" vertical="top"/>
    </xf>
    <xf numFmtId="0" fontId="127"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0" fillId="26" borderId="0" xfId="30099" applyFont="1" applyFill="1" applyAlignment="1">
      <alignment horizontal="center" vertical="center"/>
    </xf>
    <xf numFmtId="164" fontId="133" fillId="26" borderId="0" xfId="30100" applyNumberFormat="1" applyFont="1" applyFill="1" applyBorder="1" applyAlignment="1">
      <alignment vertical="center"/>
    </xf>
    <xf numFmtId="164" fontId="133" fillId="26" borderId="0" xfId="30100" applyNumberFormat="1" applyFont="1" applyFill="1" applyBorder="1" applyAlignment="1">
      <alignment vertical="top"/>
    </xf>
    <xf numFmtId="164" fontId="132" fillId="26" borderId="0" xfId="30100" applyNumberFormat="1" applyFont="1" applyFill="1" applyBorder="1" applyAlignment="1">
      <alignment vertical="center"/>
    </xf>
    <xf numFmtId="164" fontId="131" fillId="26" borderId="0" xfId="30100" applyNumberFormat="1" applyFont="1" applyFill="1" applyBorder="1" applyAlignment="1">
      <alignment vertical="center"/>
    </xf>
    <xf numFmtId="164" fontId="133" fillId="26" borderId="41" xfId="30100" applyNumberFormat="1" applyFont="1" applyFill="1" applyBorder="1" applyAlignment="1">
      <alignment vertical="top"/>
    </xf>
    <xf numFmtId="164" fontId="127" fillId="0" borderId="0" xfId="30100" applyNumberFormat="1" applyFont="1" applyFill="1" applyBorder="1" applyAlignment="1">
      <alignment vertical="top"/>
    </xf>
    <xf numFmtId="49" fontId="133" fillId="26" borderId="0" xfId="30100" applyNumberFormat="1" applyFont="1" applyFill="1" applyBorder="1" applyAlignment="1">
      <alignment horizontal="center" vertical="center"/>
    </xf>
    <xf numFmtId="49" fontId="133" fillId="26" borderId="0" xfId="30100" applyNumberFormat="1" applyFont="1" applyFill="1" applyBorder="1" applyAlignment="1">
      <alignment horizontal="center" vertical="top"/>
    </xf>
    <xf numFmtId="0" fontId="133" fillId="26" borderId="0" xfId="30099" applyFont="1" applyFill="1" applyAlignment="1">
      <alignment horizontal="left" wrapText="1"/>
    </xf>
    <xf numFmtId="0" fontId="133" fillId="26" borderId="0" xfId="30099" applyFont="1" applyFill="1" applyAlignment="1">
      <alignment horizontal="left" vertical="center" wrapText="1"/>
    </xf>
    <xf numFmtId="0" fontId="127" fillId="0" borderId="0" xfId="30099" applyFont="1" applyFill="1" applyAlignment="1">
      <alignment horizontal="left"/>
    </xf>
    <xf numFmtId="0" fontId="129"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9" fontId="0" fillId="0" borderId="82" xfId="4688" applyFont="1" applyBorder="1"/>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131" fillId="26" borderId="0" xfId="30099" applyFont="1" applyFill="1" applyAlignment="1">
      <alignment vertical="top" wrapText="1"/>
    </xf>
    <xf numFmtId="0" fontId="152" fillId="26" borderId="0" xfId="30099" applyFont="1" applyFill="1" applyAlignment="1">
      <alignment horizontal="left" vertical="top" wrapText="1"/>
    </xf>
    <xf numFmtId="170" fontId="39" fillId="29" borderId="0" xfId="439" applyNumberFormat="1" applyFont="1" applyFill="1" applyAlignment="1" applyProtection="1">
      <alignment horizontal="center" vertical="center"/>
      <protection locked="0"/>
    </xf>
    <xf numFmtId="0" fontId="39" fillId="78" borderId="84" xfId="0" applyFont="1" applyFill="1" applyBorder="1" applyAlignment="1">
      <alignment horizontal="center"/>
    </xf>
    <xf numFmtId="0" fontId="39" fillId="78" borderId="84" xfId="0" applyFont="1" applyFill="1" applyBorder="1" applyAlignment="1">
      <alignment horizontal="center" wrapText="1"/>
    </xf>
    <xf numFmtId="0" fontId="39" fillId="78" borderId="93" xfId="0" applyFont="1" applyFill="1" applyBorder="1" applyAlignment="1">
      <alignment vertical="center" wrapText="1"/>
    </xf>
    <xf numFmtId="0" fontId="39" fillId="78" borderId="87" xfId="0" applyFont="1" applyFill="1" applyBorder="1" applyAlignment="1">
      <alignment wrapText="1"/>
    </xf>
    <xf numFmtId="0" fontId="39" fillId="78" borderId="84" xfId="0" applyFont="1" applyFill="1" applyBorder="1" applyAlignment="1">
      <alignment wrapText="1"/>
    </xf>
    <xf numFmtId="43" fontId="0" fillId="0" borderId="82" xfId="439" applyNumberFormat="1" applyFont="1" applyBorder="1"/>
    <xf numFmtId="0" fontId="39" fillId="78" borderId="96" xfId="0" applyFont="1" applyFill="1" applyBorder="1" applyAlignment="1">
      <alignment horizontal="center"/>
    </xf>
    <xf numFmtId="0" fontId="39" fillId="78" borderId="91" xfId="0" applyFont="1" applyFill="1" applyBorder="1" applyAlignment="1">
      <alignment horizontal="center"/>
    </xf>
    <xf numFmtId="0" fontId="39" fillId="78" borderId="93" xfId="0" applyFont="1" applyFill="1" applyBorder="1" applyAlignment="1">
      <alignment wrapText="1"/>
    </xf>
    <xf numFmtId="0" fontId="39" fillId="78" borderId="100" xfId="0" applyFont="1" applyFill="1" applyBorder="1" applyAlignment="1">
      <alignment vertic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7" fillId="0" borderId="0" xfId="0" applyFont="1" applyAlignment="1">
      <alignment vertical="center"/>
    </xf>
    <xf numFmtId="0" fontId="157" fillId="0" borderId="0" xfId="30099" applyFont="1" applyAlignment="1">
      <alignment horizontal="left" vertical="top"/>
    </xf>
    <xf numFmtId="0" fontId="153" fillId="26" borderId="0" xfId="30099" applyFont="1" applyFill="1" applyAlignment="1">
      <alignment vertical="center" wrapText="1"/>
    </xf>
    <xf numFmtId="0" fontId="158" fillId="26" borderId="0" xfId="30099" applyFont="1" applyFill="1" applyAlignment="1">
      <alignment vertical="center" wrapText="1"/>
    </xf>
    <xf numFmtId="0" fontId="159" fillId="0" borderId="0" xfId="0" applyFont="1"/>
    <xf numFmtId="0" fontId="133" fillId="26" borderId="0" xfId="30100" applyNumberFormat="1" applyFont="1" applyFill="1" applyBorder="1" applyAlignment="1">
      <alignment horizontal="center" vertical="center"/>
    </xf>
    <xf numFmtId="164" fontId="133"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3"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9"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8" fillId="0" borderId="25" xfId="0" applyFont="1" applyFill="1" applyBorder="1" applyAlignment="1">
      <alignment horizontal="center" vertical="center"/>
    </xf>
    <xf numFmtId="0" fontId="39" fillId="0" borderId="63" xfId="0" applyFont="1" applyFill="1" applyBorder="1" applyAlignment="1">
      <alignment horizontal="center" vertical="center"/>
    </xf>
    <xf numFmtId="0" fontId="69"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7" fillId="0" borderId="45" xfId="439" applyNumberFormat="1" applyFont="1" applyFill="1" applyBorder="1" applyAlignment="1" applyProtection="1">
      <alignment horizontal="center" vertical="center" wrapText="1"/>
    </xf>
    <xf numFmtId="0" fontId="62" fillId="0" borderId="0" xfId="0" applyNumberFormat="1" applyFont="1" applyFill="1" applyAlignment="1" applyProtection="1">
      <alignment horizontal="left" vertical="center" wrapText="1"/>
    </xf>
    <xf numFmtId="0" fontId="41" fillId="34" borderId="23" xfId="0" applyNumberFormat="1" applyFont="1" applyFill="1" applyBorder="1" applyAlignment="1" applyProtection="1">
      <alignment horizontal="left" vertical="center" wrapText="1"/>
    </xf>
    <xf numFmtId="0" fontId="57" fillId="34" borderId="25"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0" fontId="57"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2" fillId="0" borderId="45" xfId="0" applyNumberFormat="1" applyFont="1" applyFill="1" applyBorder="1" applyAlignment="1" applyProtection="1">
      <alignment horizontal="left" vertical="center" wrapText="1"/>
    </xf>
    <xf numFmtId="0" fontId="57" fillId="0" borderId="28" xfId="0" applyNumberFormat="1" applyFont="1" applyFill="1" applyBorder="1" applyAlignment="1" applyProtection="1">
      <alignment horizontal="left" vertical="center" wrapText="1"/>
    </xf>
    <xf numFmtId="0" fontId="52" fillId="0" borderId="45"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7"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7" fillId="0" borderId="29" xfId="439" applyNumberFormat="1" applyFont="1" applyFill="1" applyBorder="1" applyAlignment="1" applyProtection="1">
      <alignment horizontal="center" vertical="center" wrapText="1"/>
    </xf>
    <xf numFmtId="164" fontId="57" fillId="0" borderId="23" xfId="439" applyNumberFormat="1" applyFont="1" applyFill="1" applyBorder="1" applyAlignment="1" applyProtection="1">
      <alignment horizontal="center" vertical="center" wrapText="1"/>
    </xf>
    <xf numFmtId="0" fontId="57" fillId="0" borderId="23" xfId="0" applyNumberFormat="1" applyFont="1" applyFill="1" applyBorder="1" applyAlignment="1" applyProtection="1">
      <alignment horizontal="left" vertical="center" wrapText="1"/>
    </xf>
    <xf numFmtId="39" fontId="57" fillId="0" borderId="28" xfId="439" applyNumberFormat="1" applyFont="1" applyFill="1" applyBorder="1" applyAlignment="1" applyProtection="1">
      <alignment horizontal="center" vertical="center" wrapText="1"/>
    </xf>
    <xf numFmtId="164" fontId="57"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7" fillId="34" borderId="23" xfId="0" applyNumberFormat="1" applyFont="1" applyFill="1" applyBorder="1" applyAlignment="1" applyProtection="1">
      <alignment horizontal="left" vertical="center" wrapText="1"/>
    </xf>
    <xf numFmtId="164" fontId="57" fillId="29" borderId="23" xfId="439" applyNumberFormat="1" applyFont="1" applyFill="1" applyBorder="1" applyAlignment="1" applyProtection="1">
      <alignment horizontal="center" vertical="center" wrapText="1"/>
      <protection locked="0"/>
    </xf>
    <xf numFmtId="3" fontId="57" fillId="0" borderId="23" xfId="439" applyNumberFormat="1" applyFont="1" applyFill="1" applyBorder="1" applyAlignment="1" applyProtection="1">
      <alignment horizontal="center" vertical="center" wrapText="1"/>
    </xf>
    <xf numFmtId="3" fontId="57" fillId="34" borderId="23" xfId="439" applyNumberFormat="1" applyFont="1" applyFill="1" applyBorder="1" applyAlignment="1" applyProtection="1">
      <alignment horizontal="center" vertical="center" wrapText="1"/>
    </xf>
    <xf numFmtId="0" fontId="57" fillId="22" borderId="23" xfId="439" applyNumberFormat="1" applyFont="1" applyFill="1" applyBorder="1" applyAlignment="1" applyProtection="1">
      <alignment horizontal="center" vertical="center" wrapText="1"/>
      <protection locked="0"/>
    </xf>
    <xf numFmtId="164" fontId="57"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 fontId="57" fillId="0" borderId="45" xfId="439" applyNumberFormat="1" applyFont="1" applyFill="1" applyBorder="1" applyAlignment="1" applyProtection="1">
      <alignment horizontal="center" vertical="center" wrapText="1"/>
    </xf>
    <xf numFmtId="0" fontId="57"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7" fillId="78" borderId="25" xfId="0" applyNumberFormat="1" applyFont="1" applyFill="1" applyBorder="1" applyAlignment="1" applyProtection="1">
      <alignment horizontal="left" vertical="center" wrapText="1"/>
    </xf>
    <xf numFmtId="0" fontId="57"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9"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4" fillId="0" borderId="0" xfId="439" applyNumberFormat="1" applyFont="1" applyFill="1" applyAlignment="1" applyProtection="1">
      <alignment horizontal="center" vertical="center" wrapText="1"/>
    </xf>
    <xf numFmtId="183" fontId="44" fillId="0" borderId="0" xfId="439" applyNumberFormat="1" applyFont="1" applyFill="1" applyAlignment="1" applyProtection="1">
      <alignment horizontal="center" vertical="center" wrapText="1"/>
    </xf>
    <xf numFmtId="167" fontId="0" fillId="0" borderId="85" xfId="545" applyNumberFormat="1" applyFont="1" applyFill="1" applyBorder="1" applyAlignment="1">
      <alignment horizontal="center"/>
    </xf>
    <xf numFmtId="10" fontId="0" fillId="0" borderId="94" xfId="4688" applyNumberFormat="1" applyFont="1" applyFill="1" applyBorder="1" applyAlignment="1">
      <alignment horizontal="center"/>
    </xf>
    <xf numFmtId="164" fontId="49" fillId="0" borderId="0" xfId="0" applyNumberFormat="1" applyFont="1" applyFill="1" applyAlignment="1" applyProtection="1">
      <alignment wrapText="1"/>
    </xf>
    <xf numFmtId="0" fontId="127" fillId="26" borderId="0" xfId="30099" applyFont="1" applyFill="1" applyAlignment="1">
      <alignment horizontal="left" vertical="top"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0" fontId="150" fillId="81" borderId="57" xfId="30099" applyFont="1" applyFill="1" applyBorder="1" applyAlignment="1" applyProtection="1">
      <alignment horizontal="center" vertical="center"/>
      <protection locked="0"/>
    </xf>
    <xf numFmtId="0" fontId="127" fillId="81" borderId="57" xfId="30099" applyFont="1" applyFill="1" applyBorder="1" applyAlignment="1" applyProtection="1">
      <alignment horizontal="center" vertical="center"/>
      <protection locked="0"/>
    </xf>
    <xf numFmtId="14" fontId="127" fillId="81" borderId="57" xfId="30099" applyNumberFormat="1" applyFont="1" applyFill="1" applyBorder="1" applyAlignment="1" applyProtection="1">
      <alignment horizontal="center" vertical="center"/>
      <protection locked="0"/>
    </xf>
    <xf numFmtId="164" fontId="133"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39" fillId="78" borderId="105" xfId="0" applyFont="1" applyFill="1" applyBorder="1" applyAlignment="1">
      <alignment wrapText="1"/>
    </xf>
    <xf numFmtId="0" fontId="39"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39" fillId="78" borderId="105" xfId="0" applyFont="1" applyFill="1" applyBorder="1" applyAlignment="1">
      <alignment vertical="center" wrapText="1"/>
    </xf>
    <xf numFmtId="0" fontId="39"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3" fillId="0" borderId="0" xfId="0" applyFont="1" applyProtection="1"/>
    <xf numFmtId="0" fontId="58" fillId="0" borderId="0" xfId="26000" applyFont="1" applyProtection="1"/>
    <xf numFmtId="0" fontId="58" fillId="0" borderId="0" xfId="26000" applyFont="1" applyAlignment="1" applyProtection="1">
      <alignment horizontal="center" vertical="center"/>
    </xf>
    <xf numFmtId="0" fontId="44" fillId="0" borderId="0" xfId="26000" applyFont="1" applyProtection="1"/>
    <xf numFmtId="0" fontId="44" fillId="0" borderId="0" xfId="26000" applyFont="1" applyFill="1" applyProtection="1"/>
    <xf numFmtId="0" fontId="44" fillId="0" borderId="0" xfId="26000" applyFont="1" applyAlignment="1" applyProtection="1">
      <alignment horizontal="center"/>
    </xf>
    <xf numFmtId="0" fontId="58" fillId="0" borderId="0" xfId="26000" applyFont="1" applyAlignment="1" applyProtection="1">
      <alignment horizontal="left"/>
    </xf>
    <xf numFmtId="0" fontId="58" fillId="84" borderId="0" xfId="26000" applyFont="1" applyFill="1" applyProtection="1"/>
    <xf numFmtId="0" fontId="44" fillId="84" borderId="0" xfId="26000" applyFont="1" applyFill="1" applyProtection="1"/>
    <xf numFmtId="0" fontId="162" fillId="0" borderId="57" xfId="26000" applyFont="1" applyBorder="1" applyProtection="1"/>
    <xf numFmtId="9" fontId="58" fillId="0" borderId="0" xfId="26000" applyNumberFormat="1" applyFont="1" applyAlignment="1" applyProtection="1">
      <alignment horizontal="center"/>
    </xf>
    <xf numFmtId="38" fontId="44" fillId="83" borderId="0" xfId="29549" applyNumberFormat="1" applyFont="1" applyFill="1" applyProtection="1"/>
    <xf numFmtId="38" fontId="44" fillId="0" borderId="0" xfId="29549" applyNumberFormat="1" applyFont="1" applyFill="1" applyProtection="1"/>
    <xf numFmtId="164" fontId="44" fillId="0" borderId="57" xfId="29549" applyNumberFormat="1" applyFont="1" applyBorder="1" applyProtection="1"/>
    <xf numFmtId="164" fontId="44" fillId="0" borderId="0" xfId="29549" applyNumberFormat="1" applyFont="1" applyFill="1" applyBorder="1" applyProtection="1"/>
    <xf numFmtId="38" fontId="44" fillId="83" borderId="0" xfId="26000" applyNumberFormat="1" applyFont="1" applyFill="1" applyProtection="1"/>
    <xf numFmtId="38" fontId="44" fillId="0" borderId="0" xfId="26000" applyNumberFormat="1" applyFont="1" applyProtection="1"/>
    <xf numFmtId="0" fontId="44" fillId="0" borderId="0" xfId="26000" applyFont="1" applyAlignment="1" applyProtection="1">
      <alignment wrapText="1"/>
    </xf>
    <xf numFmtId="43" fontId="44" fillId="83" borderId="57" xfId="29549" applyFont="1" applyFill="1" applyBorder="1" applyAlignment="1" applyProtection="1">
      <alignment horizontal="left"/>
    </xf>
    <xf numFmtId="164" fontId="44" fillId="0" borderId="0" xfId="29549" applyNumberFormat="1" applyFont="1" applyFill="1" applyBorder="1" applyAlignment="1" applyProtection="1">
      <alignment horizontal="left"/>
    </xf>
    <xf numFmtId="172" fontId="44" fillId="0" borderId="0" xfId="29549" applyNumberFormat="1" applyFont="1" applyFill="1" applyBorder="1" applyAlignment="1" applyProtection="1">
      <alignment horizontal="left"/>
    </xf>
    <xf numFmtId="0" fontId="58" fillId="0" borderId="0" xfId="26000" applyFont="1" applyAlignment="1" applyProtection="1">
      <alignment wrapText="1"/>
    </xf>
    <xf numFmtId="164" fontId="44" fillId="83" borderId="57" xfId="29549" applyNumberFormat="1" applyFont="1" applyFill="1" applyBorder="1" applyProtection="1"/>
    <xf numFmtId="164" fontId="44" fillId="0" borderId="57" xfId="29549" applyNumberFormat="1" applyFont="1" applyFill="1" applyBorder="1" applyProtection="1"/>
    <xf numFmtId="40" fontId="44" fillId="83" borderId="0" xfId="26000" applyNumberFormat="1" applyFont="1" applyFill="1" applyProtection="1"/>
    <xf numFmtId="0" fontId="163" fillId="0" borderId="0" xfId="26000" applyFont="1" applyAlignment="1" applyProtection="1">
      <alignment horizontal="right"/>
    </xf>
    <xf numFmtId="164" fontId="44" fillId="0" borderId="0" xfId="29549" applyNumberFormat="1" applyFont="1" applyBorder="1" applyProtection="1"/>
    <xf numFmtId="164" fontId="44" fillId="0" borderId="0" xfId="26000" applyNumberFormat="1" applyFont="1" applyProtection="1"/>
    <xf numFmtId="38" fontId="44" fillId="0" borderId="0" xfId="29549" applyNumberFormat="1" applyFont="1" applyBorder="1" applyProtection="1"/>
    <xf numFmtId="0" fontId="163" fillId="0" borderId="0" xfId="26000" applyFont="1" applyProtection="1"/>
    <xf numFmtId="43" fontId="44" fillId="0" borderId="0" xfId="26000" applyNumberFormat="1" applyFont="1" applyProtection="1"/>
    <xf numFmtId="164" fontId="58" fillId="0" borderId="57" xfId="26000" applyNumberFormat="1" applyFont="1" applyBorder="1" applyProtection="1"/>
    <xf numFmtId="0" fontId="58" fillId="0" borderId="0" xfId="26000" applyFont="1" applyAlignment="1" applyProtection="1">
      <alignment horizontal="center"/>
    </xf>
    <xf numFmtId="0" fontId="58" fillId="0" borderId="70" xfId="26000" applyFont="1" applyBorder="1" applyAlignment="1" applyProtection="1">
      <alignment horizontal="right" vertical="top" wrapText="1"/>
    </xf>
    <xf numFmtId="164" fontId="58" fillId="0" borderId="72" xfId="29549" applyNumberFormat="1" applyFont="1" applyBorder="1" applyProtection="1"/>
    <xf numFmtId="167" fontId="44" fillId="0" borderId="0" xfId="29549" applyNumberFormat="1" applyFont="1" applyProtection="1"/>
    <xf numFmtId="43" fontId="58" fillId="0" borderId="70" xfId="29549" applyFont="1" applyBorder="1" applyProtection="1"/>
    <xf numFmtId="43" fontId="44" fillId="0" borderId="72" xfId="29549" applyFont="1" applyBorder="1" applyAlignment="1" applyProtection="1">
      <alignment horizontal="right"/>
    </xf>
    <xf numFmtId="0" fontId="44" fillId="0" borderId="0" xfId="26000" applyFont="1" applyBorder="1" applyAlignment="1" applyProtection="1">
      <alignment vertical="top"/>
    </xf>
    <xf numFmtId="0" fontId="163" fillId="0" borderId="0" xfId="26000" applyFont="1" applyAlignment="1" applyProtection="1">
      <alignment vertical="top" wrapText="1"/>
    </xf>
    <xf numFmtId="38" fontId="52" fillId="26" borderId="0" xfId="682" applyNumberFormat="1" applyFont="1" applyFill="1"/>
    <xf numFmtId="0" fontId="39" fillId="0" borderId="0" xfId="682" applyFont="1" applyFill="1" applyAlignment="1">
      <alignment wrapText="1"/>
    </xf>
    <xf numFmtId="0" fontId="0" fillId="0" borderId="0" xfId="682" applyFont="1"/>
    <xf numFmtId="0" fontId="164" fillId="26" borderId="0" xfId="682" applyFont="1" applyFill="1"/>
    <xf numFmtId="0" fontId="0" fillId="26" borderId="0" xfId="682" applyFont="1" applyFill="1"/>
    <xf numFmtId="0" fontId="49" fillId="0" borderId="17" xfId="682" applyFont="1" applyBorder="1" applyAlignment="1">
      <alignment horizontal="center"/>
    </xf>
    <xf numFmtId="0" fontId="165" fillId="0" borderId="0" xfId="682" applyFont="1"/>
    <xf numFmtId="0" fontId="165" fillId="0" borderId="0" xfId="682" applyFont="1" applyAlignment="1">
      <alignment vertical="center"/>
    </xf>
    <xf numFmtId="0" fontId="49" fillId="0" borderId="14" xfId="682" applyFont="1" applyBorder="1" applyAlignment="1">
      <alignment horizontal="center" vertical="center" wrapText="1"/>
    </xf>
    <xf numFmtId="0" fontId="166" fillId="0" borderId="0" xfId="682" applyFont="1"/>
    <xf numFmtId="0" fontId="52" fillId="0" borderId="0" xfId="682" applyFont="1"/>
    <xf numFmtId="167" fontId="167" fillId="26" borderId="0" xfId="546" applyNumberFormat="1" applyFont="1" applyFill="1"/>
    <xf numFmtId="167" fontId="52" fillId="0" borderId="0" xfId="546" applyNumberFormat="1" applyFont="1"/>
    <xf numFmtId="38" fontId="167" fillId="26" borderId="0" xfId="682" applyNumberFormat="1" applyFont="1" applyFill="1"/>
    <xf numFmtId="38" fontId="52" fillId="0" borderId="0" xfId="682" applyNumberFormat="1" applyFont="1"/>
    <xf numFmtId="38" fontId="0" fillId="26" borderId="0" xfId="682" applyNumberFormat="1" applyFont="1" applyFill="1"/>
    <xf numFmtId="38" fontId="52" fillId="26" borderId="17" xfId="449" applyNumberFormat="1" applyFont="1" applyFill="1" applyBorder="1"/>
    <xf numFmtId="38" fontId="52" fillId="0" borderId="0" xfId="449" applyNumberFormat="1" applyFont="1"/>
    <xf numFmtId="0" fontId="49" fillId="27" borderId="0" xfId="682" applyFont="1" applyFill="1"/>
    <xf numFmtId="0" fontId="0" fillId="27" borderId="0" xfId="682" applyFont="1" applyFill="1"/>
    <xf numFmtId="0" fontId="52" fillId="27" borderId="0" xfId="682" applyFont="1" applyFill="1"/>
    <xf numFmtId="167" fontId="49" fillId="27" borderId="0" xfId="546" applyNumberFormat="1" applyFont="1" applyFill="1"/>
    <xf numFmtId="167" fontId="52" fillId="27" borderId="0" xfId="546" applyNumberFormat="1" applyFont="1" applyFill="1"/>
    <xf numFmtId="164" fontId="52" fillId="26" borderId="17" xfId="449" applyNumberFormat="1" applyFont="1" applyFill="1" applyBorder="1"/>
    <xf numFmtId="164" fontId="52" fillId="0" borderId="0" xfId="449" applyNumberFormat="1" applyFont="1"/>
    <xf numFmtId="0" fontId="166" fillId="0" borderId="0" xfId="682" applyFont="1" applyAlignment="1">
      <alignment vertical="center"/>
    </xf>
    <xf numFmtId="0" fontId="168" fillId="0" borderId="0" xfId="682" applyFont="1"/>
    <xf numFmtId="38" fontId="52" fillId="26" borderId="0" xfId="449" applyNumberFormat="1" applyFont="1" applyFill="1"/>
    <xf numFmtId="167" fontId="49" fillId="27" borderId="18" xfId="546" applyNumberFormat="1" applyFont="1" applyFill="1" applyBorder="1"/>
    <xf numFmtId="167" fontId="52" fillId="26" borderId="19" xfId="546" applyNumberFormat="1" applyFont="1" applyFill="1" applyBorder="1"/>
    <xf numFmtId="0" fontId="49" fillId="0" borderId="0" xfId="682" applyFont="1"/>
    <xf numFmtId="167" fontId="49" fillId="0" borderId="20" xfId="546" applyNumberFormat="1" applyFont="1" applyBorder="1"/>
    <xf numFmtId="0" fontId="49" fillId="0" borderId="0" xfId="682" applyFont="1" applyAlignment="1">
      <alignment horizontal="center"/>
    </xf>
    <xf numFmtId="167" fontId="167" fillId="0" borderId="0" xfId="546" applyNumberFormat="1" applyFont="1" applyFill="1"/>
    <xf numFmtId="38" fontId="167" fillId="26" borderId="0" xfId="0" applyNumberFormat="1" applyFont="1" applyFill="1"/>
    <xf numFmtId="38" fontId="167" fillId="0" borderId="0" xfId="449" applyNumberFormat="1" applyFont="1" applyFill="1"/>
    <xf numFmtId="38" fontId="167" fillId="26" borderId="17" xfId="0" applyNumberFormat="1" applyFont="1" applyFill="1" applyBorder="1"/>
    <xf numFmtId="38" fontId="167" fillId="0" borderId="17" xfId="449" applyNumberFormat="1" applyFont="1" applyFill="1" applyBorder="1"/>
    <xf numFmtId="167" fontId="52" fillId="0" borderId="19" xfId="546" applyNumberFormat="1" applyFont="1" applyBorder="1"/>
    <xf numFmtId="10" fontId="49" fillId="0" borderId="19" xfId="682" applyNumberFormat="1" applyFont="1" applyBorder="1"/>
    <xf numFmtId="0" fontId="0" fillId="0" borderId="82" xfId="0" applyFont="1" applyBorder="1"/>
    <xf numFmtId="0" fontId="39" fillId="78" borderId="78" xfId="0" applyFont="1" applyFill="1" applyBorder="1" applyAlignment="1">
      <alignment horizontal="left"/>
    </xf>
    <xf numFmtId="0" fontId="0" fillId="78" borderId="78" xfId="0" applyFont="1" applyFill="1" applyBorder="1"/>
    <xf numFmtId="0" fontId="39"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3"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0" fillId="78" borderId="99" xfId="0" applyFont="1" applyFill="1" applyBorder="1" applyAlignment="1">
      <alignment wrapText="1"/>
    </xf>
    <xf numFmtId="37" fontId="0" fillId="0" borderId="0" xfId="0" applyNumberFormat="1" applyFont="1" applyBorder="1"/>
    <xf numFmtId="0" fontId="0" fillId="0" borderId="85" xfId="0" applyNumberFormat="1" applyFont="1" applyBorder="1" applyAlignment="1">
      <alignment horizontal="center" wrapText="1"/>
    </xf>
    <xf numFmtId="10" fontId="0" fillId="0" borderId="82" xfId="0" applyNumberFormat="1" applyFont="1" applyBorder="1"/>
    <xf numFmtId="0" fontId="0" fillId="78" borderId="84" xfId="0" applyFont="1" applyFill="1" applyBorder="1"/>
    <xf numFmtId="0" fontId="0" fillId="78" borderId="84" xfId="0" applyFont="1" applyFill="1" applyBorder="1" applyAlignment="1">
      <alignment horizontal="center" wrapText="1"/>
    </xf>
    <xf numFmtId="0" fontId="0" fillId="78" borderId="84" xfId="0" applyFont="1" applyFill="1" applyBorder="1" applyAlignment="1">
      <alignment wrapText="1"/>
    </xf>
    <xf numFmtId="0" fontId="0" fillId="78" borderId="96" xfId="0" applyFont="1" applyFill="1" applyBorder="1" applyAlignment="1">
      <alignment horizontal="center" wrapText="1"/>
    </xf>
    <xf numFmtId="0" fontId="0" fillId="78" borderId="96" xfId="0" applyFont="1" applyFill="1" applyBorder="1"/>
    <xf numFmtId="2" fontId="0" fillId="0" borderId="82" xfId="0" applyNumberFormat="1" applyFont="1" applyBorder="1"/>
    <xf numFmtId="168" fontId="0" fillId="0" borderId="82" xfId="0" applyNumberFormat="1" applyFont="1" applyBorder="1"/>
    <xf numFmtId="2" fontId="0" fillId="80" borderId="86" xfId="0" applyNumberFormat="1" applyFont="1" applyFill="1" applyBorder="1"/>
    <xf numFmtId="0" fontId="0" fillId="78" borderId="91" xfId="0" applyFont="1" applyFill="1" applyBorder="1" applyAlignment="1">
      <alignment horizontal="center" wrapText="1"/>
    </xf>
    <xf numFmtId="0" fontId="0" fillId="78" borderId="91" xfId="0" applyFont="1" applyFill="1" applyBorder="1"/>
    <xf numFmtId="0" fontId="0" fillId="78" borderId="92" xfId="0" applyFont="1" applyFill="1" applyBorder="1"/>
    <xf numFmtId="39" fontId="0" fillId="0" borderId="82" xfId="0" applyNumberFormat="1" applyFont="1" applyBorder="1"/>
    <xf numFmtId="2" fontId="0" fillId="0" borderId="85" xfId="0" applyNumberFormat="1" applyFont="1" applyFill="1" applyBorder="1" applyAlignment="1">
      <alignment horizontal="center"/>
    </xf>
    <xf numFmtId="0" fontId="0" fillId="78" borderId="87" xfId="0" applyFont="1" applyFill="1" applyBorder="1"/>
    <xf numFmtId="0" fontId="0" fillId="78" borderId="87" xfId="0" applyFont="1" applyFill="1" applyBorder="1" applyAlignment="1">
      <alignment horizontal="center" wrapText="1"/>
    </xf>
    <xf numFmtId="0" fontId="0" fillId="78" borderId="87"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4" xfId="0" applyFont="1" applyFill="1" applyBorder="1"/>
    <xf numFmtId="0" fontId="0" fillId="78" borderId="10" xfId="0" quotePrefix="1" applyFont="1" applyFill="1" applyBorder="1" applyAlignment="1">
      <alignment horizontal="center" wrapText="1"/>
    </xf>
    <xf numFmtId="0" fontId="0" fillId="0" borderId="97"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2" xfId="0" applyFont="1" applyFill="1" applyBorder="1" applyAlignment="1">
      <alignment wrapText="1"/>
    </xf>
    <xf numFmtId="0" fontId="0" fillId="0" borderId="98"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2"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39" fillId="0" borderId="78" xfId="0" applyFont="1" applyBorder="1" applyAlignment="1">
      <alignment vertical="center"/>
    </xf>
    <xf numFmtId="0" fontId="170" fillId="78" borderId="103" xfId="0" applyFont="1" applyFill="1" applyBorder="1" applyAlignment="1">
      <alignment wrapText="1"/>
    </xf>
    <xf numFmtId="0" fontId="39" fillId="0" borderId="90" xfId="0" applyFont="1" applyBorder="1" applyAlignment="1">
      <alignment vertical="center"/>
    </xf>
    <xf numFmtId="9" fontId="39" fillId="0" borderId="0" xfId="4688" applyFont="1" applyBorder="1" applyAlignment="1">
      <alignment horizontal="center" wrapText="1"/>
    </xf>
    <xf numFmtId="0" fontId="39" fillId="0" borderId="84" xfId="0" applyFont="1" applyBorder="1" applyAlignment="1">
      <alignment vertical="center"/>
    </xf>
    <xf numFmtId="0" fontId="39" fillId="0" borderId="0" xfId="0" applyFont="1" applyFill="1" applyBorder="1" applyAlignment="1">
      <alignment vertical="center"/>
    </xf>
    <xf numFmtId="0" fontId="39" fillId="0" borderId="87" xfId="0" applyFont="1" applyBorder="1" applyAlignment="1">
      <alignment vertical="center"/>
    </xf>
    <xf numFmtId="0" fontId="39" fillId="0" borderId="82" xfId="0" applyFont="1" applyBorder="1" applyAlignment="1">
      <alignment vertical="center"/>
    </xf>
    <xf numFmtId="0" fontId="160" fillId="73" borderId="92" xfId="0" applyFont="1" applyFill="1" applyBorder="1" applyAlignment="1">
      <alignment horizontal="center" vertical="center" wrapText="1"/>
    </xf>
    <xf numFmtId="0" fontId="39" fillId="78" borderId="12" xfId="0" applyFont="1" applyFill="1" applyBorder="1"/>
    <xf numFmtId="0" fontId="170" fillId="78" borderId="109" xfId="0" applyFont="1" applyFill="1" applyBorder="1" applyAlignment="1">
      <alignment wrapText="1"/>
    </xf>
    <xf numFmtId="0" fontId="39" fillId="78" borderId="12" xfId="0" applyFont="1" applyFill="1" applyBorder="1" applyAlignment="1">
      <alignment horizontal="center"/>
    </xf>
    <xf numFmtId="0" fontId="39" fillId="78" borderId="12" xfId="0" applyFont="1" applyFill="1" applyBorder="1" applyAlignment="1">
      <alignment horizontal="center" wrapText="1"/>
    </xf>
    <xf numFmtId="0" fontId="0" fillId="78" borderId="110" xfId="0" applyFont="1" applyFill="1" applyBorder="1"/>
    <xf numFmtId="0" fontId="0" fillId="78" borderId="10" xfId="0" applyFont="1" applyFill="1" applyBorder="1"/>
    <xf numFmtId="0" fontId="39" fillId="78" borderId="10" xfId="0" applyFont="1" applyFill="1" applyBorder="1" applyAlignment="1">
      <alignment horizontal="center"/>
    </xf>
    <xf numFmtId="0" fontId="39" fillId="78" borderId="10" xfId="0" applyFont="1" applyFill="1" applyBorder="1" applyAlignment="1">
      <alignment horizontal="center" wrapText="1"/>
    </xf>
    <xf numFmtId="0" fontId="160"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7"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7"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1"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1"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7"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5"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7"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4" fillId="0" borderId="0" xfId="439" applyNumberFormat="1" applyFont="1" applyFill="1" applyProtection="1"/>
    <xf numFmtId="38" fontId="44" fillId="0" borderId="45" xfId="439" applyNumberFormat="1" applyFont="1" applyFill="1" applyBorder="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57" fillId="82"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57" fillId="0" borderId="0" xfId="30099" applyNumberFormat="1" applyFont="1" applyAlignment="1">
      <alignment horizontal="center" vertical="top" shrinkToFit="1"/>
    </xf>
    <xf numFmtId="181" fontId="157" fillId="0" borderId="0" xfId="30099" applyNumberFormat="1" applyFont="1" applyFill="1" applyAlignment="1">
      <alignment horizontal="right" vertical="top" indent="1" shrinkToFit="1"/>
    </xf>
    <xf numFmtId="1" fontId="157" fillId="82" borderId="0" xfId="30099" applyNumberFormat="1" applyFont="1" applyFill="1" applyAlignment="1">
      <alignment horizontal="left" vertical="top" indent="3" shrinkToFit="1"/>
    </xf>
    <xf numFmtId="181" fontId="157" fillId="0" borderId="0" xfId="30099" applyNumberFormat="1" applyFont="1" applyAlignment="1">
      <alignment horizontal="right" vertical="top" indent="1" shrinkToFit="1"/>
    </xf>
    <xf numFmtId="1" fontId="157"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164" fontId="33" fillId="0" borderId="0" xfId="439" applyNumberFormat="1" applyFont="1"/>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164" fontId="33" fillId="0" borderId="0" xfId="439" applyNumberFormat="1" applyFont="1" applyAlignment="1">
      <alignment horizontal="center" vertical="center" wrapText="1"/>
    </xf>
    <xf numFmtId="0" fontId="33" fillId="0" borderId="0" xfId="439" applyNumberFormat="1" applyFont="1" applyAlignment="1">
      <alignment horizontal="center" vertical="center"/>
    </xf>
    <xf numFmtId="0" fontId="0" fillId="0" borderId="32" xfId="0" applyFont="1" applyFill="1" applyBorder="1" applyAlignment="1">
      <alignment horizontal="center" wrapText="1"/>
    </xf>
    <xf numFmtId="1" fontId="157" fillId="0" borderId="0" xfId="30099" applyNumberFormat="1" applyFont="1" applyFill="1" applyAlignment="1">
      <alignment horizontal="center" vertical="top" shrinkToFit="1"/>
    </xf>
    <xf numFmtId="0" fontId="44" fillId="0" borderId="0" xfId="30099" applyFont="1" applyAlignment="1">
      <alignment horizontal="left" vertical="top" wrapText="1"/>
    </xf>
    <xf numFmtId="0" fontId="44" fillId="0" borderId="61" xfId="0" applyFont="1" applyFill="1" applyBorder="1" applyAlignment="1">
      <alignment vertical="center" wrapText="1"/>
    </xf>
    <xf numFmtId="1" fontId="157" fillId="82" borderId="0" xfId="30099" applyNumberFormat="1" applyFont="1" applyFill="1" applyAlignment="1">
      <alignment horizontal="center" vertical="top" shrinkToFit="1"/>
    </xf>
    <xf numFmtId="1" fontId="157"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57" fillId="0" borderId="0" xfId="30099" applyFont="1" applyAlignment="1">
      <alignment horizontal="left" wrapText="1"/>
    </xf>
    <xf numFmtId="0" fontId="44" fillId="82" borderId="0" xfId="30099" applyFont="1" applyFill="1" applyAlignment="1">
      <alignment horizontal="left" vertical="top" wrapText="1" indent="1"/>
    </xf>
    <xf numFmtId="0" fontId="44" fillId="82" borderId="0" xfId="30099" applyFont="1" applyFill="1" applyAlignment="1">
      <alignment horizontal="left" vertical="top" wrapText="1" indent="2"/>
    </xf>
    <xf numFmtId="0" fontId="0" fillId="0" borderId="0" xfId="0" applyFont="1" applyAlignment="1">
      <alignment horizontal="center" vertical="center" wrapText="1"/>
    </xf>
    <xf numFmtId="0" fontId="62"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70"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9" fillId="28" borderId="0" xfId="439" applyNumberFormat="1" applyFont="1" applyFill="1" applyAlignment="1" applyProtection="1">
      <alignment wrapText="1"/>
    </xf>
    <xf numFmtId="41" fontId="70"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9"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9"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9" fillId="0" borderId="0" xfId="0" applyNumberFormat="1" applyFont="1" applyFill="1" applyAlignment="1" applyProtection="1">
      <alignment wrapText="1"/>
    </xf>
    <xf numFmtId="41" fontId="70" fillId="0" borderId="0" xfId="0" applyNumberFormat="1" applyFont="1" applyFill="1" applyBorder="1" applyAlignment="1" applyProtection="1">
      <alignment wrapText="1"/>
      <protection locked="0"/>
    </xf>
    <xf numFmtId="164" fontId="0" fillId="0" borderId="45" xfId="0" applyNumberFormat="1" applyFont="1" applyFill="1" applyBorder="1" applyAlignment="1" applyProtection="1">
      <alignment wrapText="1"/>
      <protection locked="0"/>
    </xf>
    <xf numFmtId="0" fontId="70" fillId="0" borderId="0" xfId="0" applyFont="1" applyFill="1" applyAlignment="1" applyProtection="1">
      <alignment wrapText="1"/>
    </xf>
    <xf numFmtId="0" fontId="0" fillId="0" borderId="0" xfId="0" applyFont="1" applyBorder="1" applyAlignment="1" applyProtection="1">
      <alignment wrapText="1"/>
    </xf>
    <xf numFmtId="41" fontId="70" fillId="0" borderId="45" xfId="0" applyNumberFormat="1" applyFont="1" applyFill="1" applyBorder="1" applyAlignment="1" applyProtection="1">
      <alignment wrapText="1"/>
    </xf>
    <xf numFmtId="41" fontId="70" fillId="0" borderId="45" xfId="0" applyNumberFormat="1" applyFont="1" applyBorder="1" applyAlignment="1">
      <alignment wrapText="1"/>
    </xf>
    <xf numFmtId="41" fontId="70"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0"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0"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9" fillId="0" borderId="0" xfId="439" applyNumberFormat="1" applyFont="1" applyFill="1" applyAlignment="1" applyProtection="1">
      <alignment vertical="center" wrapText="1"/>
    </xf>
    <xf numFmtId="39" fontId="69"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39"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9"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9"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78"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4" fillId="0" borderId="45" xfId="0" applyFont="1" applyFill="1" applyBorder="1" applyAlignment="1" applyProtection="1">
      <alignment wrapText="1"/>
    </xf>
    <xf numFmtId="0" fontId="178" fillId="0" borderId="0" xfId="0" applyFont="1" applyFill="1" applyAlignment="1" applyProtection="1">
      <alignment horizontal="left" vertical="center" wrapText="1"/>
    </xf>
    <xf numFmtId="0" fontId="44" fillId="0" borderId="0" xfId="0" applyFont="1" applyFill="1" applyAlignment="1" applyProtection="1">
      <alignment wrapText="1"/>
    </xf>
    <xf numFmtId="0" fontId="62" fillId="0" borderId="0" xfId="0" applyFont="1" applyAlignment="1">
      <alignment wrapText="1"/>
    </xf>
    <xf numFmtId="0" fontId="0" fillId="0" borderId="0" xfId="0" applyFont="1" applyFill="1" applyAlignment="1" applyProtection="1">
      <alignment vertical="center"/>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4" fillId="34" borderId="0" xfId="0" applyFont="1" applyFill="1" applyAlignment="1" applyProtection="1">
      <alignment horizontal="center" vertical="center" wrapText="1"/>
    </xf>
    <xf numFmtId="0" fontId="62" fillId="0" borderId="0" xfId="0" applyFont="1" applyFill="1" applyAlignment="1" applyProtection="1">
      <alignment horizontal="center" vertical="center" wrapText="1"/>
    </xf>
    <xf numFmtId="3" fontId="185" fillId="0" borderId="0" xfId="1540" applyFont="1" applyFill="1" applyAlignment="1" applyProtection="1">
      <alignment vertical="center" wrapText="1"/>
    </xf>
    <xf numFmtId="0" fontId="58" fillId="0" borderId="0" xfId="30099" applyFont="1" applyFill="1" applyAlignment="1">
      <alignment horizontal="left" vertical="top" wrapText="1"/>
    </xf>
    <xf numFmtId="0" fontId="58"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39" fillId="0" borderId="0" xfId="0" applyFont="1" applyFill="1" applyAlignment="1" applyProtection="1">
      <alignment horizontal="center" vertical="center"/>
    </xf>
    <xf numFmtId="38" fontId="0" fillId="0" borderId="0" xfId="0" applyNumberFormat="1" applyFont="1" applyProtection="1">
      <protection locked="0"/>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0" fontId="70"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41" fontId="70" fillId="74" borderId="0" xfId="439" applyNumberFormat="1" applyFont="1" applyFill="1" applyAlignment="1" applyProtection="1">
      <alignment wrapText="1"/>
    </xf>
    <xf numFmtId="0" fontId="58"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70"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70" fillId="74" borderId="0" xfId="0" applyFont="1" applyFill="1" applyAlignment="1" applyProtection="1"/>
    <xf numFmtId="0" fontId="70"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2"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70"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9"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0" fontId="187"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70"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88" fillId="74" borderId="0" xfId="0" applyFont="1" applyFill="1" applyAlignment="1" applyProtection="1">
      <alignment horizontal="left" vertical="center"/>
    </xf>
    <xf numFmtId="0" fontId="82" fillId="74" borderId="0" xfId="0" applyFont="1" applyFill="1" applyAlignment="1" applyProtection="1">
      <alignment vertical="center"/>
    </xf>
    <xf numFmtId="0" fontId="189" fillId="74" borderId="0" xfId="0" applyFont="1" applyFill="1" applyAlignment="1" applyProtection="1">
      <alignment vertical="center"/>
      <protection locked="0"/>
    </xf>
    <xf numFmtId="168" fontId="39" fillId="29" borderId="0" xfId="439" applyNumberFormat="1" applyFont="1" applyFill="1" applyAlignment="1" applyProtection="1">
      <alignment horizontal="center" vertical="center"/>
      <protection locked="0"/>
    </xf>
    <xf numFmtId="0" fontId="58" fillId="74" borderId="0" xfId="0" applyFont="1" applyFill="1" applyAlignment="1">
      <alignment vertical="center" wrapText="1"/>
    </xf>
    <xf numFmtId="41" fontId="70" fillId="36" borderId="112" xfId="439" applyNumberFormat="1" applyFont="1" applyFill="1" applyBorder="1" applyAlignment="1">
      <alignment vertical="center" wrapText="1"/>
    </xf>
    <xf numFmtId="41" fontId="70" fillId="36" borderId="0" xfId="439" applyNumberFormat="1" applyFont="1" applyFill="1" applyAlignment="1">
      <alignment vertical="center" wrapText="1"/>
    </xf>
    <xf numFmtId="41" fontId="70" fillId="36" borderId="113" xfId="439" applyNumberFormat="1" applyFont="1" applyFill="1" applyBorder="1" applyAlignment="1">
      <alignment vertical="center" wrapText="1"/>
    </xf>
    <xf numFmtId="41" fontId="190" fillId="0" borderId="0" xfId="0" applyNumberFormat="1" applyFont="1" applyFill="1" applyAlignment="1" applyProtection="1">
      <alignment wrapText="1"/>
    </xf>
    <xf numFmtId="0" fontId="58"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4" fillId="22" borderId="0" xfId="439" applyNumberFormat="1" applyFont="1" applyFill="1" applyAlignment="1" applyProtection="1">
      <alignment horizontal="center" vertical="center" wrapText="1"/>
    </xf>
    <xf numFmtId="167" fontId="0" fillId="80" borderId="86" xfId="545" applyNumberFormat="1" applyFont="1" applyFill="1" applyBorder="1"/>
    <xf numFmtId="37" fontId="0" fillId="0" borderId="102" xfId="0" applyNumberFormat="1" applyFont="1" applyFill="1" applyBorder="1" applyAlignment="1">
      <alignment horizontal="center" wrapText="1"/>
    </xf>
    <xf numFmtId="37" fontId="82" fillId="0" borderId="102" xfId="0" applyNumberFormat="1" applyFont="1" applyFill="1" applyBorder="1" applyAlignment="1">
      <alignment horizontal="center" wrapText="1"/>
    </xf>
    <xf numFmtId="41" fontId="70"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0"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5" xfId="0" applyNumberFormat="1" applyFont="1" applyFill="1" applyBorder="1" applyAlignment="1">
      <alignment horizontal="center" wrapText="1"/>
    </xf>
    <xf numFmtId="37" fontId="0" fillId="0" borderId="88" xfId="0" applyNumberFormat="1" applyFont="1" applyFill="1" applyBorder="1" applyAlignment="1">
      <alignment horizontal="center" wrapText="1"/>
    </xf>
    <xf numFmtId="10" fontId="0" fillId="0" borderId="94" xfId="0" applyNumberFormat="1" applyFont="1" applyFill="1" applyBorder="1" applyAlignment="1">
      <alignment horizontal="center" wrapText="1"/>
    </xf>
    <xf numFmtId="0" fontId="39" fillId="78" borderId="10" xfId="0" applyFont="1" applyFill="1" applyBorder="1" applyAlignment="1">
      <alignment wrapText="1"/>
    </xf>
    <xf numFmtId="0" fontId="39" fillId="78" borderId="114" xfId="0" applyFont="1" applyFill="1" applyBorder="1" applyAlignment="1">
      <alignment wrapText="1"/>
    </xf>
    <xf numFmtId="10" fontId="0" fillId="0" borderId="83" xfId="4688" applyNumberFormat="1" applyFont="1" applyFill="1" applyBorder="1"/>
    <xf numFmtId="10" fontId="0" fillId="0" borderId="83" xfId="0" applyNumberFormat="1" applyFont="1" applyFill="1" applyBorder="1" applyAlignment="1">
      <alignment horizontal="center" wrapText="1"/>
    </xf>
    <xf numFmtId="0" fontId="0" fillId="0" borderId="115"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0" fontId="0" fillId="78" borderId="85" xfId="0" applyFont="1" applyFill="1" applyBorder="1" applyAlignment="1">
      <alignment vertical="center" wrapText="1"/>
    </xf>
    <xf numFmtId="0" fontId="0" fillId="78" borderId="95" xfId="0" applyFont="1" applyFill="1" applyBorder="1" applyAlignment="1">
      <alignment vertical="center" wrapText="1"/>
    </xf>
    <xf numFmtId="0" fontId="0" fillId="78" borderId="101" xfId="0" applyFont="1" applyFill="1" applyBorder="1" applyAlignment="1">
      <alignment vertical="center" wrapText="1"/>
    </xf>
    <xf numFmtId="0" fontId="0" fillId="78" borderId="94"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3" xfId="0" quotePrefix="1" applyFont="1" applyFill="1" applyBorder="1" applyAlignment="1">
      <alignment horizontal="center" vertical="center" wrapText="1"/>
    </xf>
    <xf numFmtId="0" fontId="0" fillId="78" borderId="83" xfId="0" applyFont="1" applyFill="1" applyBorder="1" applyAlignment="1">
      <alignment vertical="center" wrapText="1"/>
    </xf>
    <xf numFmtId="164" fontId="44" fillId="0" borderId="10" xfId="439" applyNumberFormat="1" applyFont="1" applyFill="1" applyBorder="1" applyAlignment="1">
      <alignment horizontal="center"/>
    </xf>
    <xf numFmtId="0" fontId="0" fillId="78" borderId="0" xfId="0" applyFont="1" applyFill="1" applyBorder="1" applyProtection="1">
      <protection locked="0"/>
    </xf>
    <xf numFmtId="0" fontId="170" fillId="78" borderId="116" xfId="0" applyFont="1" applyFill="1" applyBorder="1" applyAlignment="1">
      <alignment wrapText="1"/>
    </xf>
    <xf numFmtId="9" fontId="0" fillId="78" borderId="83" xfId="4688" applyFont="1" applyFill="1" applyBorder="1" applyAlignment="1">
      <alignment horizontal="center" wrapText="1"/>
    </xf>
    <xf numFmtId="0" fontId="0" fillId="78" borderId="94" xfId="0" applyFont="1" applyFill="1" applyBorder="1" applyAlignment="1">
      <alignment horizontal="center" vertical="center" wrapText="1"/>
    </xf>
    <xf numFmtId="37" fontId="0" fillId="78" borderId="102" xfId="0" applyNumberFormat="1" applyFont="1" applyFill="1" applyBorder="1" applyAlignment="1">
      <alignment horizontal="center" wrapText="1"/>
    </xf>
    <xf numFmtId="0" fontId="0" fillId="78" borderId="97" xfId="0" applyFont="1" applyFill="1" applyBorder="1" applyProtection="1">
      <protection locked="0"/>
    </xf>
    <xf numFmtId="43" fontId="0" fillId="0" borderId="10" xfId="439" applyNumberFormat="1" applyFont="1" applyFill="1" applyBorder="1" applyAlignment="1">
      <alignment horizontal="center"/>
    </xf>
    <xf numFmtId="43" fontId="44" fillId="0" borderId="10" xfId="439" applyNumberFormat="1" applyFont="1" applyFill="1" applyBorder="1" applyAlignment="1">
      <alignment horizontal="center"/>
    </xf>
    <xf numFmtId="0" fontId="132" fillId="78" borderId="15" xfId="30099" applyFont="1" applyFill="1" applyBorder="1" applyAlignment="1">
      <alignment horizontal="left" wrapText="1"/>
    </xf>
    <xf numFmtId="0" fontId="132" fillId="78" borderId="0" xfId="30099" applyFont="1" applyFill="1" applyAlignment="1">
      <alignment horizontal="left" wrapText="1"/>
    </xf>
    <xf numFmtId="0" fontId="132"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7" xfId="0" applyBorder="1"/>
    <xf numFmtId="0" fontId="0" fillId="0" borderId="81" xfId="0" applyBorder="1"/>
    <xf numFmtId="0" fontId="0" fillId="0" borderId="82" xfId="0" applyBorder="1"/>
    <xf numFmtId="0" fontId="0" fillId="0" borderId="120" xfId="0" applyBorder="1"/>
    <xf numFmtId="0" fontId="194"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4" fillId="0" borderId="83" xfId="0" applyFont="1" applyBorder="1" applyAlignment="1">
      <alignment horizontal="center" vertical="center" wrapText="1"/>
    </xf>
    <xf numFmtId="0" fontId="0" fillId="0" borderId="0" xfId="0" applyAlignment="1">
      <alignment horizontal="center" wrapText="1"/>
    </xf>
    <xf numFmtId="9" fontId="0" fillId="0" borderId="0" xfId="4688" applyFont="1" applyFill="1" applyBorder="1"/>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0" fontId="39" fillId="0" borderId="122" xfId="0" applyFont="1" applyBorder="1" applyAlignment="1">
      <alignment wrapText="1"/>
    </xf>
    <xf numFmtId="0" fontId="0" fillId="0" borderId="123" xfId="0" applyBorder="1"/>
    <xf numFmtId="0" fontId="0" fillId="0" borderId="123" xfId="0" applyBorder="1" applyAlignment="1">
      <alignment horizontal="center" wrapText="1"/>
    </xf>
    <xf numFmtId="0" fontId="0" fillId="0" borderId="123" xfId="0" applyBorder="1" applyAlignment="1">
      <alignment wrapText="1"/>
    </xf>
    <xf numFmtId="0" fontId="0" fillId="78" borderId="84" xfId="0" applyFill="1" applyBorder="1"/>
    <xf numFmtId="0" fontId="39" fillId="78" borderId="89" xfId="0" applyFont="1" applyFill="1" applyBorder="1" applyAlignment="1">
      <alignment horizontal="center" wrapText="1"/>
    </xf>
    <xf numFmtId="0" fontId="39" fillId="78" borderId="70" xfId="0" applyFont="1" applyFill="1" applyBorder="1" applyAlignment="1">
      <alignment horizontal="center"/>
    </xf>
    <xf numFmtId="37" fontId="0" fillId="0" borderId="57" xfId="0" applyNumberFormat="1" applyBorder="1" applyAlignment="1">
      <alignment horizontal="center"/>
    </xf>
    <xf numFmtId="0" fontId="0" fillId="0" borderId="125" xfId="0" applyBorder="1"/>
    <xf numFmtId="0" fontId="0" fillId="85" borderId="57" xfId="0" applyFill="1" applyBorder="1" applyAlignment="1">
      <alignment horizontal="center" wrapText="1"/>
    </xf>
    <xf numFmtId="37" fontId="44" fillId="0" borderId="57" xfId="0" applyNumberFormat="1" applyFont="1" applyBorder="1" applyAlignment="1">
      <alignment horizontal="center"/>
    </xf>
    <xf numFmtId="37" fontId="44" fillId="0" borderId="57" xfId="0" applyNumberFormat="1" applyFont="1" applyBorder="1" applyAlignment="1">
      <alignment horizontal="center" wrapText="1"/>
    </xf>
    <xf numFmtId="0" fontId="0" fillId="0" borderId="87" xfId="0" applyBorder="1"/>
    <xf numFmtId="0" fontId="0" fillId="0" borderId="87" xfId="0" applyBorder="1" applyAlignment="1">
      <alignment wrapText="1"/>
    </xf>
    <xf numFmtId="0" fontId="0" fillId="0" borderId="82" xfId="0" applyBorder="1" applyAlignment="1">
      <alignment wrapText="1"/>
    </xf>
    <xf numFmtId="0" fontId="0" fillId="0" borderId="89" xfId="0" applyBorder="1"/>
    <xf numFmtId="0" fontId="0" fillId="0" borderId="118" xfId="0" applyBorder="1"/>
    <xf numFmtId="0" fontId="37" fillId="78" borderId="57" xfId="0" applyFont="1" applyFill="1" applyBorder="1" applyAlignment="1">
      <alignment vertical="center" wrapText="1"/>
    </xf>
    <xf numFmtId="0" fontId="160" fillId="0" borderId="0" xfId="0" applyFont="1" applyFill="1" applyBorder="1" applyAlignment="1">
      <alignment vertical="center" wrapText="1"/>
    </xf>
    <xf numFmtId="0" fontId="0" fillId="0" borderId="119" xfId="0" applyBorder="1" applyAlignment="1">
      <alignment wrapText="1"/>
    </xf>
    <xf numFmtId="0" fontId="37" fillId="78" borderId="57" xfId="0" applyFont="1" applyFill="1" applyBorder="1" applyAlignment="1">
      <alignment horizontal="justify" vertical="center"/>
    </xf>
    <xf numFmtId="0" fontId="45" fillId="78" borderId="13" xfId="0" applyFont="1" applyFill="1" applyBorder="1" applyAlignment="1">
      <alignment vertical="center" wrapText="1"/>
    </xf>
    <xf numFmtId="0" fontId="45" fillId="0" borderId="89" xfId="0" applyFont="1" applyFill="1" applyBorder="1" applyAlignment="1">
      <alignment vertical="center"/>
    </xf>
    <xf numFmtId="0" fontId="0" fillId="0" borderId="57" xfId="0" applyFill="1" applyBorder="1" applyAlignment="1">
      <alignment horizontal="justify" vertical="center"/>
    </xf>
    <xf numFmtId="0" fontId="40" fillId="78" borderId="13" xfId="0" applyFont="1" applyFill="1" applyBorder="1" applyAlignment="1">
      <alignment horizontal="center" vertical="center"/>
    </xf>
    <xf numFmtId="164" fontId="0" fillId="0" borderId="0" xfId="439" applyNumberFormat="1" applyFont="1" applyFill="1" applyProtection="1"/>
    <xf numFmtId="1" fontId="195" fillId="0" borderId="0" xfId="682" applyNumberFormat="1" applyFont="1" applyFill="1" applyAlignment="1">
      <alignment horizontal="center" vertical="center"/>
    </xf>
    <xf numFmtId="0" fontId="62" fillId="0" borderId="0" xfId="0" applyFont="1" applyFill="1" applyBorder="1" applyAlignment="1">
      <alignment vertical="center" wrapText="1"/>
    </xf>
    <xf numFmtId="0" fontId="0" fillId="0" borderId="0" xfId="0" applyNumberFormat="1" applyFont="1" applyFill="1" applyBorder="1" applyAlignment="1">
      <alignment horizontal="center"/>
    </xf>
    <xf numFmtId="1" fontId="0" fillId="0" borderId="0" xfId="0" applyNumberFormat="1" applyFill="1"/>
    <xf numFmtId="1" fontId="0" fillId="0" borderId="0" xfId="0" applyNumberFormat="1" applyFill="1" applyAlignment="1">
      <alignment wrapText="1"/>
    </xf>
    <xf numFmtId="1" fontId="196" fillId="0" borderId="0" xfId="0" applyNumberFormat="1" applyFont="1" applyFill="1" applyAlignment="1">
      <alignment horizontal="center"/>
    </xf>
    <xf numFmtId="1" fontId="197" fillId="0" borderId="0" xfId="0" applyNumberFormat="1" applyFont="1" applyFill="1" applyAlignment="1">
      <alignment horizontal="center" vertical="center"/>
    </xf>
    <xf numFmtId="1" fontId="49" fillId="0" borderId="0" xfId="0" applyNumberFormat="1" applyFont="1" applyFill="1" applyAlignment="1">
      <alignment horizontal="center" vertical="center"/>
    </xf>
    <xf numFmtId="0" fontId="59" fillId="0" borderId="0" xfId="0" applyFont="1" applyFill="1" applyAlignment="1">
      <alignment horizontal="left" vertical="center" wrapText="1"/>
    </xf>
    <xf numFmtId="43" fontId="59" fillId="0" borderId="0" xfId="12490" applyFont="1" applyFill="1" applyAlignment="1">
      <alignment horizontal="center" vertical="center"/>
    </xf>
    <xf numFmtId="43" fontId="39" fillId="0" borderId="0" xfId="12490" applyFont="1" applyFill="1" applyAlignment="1">
      <alignment horizontal="center" vertical="center"/>
    </xf>
    <xf numFmtId="4" fontId="0" fillId="0" borderId="0" xfId="0" applyNumberFormat="1" applyFill="1"/>
    <xf numFmtId="0" fontId="33" fillId="0" borderId="0" xfId="683" applyFill="1" applyAlignment="1" applyProtection="1">
      <alignment vertical="center" wrapText="1"/>
      <protection locked="0"/>
    </xf>
    <xf numFmtId="0" fontId="11" fillId="0" borderId="0" xfId="841" applyFill="1" applyAlignment="1">
      <alignment horizontal="left" vertical="center" wrapText="1"/>
    </xf>
    <xf numFmtId="0" fontId="39" fillId="0" borderId="25" xfId="683" applyFont="1" applyFill="1" applyBorder="1" applyAlignment="1">
      <alignment horizontal="center" vertical="center"/>
    </xf>
    <xf numFmtId="1" fontId="34" fillId="0" borderId="0" xfId="1531" applyNumberFormat="1" applyFill="1"/>
    <xf numFmtId="0" fontId="33" fillId="0" borderId="0" xfId="683" applyFill="1" applyAlignment="1">
      <alignment vertical="center" wrapText="1"/>
    </xf>
    <xf numFmtId="0" fontId="34" fillId="0" borderId="0" xfId="1531" applyFill="1"/>
    <xf numFmtId="0" fontId="33" fillId="0" borderId="0" xfId="683" applyFill="1" applyAlignment="1">
      <alignment wrapText="1"/>
    </xf>
    <xf numFmtId="185" fontId="59" fillId="0" borderId="0" xfId="0" applyNumberFormat="1" applyFont="1" applyFill="1" applyAlignment="1">
      <alignment horizontal="center" vertical="center"/>
    </xf>
    <xf numFmtId="185" fontId="39" fillId="0" borderId="0" xfId="12490" applyNumberFormat="1" applyFont="1" applyFill="1" applyAlignment="1">
      <alignment horizontal="center" vertical="center"/>
    </xf>
    <xf numFmtId="0" fontId="59" fillId="0" borderId="0" xfId="0" applyFont="1" applyFill="1" applyAlignment="1">
      <alignment horizontal="center" vertical="center"/>
    </xf>
    <xf numFmtId="0" fontId="39" fillId="0" borderId="0" xfId="12490" applyNumberFormat="1" applyFont="1" applyFill="1" applyAlignment="1">
      <alignment horizontal="center" vertical="center"/>
    </xf>
    <xf numFmtId="0" fontId="34" fillId="0" borderId="0" xfId="1532" applyFill="1" applyAlignment="1">
      <alignment horizontal="left" wrapText="1"/>
    </xf>
    <xf numFmtId="0" fontId="0" fillId="0" borderId="0" xfId="0" applyFill="1" applyAlignment="1">
      <alignment wrapText="1"/>
    </xf>
    <xf numFmtId="0" fontId="39" fillId="0" borderId="0" xfId="683" applyFont="1" applyFill="1" applyAlignment="1">
      <alignment horizontal="center" vertical="center"/>
    </xf>
    <xf numFmtId="0" fontId="33" fillId="0" borderId="23" xfId="683" applyFill="1" applyBorder="1" applyAlignment="1">
      <alignment vertical="center" wrapText="1"/>
    </xf>
    <xf numFmtId="0" fontId="39" fillId="0" borderId="23" xfId="683" applyFont="1" applyFill="1" applyBorder="1" applyAlignment="1">
      <alignment horizontal="center" vertical="center"/>
    </xf>
    <xf numFmtId="0" fontId="39" fillId="0" borderId="0" xfId="704" applyFont="1" applyFill="1" applyAlignment="1">
      <alignment horizontal="center" vertical="center"/>
    </xf>
    <xf numFmtId="0" fontId="33" fillId="0" borderId="0" xfId="704" applyFill="1" applyAlignment="1">
      <alignment vertical="center" wrapText="1"/>
    </xf>
    <xf numFmtId="0" fontId="3" fillId="0" borderId="126" xfId="25235" applyFont="1" applyFill="1" applyBorder="1" applyAlignment="1">
      <alignment horizontal="center" vertical="center"/>
    </xf>
    <xf numFmtId="0" fontId="33" fillId="0" borderId="0" xfId="622" applyFill="1" applyAlignment="1">
      <alignment wrapText="1"/>
    </xf>
    <xf numFmtId="0" fontId="33" fillId="0" borderId="126" xfId="25235" applyFill="1" applyBorder="1" applyAlignment="1">
      <alignment horizontal="left" vertical="center" wrapText="1"/>
    </xf>
    <xf numFmtId="186" fontId="59" fillId="0" borderId="0" xfId="12490" applyNumberFormat="1" applyFont="1" applyFill="1" applyAlignment="1">
      <alignment horizontal="center" vertical="center"/>
    </xf>
    <xf numFmtId="186" fontId="39" fillId="0" borderId="0" xfId="12490" applyNumberFormat="1" applyFont="1" applyFill="1" applyAlignment="1">
      <alignment horizontal="center" vertical="center"/>
    </xf>
    <xf numFmtId="0" fontId="33" fillId="0" borderId="127" xfId="25235" applyFill="1" applyBorder="1" applyAlignment="1">
      <alignment horizontal="left" vertical="center" wrapText="1"/>
    </xf>
    <xf numFmtId="0" fontId="3" fillId="0" borderId="127" xfId="25235" applyFont="1" applyFill="1" applyBorder="1" applyAlignment="1">
      <alignment horizontal="center" vertical="center"/>
    </xf>
    <xf numFmtId="43" fontId="0" fillId="0" borderId="0" xfId="0" applyNumberFormat="1" applyFill="1"/>
    <xf numFmtId="43" fontId="0" fillId="0" borderId="0" xfId="12490" applyFont="1" applyFill="1"/>
    <xf numFmtId="43" fontId="34" fillId="0" borderId="0" xfId="12490" applyFont="1" applyFill="1"/>
    <xf numFmtId="164" fontId="0" fillId="0" borderId="0" xfId="0" applyNumberFormat="1" applyFill="1"/>
    <xf numFmtId="0" fontId="0" fillId="0" borderId="0" xfId="0"/>
    <xf numFmtId="0" fontId="0" fillId="0" borderId="0" xfId="0" applyAlignment="1">
      <alignment horizontal="center" wrapText="1"/>
    </xf>
    <xf numFmtId="1" fontId="0" fillId="0" borderId="0" xfId="0" applyNumberFormat="1" applyAlignment="1">
      <alignment wrapText="1"/>
    </xf>
    <xf numFmtId="1" fontId="196" fillId="0" borderId="0" xfId="0" applyNumberFormat="1" applyFont="1" applyAlignment="1">
      <alignment horizontal="center"/>
    </xf>
    <xf numFmtId="0" fontId="0" fillId="0" borderId="0" xfId="0" applyAlignment="1">
      <alignment horizontal="center"/>
    </xf>
    <xf numFmtId="1" fontId="197" fillId="20" borderId="0" xfId="0" applyNumberFormat="1" applyFont="1" applyFill="1" applyAlignment="1">
      <alignment horizontal="center" vertical="center"/>
    </xf>
    <xf numFmtId="1" fontId="49" fillId="20" borderId="0" xfId="0" applyNumberFormat="1" applyFont="1" applyFill="1" applyAlignment="1">
      <alignment horizontal="center" vertical="center"/>
    </xf>
    <xf numFmtId="1" fontId="196" fillId="20" borderId="0" xfId="0" applyNumberFormat="1" applyFont="1" applyFill="1" applyAlignment="1">
      <alignment horizontal="center"/>
    </xf>
    <xf numFmtId="1" fontId="0" fillId="0" borderId="0" xfId="0" applyNumberFormat="1"/>
    <xf numFmtId="0" fontId="59" fillId="0" borderId="0" xfId="0" applyFont="1" applyAlignment="1">
      <alignment horizontal="left" vertical="center" wrapText="1"/>
    </xf>
    <xf numFmtId="43" fontId="59" fillId="0" borderId="0" xfId="439" applyFont="1" applyFill="1" applyAlignment="1" applyProtection="1">
      <alignment horizontal="center" vertical="center"/>
    </xf>
    <xf numFmtId="43" fontId="39" fillId="0" borderId="0" xfId="439" applyFont="1" applyFill="1" applyAlignment="1" applyProtection="1">
      <alignment horizontal="center" vertical="center"/>
    </xf>
    <xf numFmtId="4" fontId="0" fillId="0" borderId="0" xfId="0" applyNumberFormat="1"/>
    <xf numFmtId="0" fontId="33" fillId="0" borderId="0" xfId="683" applyAlignment="1" applyProtection="1">
      <alignment vertical="center" wrapText="1"/>
      <protection locked="0"/>
    </xf>
    <xf numFmtId="0" fontId="11" fillId="0" borderId="0" xfId="841" applyAlignment="1">
      <alignment horizontal="left" vertical="center" wrapText="1"/>
    </xf>
    <xf numFmtId="0" fontId="0" fillId="27" borderId="0" xfId="0" applyFill="1" applyAlignment="1">
      <alignment horizontal="center"/>
    </xf>
    <xf numFmtId="1" fontId="0" fillId="27" borderId="0" xfId="0" applyNumberFormat="1" applyFill="1"/>
    <xf numFmtId="0" fontId="59" fillId="27" borderId="0" xfId="0" applyFont="1" applyFill="1" applyAlignment="1">
      <alignment horizontal="left" vertical="center" wrapText="1"/>
    </xf>
    <xf numFmtId="43" fontId="59" fillId="27" borderId="0" xfId="439" applyFont="1" applyFill="1" applyAlignment="1" applyProtection="1">
      <alignment horizontal="center" vertical="center"/>
    </xf>
    <xf numFmtId="43" fontId="39" fillId="27" borderId="0" xfId="439" applyFont="1" applyFill="1" applyAlignment="1" applyProtection="1">
      <alignment horizontal="center" vertical="center"/>
    </xf>
    <xf numFmtId="0" fontId="0" fillId="27" borderId="0" xfId="0" applyFill="1"/>
    <xf numFmtId="1" fontId="34" fillId="0" borderId="0" xfId="1531" applyNumberFormat="1"/>
    <xf numFmtId="0" fontId="33" fillId="0" borderId="0" xfId="683" applyAlignment="1">
      <alignment vertical="center" wrapText="1"/>
    </xf>
    <xf numFmtId="1" fontId="34" fillId="27" borderId="0" xfId="1531" applyNumberFormat="1" applyFill="1"/>
    <xf numFmtId="0" fontId="33" fillId="27" borderId="0" xfId="683" applyFill="1" applyAlignment="1">
      <alignment wrapText="1"/>
    </xf>
    <xf numFmtId="0" fontId="33" fillId="0" borderId="0" xfId="683" applyAlignment="1">
      <alignment wrapText="1"/>
    </xf>
    <xf numFmtId="0" fontId="198" fillId="0" borderId="0" xfId="31722" applyAlignment="1">
      <alignment horizontal="left" wrapText="1"/>
    </xf>
    <xf numFmtId="0" fontId="0" fillId="27" borderId="0" xfId="0" applyFill="1" applyAlignment="1">
      <alignment wrapText="1"/>
    </xf>
    <xf numFmtId="185" fontId="59" fillId="0" borderId="0" xfId="0" applyNumberFormat="1" applyFont="1" applyAlignment="1">
      <alignment horizontal="center" vertical="center"/>
    </xf>
    <xf numFmtId="185" fontId="39" fillId="0" borderId="0" xfId="439" applyNumberFormat="1" applyFont="1" applyFill="1" applyAlignment="1" applyProtection="1">
      <alignment horizontal="center" vertical="center"/>
    </xf>
    <xf numFmtId="185" fontId="59" fillId="27" borderId="0" xfId="0" applyNumberFormat="1" applyFont="1" applyFill="1" applyAlignment="1">
      <alignment horizontal="center" vertical="center"/>
    </xf>
    <xf numFmtId="185" fontId="39" fillId="27" borderId="0" xfId="439" applyNumberFormat="1" applyFont="1" applyFill="1" applyAlignment="1" applyProtection="1">
      <alignment horizontal="center" vertical="center"/>
    </xf>
    <xf numFmtId="0" fontId="59" fillId="27" borderId="0" xfId="0" applyFont="1" applyFill="1" applyAlignment="1">
      <alignment horizontal="center" vertical="center"/>
    </xf>
    <xf numFmtId="0" fontId="39" fillId="27" borderId="0" xfId="439" applyNumberFormat="1" applyFont="1" applyFill="1" applyAlignment="1" applyProtection="1">
      <alignment horizontal="center" vertical="center"/>
    </xf>
    <xf numFmtId="0" fontId="33" fillId="0" borderId="23" xfId="683" applyBorder="1" applyAlignment="1">
      <alignment vertical="center" wrapText="1"/>
    </xf>
    <xf numFmtId="0" fontId="39" fillId="27" borderId="0" xfId="704" applyFont="1" applyFill="1" applyAlignment="1">
      <alignment horizontal="center" vertical="center"/>
    </xf>
    <xf numFmtId="0" fontId="33" fillId="27" borderId="0" xfId="704" applyFill="1" applyAlignment="1">
      <alignment vertical="center" wrapText="1"/>
    </xf>
    <xf numFmtId="0" fontId="39" fillId="0" borderId="0" xfId="704" applyFont="1" applyAlignment="1">
      <alignment horizontal="center" vertical="center"/>
    </xf>
    <xf numFmtId="0" fontId="33" fillId="0" borderId="0" xfId="704" applyAlignment="1">
      <alignment vertical="center" wrapText="1"/>
    </xf>
    <xf numFmtId="0" fontId="33" fillId="0" borderId="0" xfId="622" applyAlignment="1">
      <alignment wrapText="1"/>
    </xf>
    <xf numFmtId="186" fontId="59" fillId="27" borderId="0" xfId="439" applyNumberFormat="1" applyFont="1" applyFill="1" applyAlignment="1" applyProtection="1">
      <alignment horizontal="center" vertical="center"/>
    </xf>
    <xf numFmtId="186" fontId="39" fillId="27" borderId="0" xfId="439" applyNumberFormat="1" applyFont="1" applyFill="1" applyAlignment="1" applyProtection="1">
      <alignment horizontal="center" vertical="center"/>
    </xf>
    <xf numFmtId="0" fontId="39" fillId="34" borderId="0" xfId="704" applyFont="1" applyFill="1" applyAlignment="1">
      <alignment horizontal="center" vertical="center"/>
    </xf>
    <xf numFmtId="0" fontId="33" fillId="34" borderId="0" xfId="704" applyFill="1" applyAlignment="1">
      <alignment vertical="center" wrapText="1"/>
    </xf>
    <xf numFmtId="0" fontId="0" fillId="34" borderId="0" xfId="0" applyFill="1"/>
    <xf numFmtId="0" fontId="0" fillId="34" borderId="0" xfId="0" applyFill="1" applyAlignment="1">
      <alignment wrapText="1"/>
    </xf>
    <xf numFmtId="43" fontId="0" fillId="0" borderId="0" xfId="0" applyNumberFormat="1"/>
    <xf numFmtId="43" fontId="0" fillId="0" borderId="0" xfId="439" applyFont="1" applyFill="1"/>
    <xf numFmtId="43" fontId="34" fillId="0" borderId="0" xfId="439" applyFont="1" applyFill="1"/>
    <xf numFmtId="164" fontId="0" fillId="0" borderId="0" xfId="0" applyNumberFormat="1"/>
    <xf numFmtId="0" fontId="0" fillId="0" borderId="0" xfId="0" applyAlignment="1">
      <alignment wrapText="1"/>
    </xf>
    <xf numFmtId="0" fontId="0" fillId="0" borderId="0" xfId="0" applyAlignment="1">
      <alignment horizontal="left" wrapText="1"/>
    </xf>
    <xf numFmtId="10" fontId="0" fillId="0" borderId="0" xfId="0" applyNumberFormat="1"/>
    <xf numFmtId="3" fontId="0" fillId="0" borderId="0" xfId="0" applyNumberFormat="1"/>
    <xf numFmtId="0" fontId="0" fillId="0" borderId="0" xfId="0" applyAlignment="1">
      <alignment horizontal="left"/>
    </xf>
    <xf numFmtId="0" fontId="39" fillId="0" borderId="25" xfId="683" applyFont="1" applyBorder="1" applyAlignment="1">
      <alignment horizontal="center" vertical="center"/>
    </xf>
    <xf numFmtId="0" fontId="39" fillId="0" borderId="0" xfId="683" applyFont="1" applyAlignment="1">
      <alignment horizontal="center" vertical="center"/>
    </xf>
    <xf numFmtId="0" fontId="39" fillId="27" borderId="25" xfId="683" applyFont="1" applyFill="1" applyBorder="1" applyAlignment="1">
      <alignment horizontal="center" vertical="center"/>
    </xf>
    <xf numFmtId="0" fontId="39" fillId="27" borderId="23" xfId="683" applyFont="1" applyFill="1" applyBorder="1" applyAlignment="1">
      <alignment horizontal="center" vertical="center"/>
    </xf>
    <xf numFmtId="0" fontId="3" fillId="0" borderId="126" xfId="25235" applyFont="1" applyBorder="1" applyAlignment="1">
      <alignment horizontal="center" vertical="center"/>
    </xf>
    <xf numFmtId="0" fontId="33" fillId="0" borderId="126" xfId="25235" applyBorder="1" applyAlignment="1">
      <alignment horizontal="center" vertical="center" wrapText="1"/>
    </xf>
    <xf numFmtId="0" fontId="33" fillId="0" borderId="127" xfId="25235" applyBorder="1" applyAlignment="1">
      <alignment horizontal="center" vertical="center" wrapText="1"/>
    </xf>
    <xf numFmtId="0" fontId="3" fillId="0" borderId="127" xfId="25235" applyFont="1" applyBorder="1" applyAlignment="1">
      <alignment horizontal="center" vertical="center"/>
    </xf>
    <xf numFmtId="0" fontId="33" fillId="0" borderId="0" xfId="6587" applyAlignment="1">
      <alignment horizontal="center"/>
    </xf>
    <xf numFmtId="0" fontId="39" fillId="0" borderId="25" xfId="5040" applyFont="1" applyBorder="1" applyAlignment="1">
      <alignment horizontal="center" vertical="center"/>
    </xf>
    <xf numFmtId="0" fontId="0" fillId="75" borderId="0" xfId="0" applyFill="1" applyAlignment="1">
      <alignment horizontal="center"/>
    </xf>
    <xf numFmtId="0" fontId="0" fillId="75" borderId="0" xfId="0" applyFill="1"/>
    <xf numFmtId="41" fontId="70" fillId="0" borderId="0" xfId="439" applyNumberFormat="1" applyFont="1" applyFill="1" applyAlignment="1" applyProtection="1">
      <alignment horizontal="center" vertical="center" wrapText="1"/>
      <protection locked="0"/>
    </xf>
    <xf numFmtId="49" fontId="35" fillId="31" borderId="13" xfId="611" applyNumberFormat="1" applyFill="1" applyBorder="1" applyAlignment="1" applyProtection="1">
      <alignment horizontal="center"/>
      <protection locked="0"/>
    </xf>
    <xf numFmtId="0" fontId="133" fillId="26" borderId="0" xfId="30099" applyFont="1" applyFill="1" applyAlignment="1">
      <alignment horizontal="left" wrapText="1"/>
    </xf>
    <xf numFmtId="0" fontId="127" fillId="26" borderId="0" xfId="30099" applyFont="1" applyFill="1" applyAlignment="1">
      <alignment horizontal="left" vertical="top" wrapText="1"/>
    </xf>
    <xf numFmtId="1" fontId="0" fillId="0" borderId="0" xfId="0" applyNumberFormat="1" applyAlignment="1">
      <alignment horizontal="left"/>
    </xf>
    <xf numFmtId="1" fontId="197" fillId="20" borderId="0" xfId="0" applyNumberFormat="1" applyFont="1" applyFill="1" applyAlignment="1">
      <alignment horizontal="left" vertical="center"/>
    </xf>
    <xf numFmtId="1" fontId="49" fillId="20" borderId="0" xfId="0" applyNumberFormat="1" applyFont="1" applyFill="1" applyAlignment="1">
      <alignment horizontal="left" vertical="center"/>
    </xf>
    <xf numFmtId="1" fontId="0" fillId="0" borderId="0" xfId="0" applyNumberFormat="1" applyFill="1" applyAlignment="1"/>
    <xf numFmtId="0" fontId="127" fillId="26" borderId="0" xfId="30099" applyFont="1" applyFill="1" applyAlignment="1">
      <alignment horizontal="left" vertical="top" wrapText="1"/>
    </xf>
    <xf numFmtId="0" fontId="133" fillId="26" borderId="0" xfId="30099" applyFont="1" applyFill="1" applyAlignment="1">
      <alignment horizontal="left" wrapText="1"/>
    </xf>
    <xf numFmtId="0" fontId="39" fillId="78" borderId="84" xfId="0" applyFont="1" applyFill="1" applyBorder="1" applyAlignment="1">
      <alignment horizontal="left"/>
    </xf>
    <xf numFmtId="0" fontId="0" fillId="78" borderId="128" xfId="0" applyFill="1" applyBorder="1"/>
    <xf numFmtId="0" fontId="199" fillId="77" borderId="57" xfId="0" applyFont="1" applyFill="1" applyBorder="1" applyAlignment="1">
      <alignment horizontal="center" vertical="center" wrapText="1"/>
    </xf>
    <xf numFmtId="0" fontId="192" fillId="0" borderId="0" xfId="0" applyFont="1"/>
    <xf numFmtId="0" fontId="200" fillId="73" borderId="0" xfId="0" applyFont="1" applyFill="1" applyAlignment="1">
      <alignment horizontal="justify" vertical="center"/>
    </xf>
    <xf numFmtId="0" fontId="200" fillId="73" borderId="0" xfId="0" applyFont="1" applyFill="1" applyAlignment="1">
      <alignment vertical="center"/>
    </xf>
    <xf numFmtId="0" fontId="200" fillId="73" borderId="0" xfId="0" applyFont="1" applyFill="1" applyAlignment="1">
      <alignment vertical="center" wrapText="1"/>
    </xf>
    <xf numFmtId="0" fontId="204" fillId="73" borderId="0" xfId="611" applyFont="1" applyFill="1" applyAlignment="1">
      <alignment vertical="center"/>
    </xf>
    <xf numFmtId="0" fontId="205" fillId="73" borderId="0" xfId="0" applyFont="1" applyFill="1" applyAlignment="1">
      <alignment vertical="center"/>
    </xf>
    <xf numFmtId="0" fontId="206" fillId="73" borderId="0" xfId="611" applyFont="1" applyFill="1" applyAlignment="1" applyProtection="1">
      <alignment vertical="center"/>
      <protection locked="0"/>
    </xf>
    <xf numFmtId="0" fontId="205" fillId="73" borderId="0" xfId="0" applyFont="1" applyFill="1"/>
    <xf numFmtId="0" fontId="206" fillId="73" borderId="0" xfId="611" applyFont="1" applyFill="1" applyProtection="1">
      <protection locked="0"/>
    </xf>
    <xf numFmtId="0" fontId="119" fillId="73" borderId="0" xfId="30098" applyFont="1" applyFill="1" applyAlignment="1">
      <alignment horizontal="left" vertical="center" wrapText="1" indent="1"/>
    </xf>
    <xf numFmtId="49" fontId="119" fillId="73" borderId="0" xfId="30098" applyNumberFormat="1" applyFont="1" applyFill="1" applyAlignment="1">
      <alignment horizontal="left" vertical="center" wrapText="1" indent="1"/>
    </xf>
    <xf numFmtId="0" fontId="119" fillId="73" borderId="0" xfId="30098" quotePrefix="1" applyFont="1" applyFill="1" applyAlignment="1">
      <alignment horizontal="left" vertical="center" wrapText="1" indent="1"/>
    </xf>
    <xf numFmtId="0" fontId="209" fillId="73" borderId="0" xfId="30098" applyFont="1" applyFill="1" applyAlignment="1">
      <alignment vertical="center" wrapText="1"/>
    </xf>
    <xf numFmtId="0" fontId="200" fillId="73" borderId="0" xfId="30098" applyFont="1" applyFill="1" applyAlignment="1">
      <alignment vertical="center" wrapText="1"/>
    </xf>
    <xf numFmtId="0" fontId="206" fillId="73" borderId="0" xfId="611" applyFont="1" applyFill="1" applyAlignment="1">
      <alignment vertical="center"/>
    </xf>
    <xf numFmtId="0" fontId="131" fillId="78" borderId="15" xfId="30099" applyFont="1" applyFill="1" applyBorder="1" applyAlignment="1">
      <alignment vertical="top"/>
    </xf>
    <xf numFmtId="0" fontId="131" fillId="78" borderId="0" xfId="30099" applyFont="1" applyFill="1" applyAlignment="1">
      <alignment vertical="top"/>
    </xf>
    <xf numFmtId="0" fontId="132" fillId="78" borderId="0" xfId="30099" applyFont="1" applyFill="1" applyAlignment="1">
      <alignment vertical="top"/>
    </xf>
    <xf numFmtId="0" fontId="132" fillId="78" borderId="60" xfId="30099" applyFont="1" applyFill="1" applyBorder="1" applyAlignment="1">
      <alignment vertical="top"/>
    </xf>
    <xf numFmtId="14" fontId="0" fillId="0" borderId="0" xfId="0" applyNumberFormat="1" applyFont="1" applyProtection="1"/>
    <xf numFmtId="0" fontId="0" fillId="34" borderId="25" xfId="0" applyNumberFormat="1" applyFont="1" applyFill="1" applyBorder="1" applyAlignment="1" applyProtection="1">
      <alignment horizontal="center" vertical="center" wrapText="1"/>
    </xf>
    <xf numFmtId="164" fontId="57" fillId="34" borderId="29" xfId="439" applyNumberFormat="1" applyFont="1" applyFill="1" applyBorder="1" applyAlignment="1" applyProtection="1">
      <alignment horizontal="center" vertical="center" wrapText="1"/>
    </xf>
    <xf numFmtId="0" fontId="144" fillId="26" borderId="0" xfId="30099" applyFont="1" applyFill="1" applyAlignment="1">
      <alignment horizontal="right" vertical="center" wrapText="1"/>
    </xf>
    <xf numFmtId="0" fontId="153"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8" fillId="74" borderId="111" xfId="0" applyFont="1" applyFill="1" applyBorder="1" applyAlignment="1">
      <alignment horizontal="center" vertical="center" wrapText="1"/>
    </xf>
    <xf numFmtId="0" fontId="128" fillId="78" borderId="13" xfId="30099" applyFont="1" applyFill="1" applyBorder="1" applyAlignment="1">
      <alignment horizontal="center" vertical="center" wrapText="1"/>
    </xf>
    <xf numFmtId="0" fontId="128" fillId="78" borderId="16" xfId="30099" applyFont="1" applyFill="1" applyBorder="1" applyAlignment="1">
      <alignment horizontal="center" vertical="center" wrapText="1"/>
    </xf>
    <xf numFmtId="0" fontId="128" fillId="78" borderId="11" xfId="30099" applyFont="1" applyFill="1" applyBorder="1" applyAlignment="1">
      <alignment horizontal="center" vertical="center" wrapText="1"/>
    </xf>
    <xf numFmtId="0" fontId="128" fillId="78" borderId="13" xfId="30099" applyFont="1" applyFill="1" applyBorder="1" applyAlignment="1">
      <alignment horizontal="center" vertical="top" wrapText="1"/>
    </xf>
    <xf numFmtId="0" fontId="128" fillId="78" borderId="16" xfId="30099" applyFont="1" applyFill="1" applyBorder="1" applyAlignment="1">
      <alignment horizontal="center" vertical="top" wrapText="1"/>
    </xf>
    <xf numFmtId="0" fontId="128" fillId="78" borderId="11" xfId="30099" applyFont="1" applyFill="1" applyBorder="1" applyAlignment="1">
      <alignment horizontal="center" vertical="top" wrapText="1"/>
    </xf>
    <xf numFmtId="164" fontId="130" fillId="79" borderId="13" xfId="30100" applyNumberFormat="1" applyFont="1" applyFill="1" applyBorder="1" applyAlignment="1">
      <alignment horizontal="center" vertical="center"/>
    </xf>
    <xf numFmtId="164" fontId="130" fillId="79" borderId="16" xfId="30100" applyNumberFormat="1" applyFont="1" applyFill="1" applyBorder="1" applyAlignment="1">
      <alignment horizontal="center" vertical="center"/>
    </xf>
    <xf numFmtId="164" fontId="130" fillId="79" borderId="11" xfId="30100" applyNumberFormat="1" applyFont="1" applyFill="1" applyBorder="1" applyAlignment="1">
      <alignment horizontal="center" vertical="center"/>
    </xf>
    <xf numFmtId="0" fontId="141" fillId="26" borderId="0" xfId="30099" applyFont="1" applyFill="1" applyAlignment="1">
      <alignment horizontal="left" vertical="center" wrapText="1"/>
    </xf>
    <xf numFmtId="0" fontId="127" fillId="0" borderId="66" xfId="30099" applyFont="1" applyBorder="1" applyAlignment="1" applyProtection="1">
      <alignment horizontal="left" vertical="center"/>
      <protection locked="0"/>
    </xf>
    <xf numFmtId="0" fontId="127" fillId="0" borderId="67" xfId="30099" applyFont="1" applyBorder="1" applyAlignment="1" applyProtection="1">
      <alignment horizontal="left" vertical="center"/>
      <protection locked="0"/>
    </xf>
    <xf numFmtId="0" fontId="127" fillId="0" borderId="68" xfId="30099" applyFont="1" applyBorder="1" applyAlignment="1" applyProtection="1">
      <alignment horizontal="left" vertical="center"/>
      <protection locked="0"/>
    </xf>
    <xf numFmtId="0" fontId="127" fillId="26" borderId="0" xfId="30099" applyFont="1" applyFill="1" applyAlignment="1">
      <alignment horizontal="left" vertical="center" wrapText="1"/>
    </xf>
    <xf numFmtId="0" fontId="117" fillId="0" borderId="66" xfId="29597" applyFill="1" applyBorder="1" applyAlignment="1" applyProtection="1">
      <alignment horizontal="left" vertical="center"/>
      <protection locked="0"/>
    </xf>
    <xf numFmtId="0" fontId="132" fillId="78" borderId="40" xfId="30099" applyFont="1" applyFill="1" applyBorder="1" applyAlignment="1">
      <alignment horizontal="left" wrapText="1"/>
    </xf>
    <xf numFmtId="0" fontId="132" fillId="78" borderId="41" xfId="30099" applyFont="1" applyFill="1" applyBorder="1" applyAlignment="1">
      <alignment horizontal="left" wrapText="1"/>
    </xf>
    <xf numFmtId="0" fontId="132" fillId="78" borderId="42" xfId="30099" applyFont="1" applyFill="1" applyBorder="1" applyAlignment="1">
      <alignment horizontal="left" wrapText="1"/>
    </xf>
    <xf numFmtId="0" fontId="132" fillId="78" borderId="15" xfId="30099" applyFont="1" applyFill="1" applyBorder="1" applyAlignment="1">
      <alignment horizontal="left" wrapText="1"/>
    </xf>
    <xf numFmtId="0" fontId="132" fillId="78" borderId="0" xfId="30099" applyFont="1" applyFill="1" applyAlignment="1">
      <alignment horizontal="left" wrapText="1"/>
    </xf>
    <xf numFmtId="0" fontId="132" fillId="78" borderId="60" xfId="30099" applyFont="1" applyFill="1" applyBorder="1" applyAlignment="1">
      <alignment horizontal="left" wrapText="1"/>
    </xf>
    <xf numFmtId="0" fontId="144" fillId="0" borderId="66" xfId="30099" applyFont="1" applyBorder="1" applyAlignment="1" applyProtection="1">
      <alignment horizontal="left" vertical="center"/>
      <protection locked="0"/>
    </xf>
    <xf numFmtId="0" fontId="144" fillId="0" borderId="67" xfId="30099" applyFont="1" applyBorder="1" applyAlignment="1" applyProtection="1">
      <alignment horizontal="left" vertical="center"/>
      <protection locked="0"/>
    </xf>
    <xf numFmtId="0" fontId="144" fillId="0" borderId="68" xfId="30099" applyFont="1" applyBorder="1" applyAlignment="1" applyProtection="1">
      <alignment horizontal="left" vertical="center"/>
      <protection locked="0"/>
    </xf>
    <xf numFmtId="0" fontId="127" fillId="0" borderId="13" xfId="30099" applyFont="1" applyBorder="1" applyAlignment="1" applyProtection="1">
      <alignment horizontal="left" vertical="center"/>
      <protection locked="0"/>
    </xf>
    <xf numFmtId="0" fontId="127" fillId="0" borderId="11" xfId="30099" applyFont="1" applyBorder="1" applyAlignment="1" applyProtection="1">
      <alignment horizontal="left" vertical="center"/>
      <protection locked="0"/>
    </xf>
    <xf numFmtId="0" fontId="143" fillId="26" borderId="0" xfId="30099" applyFont="1" applyFill="1" applyAlignment="1">
      <alignment horizontal="center" vertical="center" wrapText="1"/>
    </xf>
    <xf numFmtId="0" fontId="139" fillId="26" borderId="15" xfId="30099" applyFont="1" applyFill="1" applyBorder="1" applyAlignment="1">
      <alignment horizontal="center" vertical="top"/>
    </xf>
    <xf numFmtId="0" fontId="139" fillId="26" borderId="0" xfId="30099" applyFont="1" applyFill="1" applyAlignment="1">
      <alignment horizontal="center" vertical="top"/>
    </xf>
    <xf numFmtId="0" fontId="139" fillId="26" borderId="0" xfId="30099" applyFont="1" applyFill="1" applyAlignment="1">
      <alignment horizontal="center" vertical="top" wrapText="1"/>
    </xf>
    <xf numFmtId="0" fontId="127" fillId="26" borderId="0" xfId="30099" applyFont="1" applyFill="1" applyAlignment="1">
      <alignment horizontal="left" wrapText="1"/>
    </xf>
    <xf numFmtId="0" fontId="127" fillId="26" borderId="71" xfId="30099" applyFont="1" applyFill="1" applyBorder="1" applyAlignment="1">
      <alignment horizontal="left" wrapText="1"/>
    </xf>
    <xf numFmtId="0" fontId="127" fillId="26" borderId="0" xfId="30099" applyFont="1" applyFill="1" applyAlignment="1">
      <alignment horizontal="left" vertical="top" wrapText="1"/>
    </xf>
    <xf numFmtId="0" fontId="127" fillId="26" borderId="71" xfId="30099" applyFont="1" applyFill="1" applyBorder="1" applyAlignment="1">
      <alignment horizontal="left" vertical="center" wrapText="1"/>
    </xf>
    <xf numFmtId="0" fontId="143" fillId="26" borderId="41" xfId="30099" applyFont="1" applyFill="1" applyBorder="1" applyAlignment="1">
      <alignment horizontal="center" vertical="center" wrapText="1"/>
    </xf>
    <xf numFmtId="164" fontId="134" fillId="79" borderId="13" xfId="30100" applyNumberFormat="1" applyFont="1" applyFill="1" applyBorder="1" applyAlignment="1">
      <alignment horizontal="center" vertical="center" wrapText="1"/>
    </xf>
    <xf numFmtId="164" fontId="134" fillId="79" borderId="16" xfId="30100" applyNumberFormat="1" applyFont="1" applyFill="1" applyBorder="1" applyAlignment="1">
      <alignment horizontal="center" vertical="center" wrapText="1"/>
    </xf>
    <xf numFmtId="164" fontId="134" fillId="79" borderId="11" xfId="30100" applyNumberFormat="1" applyFont="1" applyFill="1" applyBorder="1" applyAlignment="1">
      <alignment horizontal="center" vertical="center" wrapText="1"/>
    </xf>
    <xf numFmtId="0" fontId="127" fillId="26" borderId="60" xfId="30099" applyFont="1" applyFill="1" applyBorder="1" applyAlignment="1">
      <alignment horizontal="left" vertical="center" wrapText="1"/>
    </xf>
    <xf numFmtId="0" fontId="133" fillId="26" borderId="0" xfId="30099" applyFont="1" applyFill="1" applyAlignment="1">
      <alignment horizontal="left" wrapText="1"/>
    </xf>
    <xf numFmtId="0" fontId="133" fillId="26" borderId="60" xfId="30099" applyFont="1" applyFill="1" applyBorder="1" applyAlignment="1">
      <alignment horizontal="left" wrapText="1"/>
    </xf>
    <xf numFmtId="0" fontId="133" fillId="26" borderId="0" xfId="30099" applyFont="1" applyFill="1" applyBorder="1" applyAlignment="1">
      <alignment horizontal="left" wrapText="1"/>
    </xf>
    <xf numFmtId="0" fontId="147" fillId="26" borderId="0" xfId="30099" applyFont="1" applyFill="1" applyAlignment="1">
      <alignment horizontal="right" vertical="center" wrapText="1"/>
    </xf>
    <xf numFmtId="0" fontId="149" fillId="26" borderId="0" xfId="30099" applyFont="1" applyFill="1" applyAlignment="1">
      <alignment horizontal="center" vertical="center" wrapText="1"/>
    </xf>
    <xf numFmtId="0" fontId="139" fillId="26" borderId="0" xfId="30099" applyFont="1" applyFill="1" applyAlignment="1">
      <alignment horizontal="left" vertical="center" wrapText="1"/>
    </xf>
    <xf numFmtId="0" fontId="39" fillId="78" borderId="13" xfId="0" applyFont="1" applyFill="1" applyBorder="1" applyAlignment="1">
      <alignment horizontal="left" wrapText="1"/>
    </xf>
    <xf numFmtId="0" fontId="39" fillId="78" borderId="16" xfId="0" applyFont="1" applyFill="1" applyBorder="1" applyAlignment="1">
      <alignment horizontal="left" wrapText="1"/>
    </xf>
    <xf numFmtId="0" fontId="39" fillId="78" borderId="11" xfId="0" applyFont="1" applyFill="1" applyBorder="1" applyAlignment="1">
      <alignment horizontal="left" wrapText="1"/>
    </xf>
    <xf numFmtId="0" fontId="58" fillId="78" borderId="13" xfId="0" applyFont="1" applyFill="1" applyBorder="1" applyAlignment="1">
      <alignment horizontal="left" wrapText="1"/>
    </xf>
    <xf numFmtId="0" fontId="58" fillId="78" borderId="16" xfId="0" applyFont="1" applyFill="1" applyBorder="1" applyAlignment="1">
      <alignment horizontal="left" wrapText="1"/>
    </xf>
    <xf numFmtId="0" fontId="58" fillId="78" borderId="124" xfId="0" applyFont="1" applyFill="1" applyBorder="1" applyAlignment="1">
      <alignment horizontal="left" wrapText="1"/>
    </xf>
    <xf numFmtId="0" fontId="39" fillId="78" borderId="57" xfId="0" applyFont="1" applyFill="1" applyBorder="1" applyAlignment="1">
      <alignment horizontal="left" wrapText="1"/>
    </xf>
    <xf numFmtId="0" fontId="193" fillId="0" borderId="40" xfId="0" applyFont="1" applyBorder="1" applyAlignment="1">
      <alignment horizontal="center" vertical="center"/>
    </xf>
    <xf numFmtId="0" fontId="193" fillId="0" borderId="41" xfId="0" applyFont="1" applyBorder="1" applyAlignment="1">
      <alignment horizontal="center" vertical="center"/>
    </xf>
    <xf numFmtId="0" fontId="160" fillId="73" borderId="70" xfId="0" applyFont="1" applyFill="1" applyBorder="1" applyAlignment="1">
      <alignment horizontal="center" vertical="center" wrapText="1"/>
    </xf>
    <xf numFmtId="0" fontId="160" fillId="73" borderId="121" xfId="0" applyFont="1" applyFill="1" applyBorder="1" applyAlignment="1">
      <alignment horizontal="center" vertical="center" wrapText="1"/>
    </xf>
    <xf numFmtId="0" fontId="160" fillId="73" borderId="60" xfId="0" applyFont="1" applyFill="1" applyBorder="1" applyAlignment="1">
      <alignment horizontal="center" vertical="center" wrapText="1"/>
    </xf>
    <xf numFmtId="0" fontId="160" fillId="73" borderId="42" xfId="0" applyFont="1" applyFill="1" applyBorder="1" applyAlignment="1">
      <alignment horizontal="center" vertical="center" wrapText="1"/>
    </xf>
    <xf numFmtId="0" fontId="39" fillId="78" borderId="70" xfId="0" applyFont="1" applyFill="1" applyBorder="1" applyAlignment="1">
      <alignment horizontal="center" vertical="center" wrapText="1"/>
    </xf>
    <xf numFmtId="0" fontId="39" fillId="78" borderId="121" xfId="0" applyFont="1" applyFill="1" applyBorder="1" applyAlignment="1">
      <alignment horizontal="center" vertical="center" wrapText="1"/>
    </xf>
    <xf numFmtId="0" fontId="39" fillId="78" borderId="72" xfId="0" applyFont="1" applyFill="1" applyBorder="1" applyAlignment="1">
      <alignment horizontal="center" vertical="center" wrapText="1"/>
    </xf>
    <xf numFmtId="0" fontId="193" fillId="0" borderId="13" xfId="0" applyFont="1" applyBorder="1" applyAlignment="1">
      <alignment horizontal="center" vertical="center"/>
    </xf>
    <xf numFmtId="0" fontId="193" fillId="0" borderId="16" xfId="0" applyFont="1" applyBorder="1" applyAlignment="1">
      <alignment horizontal="center" vertical="center"/>
    </xf>
    <xf numFmtId="0" fontId="193" fillId="0" borderId="11" xfId="0" applyFont="1" applyBorder="1" applyAlignment="1">
      <alignment horizontal="center" vertical="center"/>
    </xf>
    <xf numFmtId="0" fontId="58" fillId="34" borderId="13" xfId="0" applyFont="1" applyFill="1" applyBorder="1" applyAlignment="1">
      <alignment horizontal="center" vertical="center" wrapText="1"/>
    </xf>
    <xf numFmtId="0" fontId="58" fillId="34" borderId="16" xfId="0" applyFont="1" applyFill="1" applyBorder="1" applyAlignment="1">
      <alignment horizontal="center" vertical="center" wrapText="1"/>
    </xf>
    <xf numFmtId="0" fontId="58" fillId="34" borderId="11" xfId="0" applyFont="1" applyFill="1" applyBorder="1" applyAlignment="1">
      <alignment horizontal="center" vertical="center" wrapText="1"/>
    </xf>
    <xf numFmtId="0" fontId="0" fillId="78" borderId="129" xfId="0" applyFill="1" applyBorder="1" applyAlignment="1">
      <alignment horizontal="center"/>
    </xf>
    <xf numFmtId="0" fontId="0" fillId="78" borderId="17" xfId="0" applyFill="1" applyBorder="1" applyAlignment="1">
      <alignment horizontal="center"/>
    </xf>
    <xf numFmtId="0" fontId="48" fillId="0" borderId="10" xfId="0" applyFont="1" applyBorder="1" applyAlignment="1">
      <alignment horizontal="center" vertical="center" wrapText="1"/>
    </xf>
    <xf numFmtId="0" fontId="39" fillId="0" borderId="22" xfId="0" applyFont="1" applyBorder="1" applyAlignment="1">
      <alignment horizontal="center" vertical="center"/>
    </xf>
    <xf numFmtId="0" fontId="39" fillId="0" borderId="0" xfId="0" applyFont="1" applyAlignment="1">
      <alignment horizontal="center" vertical="center"/>
    </xf>
    <xf numFmtId="0" fontId="39" fillId="0" borderId="83" xfId="0" applyFont="1" applyBorder="1" applyAlignment="1">
      <alignment horizontal="center" vertical="center"/>
    </xf>
    <xf numFmtId="0" fontId="39" fillId="0" borderId="130" xfId="0" applyFont="1" applyBorder="1" applyAlignment="1">
      <alignment horizontal="center" vertical="center"/>
    </xf>
    <xf numFmtId="0" fontId="48" fillId="0" borderId="83" xfId="0" applyFont="1" applyBorder="1" applyAlignment="1">
      <alignment horizontal="center" vertical="center"/>
    </xf>
    <xf numFmtId="0" fontId="39" fillId="78" borderId="106" xfId="0" applyFont="1" applyFill="1" applyBorder="1" applyAlignment="1">
      <alignment horizontal="left" wrapText="1"/>
    </xf>
    <xf numFmtId="0" fontId="39" fillId="78" borderId="102"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48" fillId="73" borderId="10" xfId="0" applyFont="1" applyFill="1" applyBorder="1" applyAlignment="1">
      <alignment horizontal="center" vertical="center" wrapText="1"/>
    </xf>
    <xf numFmtId="0" fontId="45" fillId="73" borderId="10" xfId="0" applyFont="1" applyFill="1" applyBorder="1" applyAlignment="1">
      <alignment horizontal="center" vertical="center" wrapText="1"/>
    </xf>
    <xf numFmtId="0" fontId="45" fillId="73" borderId="83" xfId="0" applyFont="1" applyFill="1" applyBorder="1" applyAlignment="1">
      <alignment horizontal="center" vertical="center" wrapText="1"/>
    </xf>
    <xf numFmtId="0" fontId="0" fillId="73" borderId="10" xfId="0" applyFont="1" applyFill="1" applyBorder="1" applyAlignment="1">
      <alignment horizontal="center" vertical="center"/>
    </xf>
    <xf numFmtId="0" fontId="160" fillId="73" borderId="74" xfId="0" applyFont="1" applyFill="1" applyBorder="1" applyAlignment="1">
      <alignment horizontal="center" vertical="center" wrapText="1"/>
    </xf>
    <xf numFmtId="0" fontId="160" fillId="73" borderId="0" xfId="0" applyFont="1" applyFill="1" applyBorder="1" applyAlignment="1">
      <alignment horizontal="center" vertical="center" wrapText="1"/>
    </xf>
    <xf numFmtId="0" fontId="161" fillId="73" borderId="107" xfId="0" applyFont="1" applyFill="1" applyBorder="1" applyAlignment="1">
      <alignment horizontal="center" vertical="center" wrapText="1"/>
    </xf>
    <xf numFmtId="0" fontId="161" fillId="73" borderId="108" xfId="0" applyFont="1" applyFill="1" applyBorder="1" applyAlignment="1">
      <alignment horizontal="center" vertical="center" wrapText="1"/>
    </xf>
    <xf numFmtId="0" fontId="52" fillId="0" borderId="0" xfId="682" applyFont="1" applyAlignment="1">
      <alignment horizontal="left" wrapText="1"/>
    </xf>
    <xf numFmtId="0" fontId="169" fillId="27" borderId="0" xfId="682" applyFont="1" applyFill="1" applyAlignment="1">
      <alignment horizontal="left" vertical="center" wrapText="1"/>
    </xf>
    <xf numFmtId="0" fontId="166" fillId="0" borderId="0" xfId="682" applyFont="1" applyAlignment="1">
      <alignment horizontal="center" vertical="center"/>
    </xf>
    <xf numFmtId="0" fontId="39" fillId="27" borderId="0" xfId="682" applyFont="1" applyFill="1" applyAlignment="1">
      <alignment horizontal="left"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44" fillId="0" borderId="37" xfId="26000" applyFont="1" applyBorder="1" applyAlignment="1" applyProtection="1">
      <alignment horizontal="left" vertical="top" wrapText="1"/>
    </xf>
    <xf numFmtId="0" fontId="44" fillId="0" borderId="38" xfId="26000" applyFont="1" applyBorder="1" applyAlignment="1" applyProtection="1">
      <alignment horizontal="left" vertical="top" wrapText="1"/>
    </xf>
    <xf numFmtId="0" fontId="44" fillId="0" borderId="39" xfId="26000" applyFont="1" applyBorder="1" applyAlignment="1" applyProtection="1">
      <alignment horizontal="left" vertical="top" wrapText="1"/>
    </xf>
    <xf numFmtId="0" fontId="44" fillId="0" borderId="15" xfId="26000" applyFont="1" applyBorder="1" applyAlignment="1" applyProtection="1">
      <alignment horizontal="left" vertical="top" wrapText="1"/>
    </xf>
    <xf numFmtId="0" fontId="44" fillId="0" borderId="0" xfId="26000" applyFont="1" applyAlignment="1" applyProtection="1">
      <alignment horizontal="left" vertical="top" wrapText="1"/>
    </xf>
    <xf numFmtId="0" fontId="44" fillId="0" borderId="60" xfId="26000" applyFont="1" applyBorder="1" applyAlignment="1" applyProtection="1">
      <alignment horizontal="left" vertical="top" wrapText="1"/>
    </xf>
    <xf numFmtId="0" fontId="44" fillId="0" borderId="40" xfId="26000" applyFont="1" applyBorder="1" applyAlignment="1" applyProtection="1">
      <alignment horizontal="left" vertical="top" wrapText="1"/>
    </xf>
    <xf numFmtId="0" fontId="44" fillId="0" borderId="41" xfId="26000" applyFont="1" applyBorder="1" applyAlignment="1" applyProtection="1">
      <alignment horizontal="left" vertical="top" wrapText="1"/>
    </xf>
    <xf numFmtId="0" fontId="44" fillId="0" borderId="42" xfId="26000" applyFont="1" applyBorder="1" applyAlignment="1" applyProtection="1">
      <alignment horizontal="left" vertical="top" wrapText="1"/>
    </xf>
    <xf numFmtId="0" fontId="58" fillId="0" borderId="0" xfId="26000" applyFont="1" applyAlignment="1" applyProtection="1">
      <alignment horizontal="center" vertical="top"/>
    </xf>
    <xf numFmtId="0" fontId="58" fillId="0" borderId="0" xfId="26000" applyFont="1" applyAlignment="1" applyProtection="1">
      <alignment horizontal="center" vertical="top" wrapText="1"/>
    </xf>
    <xf numFmtId="0" fontId="163" fillId="0" borderId="73" xfId="26000" applyFont="1" applyBorder="1" applyAlignment="1" applyProtection="1">
      <alignment horizontal="left" vertical="top" wrapText="1"/>
    </xf>
    <xf numFmtId="0" fontId="163" fillId="0" borderId="74" xfId="26000" applyFont="1" applyBorder="1" applyAlignment="1" applyProtection="1">
      <alignment horizontal="left" vertical="top" wrapText="1"/>
    </xf>
    <xf numFmtId="0" fontId="163" fillId="0" borderId="75" xfId="26000" applyFont="1" applyBorder="1" applyAlignment="1" applyProtection="1">
      <alignment horizontal="left" vertical="top" wrapText="1"/>
    </xf>
    <xf numFmtId="0" fontId="163" fillId="0" borderId="22" xfId="26000" applyFont="1" applyBorder="1" applyAlignment="1" applyProtection="1">
      <alignment horizontal="left" vertical="top" wrapText="1"/>
    </xf>
    <xf numFmtId="0" fontId="163" fillId="0" borderId="0" xfId="26000" applyFont="1" applyAlignment="1" applyProtection="1">
      <alignment horizontal="left" vertical="top" wrapText="1"/>
    </xf>
    <xf numFmtId="0" fontId="163" fillId="0" borderId="56" xfId="26000" applyFont="1" applyBorder="1" applyAlignment="1" applyProtection="1">
      <alignment horizontal="left" vertical="top" wrapText="1"/>
    </xf>
    <xf numFmtId="0" fontId="163" fillId="0" borderId="76" xfId="26000" applyFont="1" applyBorder="1" applyAlignment="1" applyProtection="1">
      <alignment horizontal="left" vertical="top" wrapText="1"/>
    </xf>
    <xf numFmtId="0" fontId="163" fillId="0" borderId="17" xfId="26000" applyFont="1" applyBorder="1" applyAlignment="1" applyProtection="1">
      <alignment horizontal="left" vertical="top" wrapText="1"/>
    </xf>
    <xf numFmtId="0" fontId="163" fillId="0" borderId="77" xfId="26000" applyFont="1" applyBorder="1" applyAlignment="1" applyProtection="1">
      <alignment horizontal="left" vertical="top" wrapText="1"/>
    </xf>
    <xf numFmtId="0" fontId="58" fillId="0" borderId="41" xfId="26000" applyFont="1" applyBorder="1" applyAlignment="1" applyProtection="1">
      <alignment horizontal="left"/>
    </xf>
    <xf numFmtId="0" fontId="0" fillId="0" borderId="0" xfId="0" applyNumberFormat="1" applyFont="1" applyFill="1" applyAlignment="1" applyProtection="1">
      <alignment vertical="center"/>
    </xf>
    <xf numFmtId="38" fontId="44" fillId="0" borderId="0" xfId="439" applyNumberFormat="1" applyFont="1" applyFill="1" applyAlignment="1" applyProtection="1">
      <alignment vertical="center" wrapText="1"/>
    </xf>
    <xf numFmtId="37" fontId="0" fillId="29" borderId="0" xfId="439" applyNumberFormat="1" applyFont="1" applyFill="1" applyAlignment="1" applyProtection="1">
      <alignment vertical="center"/>
      <protection locked="0"/>
    </xf>
    <xf numFmtId="0" fontId="0" fillId="0" borderId="0" xfId="0" applyFont="1" applyFill="1" applyAlignment="1" applyProtection="1"/>
    <xf numFmtId="3" fontId="0" fillId="0" borderId="0" xfId="0" applyNumberFormat="1" applyFont="1" applyFill="1" applyAlignment="1" applyProtection="1"/>
    <xf numFmtId="0" fontId="0" fillId="0" borderId="0" xfId="0" applyFont="1" applyAlignment="1"/>
    <xf numFmtId="0" fontId="62" fillId="0" borderId="36" xfId="0" applyNumberFormat="1" applyFont="1" applyFill="1" applyBorder="1" applyAlignment="1" applyProtection="1">
      <alignment vertical="center" wrapText="1"/>
    </xf>
    <xf numFmtId="0" fontId="62" fillId="74" borderId="36" xfId="0" applyNumberFormat="1" applyFont="1" applyFill="1" applyBorder="1" applyAlignment="1" applyProtection="1">
      <alignment vertical="center" wrapText="1"/>
    </xf>
    <xf numFmtId="0" fontId="53" fillId="74" borderId="0" xfId="0" applyNumberFormat="1" applyFont="1" applyFill="1" applyAlignment="1" applyProtection="1">
      <alignment vertical="center" wrapText="1"/>
    </xf>
    <xf numFmtId="38" fontId="44" fillId="74" borderId="0" xfId="439" applyNumberFormat="1" applyFont="1" applyFill="1" applyAlignment="1" applyProtection="1">
      <alignment vertical="center" wrapText="1"/>
    </xf>
    <xf numFmtId="37" fontId="0" fillId="74" borderId="0" xfId="439" applyNumberFormat="1" applyFont="1" applyFill="1" applyAlignment="1" applyProtection="1">
      <alignment vertical="center"/>
      <protection locked="0"/>
    </xf>
    <xf numFmtId="0" fontId="0" fillId="0" borderId="36" xfId="0" applyNumberFormat="1" applyFont="1" applyFill="1" applyBorder="1" applyAlignment="1" applyProtection="1">
      <alignment vertical="center" wrapText="1"/>
    </xf>
    <xf numFmtId="164" fontId="0" fillId="74" borderId="0" xfId="439" applyNumberFormat="1" applyFont="1" applyFill="1" applyAlignment="1" applyProtection="1">
      <alignment vertical="center"/>
      <protection locked="0"/>
    </xf>
    <xf numFmtId="0" fontId="0" fillId="0" borderId="0" xfId="0" applyFont="1" applyAlignment="1" applyProtection="1"/>
    <xf numFmtId="3" fontId="44" fillId="0" borderId="0" xfId="439" applyNumberFormat="1" applyFont="1" applyFill="1" applyAlignment="1" applyProtection="1">
      <alignment vertical="center" wrapText="1"/>
    </xf>
    <xf numFmtId="37" fontId="39" fillId="29" borderId="0" xfId="439" applyNumberFormat="1" applyFont="1" applyFill="1" applyAlignment="1" applyProtection="1">
      <alignment vertical="center"/>
      <protection locked="0"/>
    </xf>
    <xf numFmtId="0" fontId="0" fillId="0" borderId="0" xfId="0" applyFont="1" applyFill="1" applyAlignment="1" applyProtection="1">
      <protection locked="0"/>
    </xf>
    <xf numFmtId="0" fontId="0" fillId="0" borderId="45" xfId="0" applyNumberFormat="1" applyFont="1" applyFill="1" applyBorder="1" applyAlignment="1" applyProtection="1">
      <alignment vertical="center"/>
    </xf>
    <xf numFmtId="0" fontId="70" fillId="0" borderId="45" xfId="0" applyNumberFormat="1" applyFont="1" applyFill="1" applyBorder="1" applyAlignment="1" applyProtection="1">
      <alignment vertical="center" wrapText="1"/>
    </xf>
    <xf numFmtId="0" fontId="44" fillId="0" borderId="0" xfId="0" applyFont="1" applyFill="1" applyAlignment="1" applyProtection="1">
      <alignment vertical="center" wrapText="1"/>
      <protection hidden="1"/>
    </xf>
    <xf numFmtId="38" fontId="44" fillId="22" borderId="0" xfId="439" applyNumberFormat="1" applyFont="1" applyFill="1" applyAlignment="1" applyProtection="1">
      <alignment vertical="center" wrapText="1"/>
    </xf>
    <xf numFmtId="0" fontId="69" fillId="0" borderId="0" xfId="0" applyFont="1" applyFill="1" applyAlignment="1" applyProtection="1"/>
    <xf numFmtId="2" fontId="39" fillId="74" borderId="0" xfId="0" applyNumberFormat="1" applyFont="1" applyFill="1" applyAlignment="1" applyProtection="1">
      <alignment vertical="center" wrapText="1"/>
      <protection locked="0"/>
    </xf>
    <xf numFmtId="38" fontId="44" fillId="29" borderId="0" xfId="439" applyNumberFormat="1" applyFont="1" applyFill="1" applyAlignment="1" applyProtection="1">
      <alignment vertical="center" wrapText="1"/>
      <protection locked="0"/>
    </xf>
    <xf numFmtId="0" fontId="44" fillId="0" borderId="45" xfId="0" applyFont="1" applyBorder="1" applyAlignment="1">
      <alignment vertical="center" wrapText="1"/>
    </xf>
    <xf numFmtId="0" fontId="39" fillId="0" borderId="0" xfId="0" applyFont="1" applyFill="1" applyAlignment="1" applyProtection="1">
      <alignment vertical="center" wrapText="1"/>
    </xf>
    <xf numFmtId="0" fontId="0" fillId="0" borderId="25" xfId="0" applyFont="1" applyFill="1" applyBorder="1" applyAlignment="1">
      <alignment vertical="center" wrapText="1"/>
    </xf>
    <xf numFmtId="0" fontId="0" fillId="0" borderId="23" xfId="0" applyFont="1" applyBorder="1" applyAlignment="1">
      <alignment vertical="center" wrapText="1"/>
    </xf>
    <xf numFmtId="0" fontId="0" fillId="0" borderId="0" xfId="0" applyFont="1" applyBorder="1" applyAlignment="1">
      <alignment vertical="center" wrapText="1"/>
    </xf>
    <xf numFmtId="0" fontId="0" fillId="0" borderId="25" xfId="0" applyNumberFormat="1" applyFont="1" applyFill="1" applyBorder="1" applyAlignment="1">
      <alignment vertical="center" wrapText="1"/>
    </xf>
    <xf numFmtId="0" fontId="39" fillId="74" borderId="0" xfId="0" applyFont="1" applyFill="1" applyAlignment="1" applyProtection="1">
      <alignment vertical="center"/>
      <protection locked="0"/>
    </xf>
    <xf numFmtId="0" fontId="39" fillId="74" borderId="0" xfId="0" applyFont="1" applyFill="1" applyAlignment="1" applyProtection="1">
      <alignment vertical="center" wrapText="1"/>
      <protection locked="0"/>
    </xf>
    <xf numFmtId="0" fontId="44" fillId="0" borderId="0" xfId="0" applyFont="1" applyFill="1" applyAlignment="1" applyProtection="1">
      <alignment vertical="center" wrapText="1"/>
    </xf>
    <xf numFmtId="0" fontId="62" fillId="0" borderId="45" xfId="0" applyNumberFormat="1" applyFont="1" applyFill="1" applyBorder="1" applyAlignment="1" applyProtection="1">
      <alignment vertical="center" wrapText="1"/>
    </xf>
    <xf numFmtId="0" fontId="44" fillId="0" borderId="45" xfId="0" applyFont="1" applyFill="1" applyBorder="1" applyAlignment="1" applyProtection="1">
      <alignment vertical="center" wrapText="1"/>
    </xf>
  </cellXfs>
  <cellStyles count="31723">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 9 9" xfId="31722" xr:uid="{6056F282-2D9A-410B-BC99-C1AD62DF0FA1}"/>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19"/>
      <tableStyleElement type="headerRow" dxfId="118"/>
      <tableStyleElement type="firstRowStripe" dxfId="117"/>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1933571</xdr:colOff>
      <xdr:row>46</xdr:row>
      <xdr:rowOff>314324</xdr:rowOff>
    </xdr:from>
    <xdr:to>
      <xdr:col>5</xdr:col>
      <xdr:colOff>3488051</xdr:colOff>
      <xdr:row>56</xdr:row>
      <xdr:rowOff>95249</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29296" y="4838699"/>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A1:O57"/>
  <sheetViews>
    <sheetView tabSelected="1" zoomScaleNormal="100" workbookViewId="0">
      <selection activeCell="B2" sqref="B2"/>
    </sheetView>
  </sheetViews>
  <sheetFormatPr defaultColWidth="9.109375" defaultRowHeight="14.4" x14ac:dyDescent="0.3"/>
  <cols>
    <col min="1" max="1" width="1.6640625" style="1010" customWidth="1"/>
    <col min="2" max="2" width="187.109375" style="1010" customWidth="1"/>
    <col min="3" max="4" width="9.109375" style="1010" hidden="1" customWidth="1"/>
    <col min="5" max="5" width="2.33203125" style="1010" customWidth="1"/>
    <col min="6" max="7" width="8.109375" style="1010" customWidth="1"/>
    <col min="8" max="16384" width="9.109375" style="1010"/>
  </cols>
  <sheetData>
    <row r="1" spans="2:15" ht="15.75" customHeight="1" thickBot="1" x14ac:dyDescent="0.35">
      <c r="B1" s="177"/>
    </row>
    <row r="2" spans="2:15" ht="94.2" customHeight="1" thickBot="1" x14ac:dyDescent="0.35">
      <c r="B2" s="1089" t="s">
        <v>1685</v>
      </c>
    </row>
    <row r="3" spans="2:15" ht="57" customHeight="1" x14ac:dyDescent="0.3">
      <c r="B3" s="188" t="s">
        <v>1686</v>
      </c>
    </row>
    <row r="4" spans="2:15" ht="82.2" customHeight="1" x14ac:dyDescent="0.4">
      <c r="B4" s="188" t="s">
        <v>1687</v>
      </c>
      <c r="G4" s="1090"/>
      <c r="H4" s="1090"/>
      <c r="I4" s="1090"/>
      <c r="J4" s="1090"/>
      <c r="K4" s="1090"/>
      <c r="L4" s="1090"/>
      <c r="M4" s="1090"/>
      <c r="N4" s="1090"/>
      <c r="O4" s="1090"/>
    </row>
    <row r="5" spans="2:15" ht="51.6" customHeight="1" x14ac:dyDescent="0.3">
      <c r="B5" s="188" t="s">
        <v>1688</v>
      </c>
    </row>
    <row r="6" spans="2:15" ht="117.6" customHeight="1" x14ac:dyDescent="0.3">
      <c r="B6" s="178" t="s">
        <v>1689</v>
      </c>
    </row>
    <row r="7" spans="2:15" ht="17.399999999999999" x14ac:dyDescent="0.3">
      <c r="B7" s="190" t="s">
        <v>816</v>
      </c>
    </row>
    <row r="8" spans="2:15" ht="45.6" customHeight="1" x14ac:dyDescent="0.3">
      <c r="B8" s="1091" t="s">
        <v>1690</v>
      </c>
    </row>
    <row r="9" spans="2:15" ht="48.6" customHeight="1" x14ac:dyDescent="0.3">
      <c r="B9" s="1091" t="s">
        <v>817</v>
      </c>
    </row>
    <row r="10" spans="2:15" ht="33.6" customHeight="1" x14ac:dyDescent="0.3">
      <c r="B10" s="1092" t="s">
        <v>818</v>
      </c>
    </row>
    <row r="11" spans="2:15" ht="43.2" customHeight="1" x14ac:dyDescent="0.3">
      <c r="B11" s="1093" t="s">
        <v>1691</v>
      </c>
    </row>
    <row r="12" spans="2:15" ht="42.6" customHeight="1" x14ac:dyDescent="0.3">
      <c r="B12" s="1093" t="s">
        <v>1692</v>
      </c>
    </row>
    <row r="13" spans="2:15" ht="25.5" customHeight="1" x14ac:dyDescent="0.3">
      <c r="B13" s="1094" t="s">
        <v>1693</v>
      </c>
    </row>
    <row r="14" spans="2:15" ht="17.399999999999999" x14ac:dyDescent="0.3">
      <c r="B14" s="190" t="s">
        <v>819</v>
      </c>
    </row>
    <row r="15" spans="2:15" x14ac:dyDescent="0.3">
      <c r="B15" s="177"/>
    </row>
    <row r="16" spans="2:15" x14ac:dyDescent="0.3">
      <c r="B16" s="1095" t="s">
        <v>37</v>
      </c>
    </row>
    <row r="17" spans="1:4" x14ac:dyDescent="0.3">
      <c r="B17" s="1096" t="s">
        <v>1694</v>
      </c>
    </row>
    <row r="18" spans="1:4" x14ac:dyDescent="0.3">
      <c r="B18" s="1097"/>
    </row>
    <row r="19" spans="1:4" ht="15" customHeight="1" x14ac:dyDescent="0.3">
      <c r="B19" s="1095" t="s">
        <v>38</v>
      </c>
    </row>
    <row r="20" spans="1:4" x14ac:dyDescent="0.3">
      <c r="B20" s="1098" t="s">
        <v>615</v>
      </c>
    </row>
    <row r="21" spans="1:4" ht="32.4" customHeight="1" x14ac:dyDescent="0.3">
      <c r="B21" s="177"/>
    </row>
    <row r="22" spans="1:4" ht="17.399999999999999" x14ac:dyDescent="0.3">
      <c r="A22" s="177"/>
      <c r="B22" s="190" t="s">
        <v>820</v>
      </c>
      <c r="C22" s="177"/>
      <c r="D22" s="177"/>
    </row>
    <row r="23" spans="1:4" ht="75.599999999999994" customHeight="1" x14ac:dyDescent="0.3">
      <c r="B23" s="1091" t="s">
        <v>1695</v>
      </c>
    </row>
    <row r="24" spans="1:4" ht="81.599999999999994" customHeight="1" x14ac:dyDescent="0.3">
      <c r="B24" s="1091" t="s">
        <v>1696</v>
      </c>
    </row>
    <row r="25" spans="1:4" ht="81" customHeight="1" x14ac:dyDescent="0.3">
      <c r="B25" s="1091" t="s">
        <v>821</v>
      </c>
    </row>
    <row r="26" spans="1:4" ht="15" x14ac:dyDescent="0.3">
      <c r="B26" s="180" t="s">
        <v>1697</v>
      </c>
    </row>
    <row r="27" spans="1:4" ht="15" x14ac:dyDescent="0.3">
      <c r="B27" s="179"/>
    </row>
    <row r="28" spans="1:4" ht="15.75" customHeight="1" x14ac:dyDescent="0.3">
      <c r="B28" s="190" t="s">
        <v>1698</v>
      </c>
    </row>
    <row r="29" spans="1:4" ht="22.5" customHeight="1" x14ac:dyDescent="0.3">
      <c r="B29" s="191" t="s">
        <v>1699</v>
      </c>
    </row>
    <row r="30" spans="1:4" ht="22.5" customHeight="1" x14ac:dyDescent="0.3">
      <c r="B30" s="191" t="s">
        <v>1700</v>
      </c>
    </row>
    <row r="31" spans="1:4" ht="22.5" customHeight="1" x14ac:dyDescent="0.3">
      <c r="B31" s="1099" t="s">
        <v>1701</v>
      </c>
    </row>
    <row r="32" spans="1:4" ht="22.5" customHeight="1" x14ac:dyDescent="0.3">
      <c r="B32" s="1100" t="s">
        <v>1702</v>
      </c>
    </row>
    <row r="33" spans="2:2" ht="22.5" customHeight="1" x14ac:dyDescent="0.3">
      <c r="B33" s="1101" t="s">
        <v>1703</v>
      </c>
    </row>
    <row r="34" spans="2:2" ht="22.5" customHeight="1" x14ac:dyDescent="0.3">
      <c r="B34" s="1102" t="s">
        <v>1704</v>
      </c>
    </row>
    <row r="35" spans="2:2" ht="42.6" customHeight="1" x14ac:dyDescent="0.3">
      <c r="B35" s="191" t="s">
        <v>1705</v>
      </c>
    </row>
    <row r="36" spans="2:2" ht="31.2" customHeight="1" x14ac:dyDescent="0.3">
      <c r="B36" s="191" t="s">
        <v>1706</v>
      </c>
    </row>
    <row r="37" spans="2:2" ht="15" x14ac:dyDescent="0.3">
      <c r="B37" s="191"/>
    </row>
    <row r="38" spans="2:2" ht="44.25" customHeight="1" x14ac:dyDescent="0.3">
      <c r="B38" s="190" t="s">
        <v>1055</v>
      </c>
    </row>
    <row r="39" spans="2:2" x14ac:dyDescent="0.3">
      <c r="B39" s="189"/>
    </row>
    <row r="40" spans="2:2" ht="55.2" customHeight="1" x14ac:dyDescent="0.3">
      <c r="B40" s="1103" t="s">
        <v>1707</v>
      </c>
    </row>
    <row r="41" spans="2:2" ht="20.399999999999999" customHeight="1" x14ac:dyDescent="0.3">
      <c r="B41" s="1104" t="s">
        <v>1693</v>
      </c>
    </row>
    <row r="42" spans="2:2" ht="15" x14ac:dyDescent="0.3">
      <c r="B42" s="192"/>
    </row>
    <row r="43" spans="2:2" ht="15" x14ac:dyDescent="0.3">
      <c r="B43" s="193"/>
    </row>
    <row r="44" spans="2:2" ht="15" x14ac:dyDescent="0.3">
      <c r="B44" s="191"/>
    </row>
    <row r="45" spans="2:2" ht="17.399999999999999" x14ac:dyDescent="0.3">
      <c r="B45" s="190" t="s">
        <v>1056</v>
      </c>
    </row>
    <row r="46" spans="2:2" ht="30" x14ac:dyDescent="0.3">
      <c r="B46" s="1103" t="s">
        <v>1708</v>
      </c>
    </row>
    <row r="47" spans="2:2" ht="15" x14ac:dyDescent="0.3">
      <c r="B47" s="193"/>
    </row>
    <row r="57" ht="44.25" customHeight="1" x14ac:dyDescent="0.3"/>
  </sheetData>
  <sheetProtection algorithmName="SHA-512" hashValue="uDl6FJC6GwE53Ejrnyn4x9ChHtNFonmHS4fb1hw1tgfsteKqEbJh9YO638ZCxO/KJHYejbAoPXmSqxIOiSknkQ==" saltValue="MW0Ebfv25R2xmFPpuA7+Gw==" spinCount="100000" sheet="1" formatCells="0" formatColumns="0" formatRows="0"/>
  <hyperlinks>
    <hyperlink ref="B17" r:id="rId1" xr:uid="{3381AB00-3F20-4E77-8733-78F9687F0689}"/>
    <hyperlink ref="B20" r:id="rId2" xr:uid="{6478186E-E1AE-47F7-8BAB-022DE108F7B4}"/>
    <hyperlink ref="B41" r:id="rId3" xr:uid="{8683EF2D-D7E7-40B7-A469-1F2C0EB85323}"/>
    <hyperlink ref="B13" r:id="rId4" xr:uid="{F9D7DB57-3FD3-458A-99E4-90246C3ED97F}"/>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B867"/>
  <sheetViews>
    <sheetView zoomScaleNormal="100" workbookViewId="0">
      <selection activeCell="A2" sqref="A2:H2"/>
    </sheetView>
  </sheetViews>
  <sheetFormatPr defaultColWidth="9.109375" defaultRowHeight="14.4" x14ac:dyDescent="0.3"/>
  <cols>
    <col min="1" max="1" width="20.109375" style="99" customWidth="1"/>
    <col min="2" max="2" width="5.5546875" style="310" customWidth="1"/>
    <col min="3" max="3" width="6.5546875" style="99" customWidth="1"/>
    <col min="4" max="4" width="42.109375" style="99" customWidth="1"/>
    <col min="5" max="5" width="14.44140625" style="99" bestFit="1" customWidth="1"/>
    <col min="6" max="6" width="15.5546875" style="99" bestFit="1" customWidth="1"/>
    <col min="7" max="7" width="16.88671875" style="99" bestFit="1"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4" width="13.44140625" style="99" bestFit="1" customWidth="1"/>
    <col min="15" max="15" width="14.44140625" style="99" bestFit="1" customWidth="1"/>
    <col min="16" max="16" width="15.5546875" style="99" bestFit="1" customWidth="1"/>
    <col min="17" max="17" width="15.88671875" style="99" bestFit="1" customWidth="1"/>
    <col min="18" max="19" width="15.5546875" style="99" bestFit="1" customWidth="1"/>
    <col min="20" max="20" width="16.5546875" style="99" bestFit="1" customWidth="1"/>
    <col min="21" max="21" width="9.88671875" style="99" bestFit="1" customWidth="1"/>
    <col min="22" max="22" width="17" style="99" bestFit="1" customWidth="1"/>
    <col min="23" max="23" width="13.44140625" style="99" bestFit="1" customWidth="1"/>
    <col min="24" max="24" width="15.44140625" style="99" bestFit="1" customWidth="1"/>
    <col min="25" max="25" width="15.88671875" style="99" bestFit="1" customWidth="1"/>
    <col min="26" max="28" width="15.5546875" style="99" bestFit="1" customWidth="1"/>
    <col min="29" max="29" width="14.44140625" style="99" bestFit="1" customWidth="1"/>
    <col min="30" max="30" width="14" style="99" bestFit="1" customWidth="1"/>
    <col min="31" max="32" width="15.5546875" style="99" bestFit="1" customWidth="1"/>
    <col min="33" max="33" width="13.88671875" style="99" bestFit="1" customWidth="1"/>
    <col min="34" max="34" width="13.44140625" style="99" bestFit="1" customWidth="1"/>
    <col min="35" max="35" width="13.88671875" style="99" bestFit="1" customWidth="1"/>
    <col min="36" max="36" width="14.44140625" style="99" bestFit="1" customWidth="1"/>
    <col min="37" max="37" width="16.5546875" style="99" bestFit="1" customWidth="1"/>
    <col min="38" max="38" width="14.44140625" style="99" bestFit="1" customWidth="1"/>
    <col min="39" max="39" width="13.44140625" style="99" bestFit="1" customWidth="1"/>
    <col min="40" max="41" width="15.5546875" style="99" bestFit="1" customWidth="1"/>
    <col min="42" max="42" width="14.44140625" style="99" bestFit="1" customWidth="1"/>
    <col min="43" max="43" width="15.44140625" style="99" bestFit="1" customWidth="1"/>
    <col min="44" max="44" width="17" style="99" bestFit="1" customWidth="1"/>
    <col min="45" max="45" width="15.5546875" style="99" bestFit="1" customWidth="1"/>
    <col min="46" max="46" width="14.44140625" style="99" bestFit="1" customWidth="1"/>
    <col min="47" max="47" width="15.5546875" style="99" bestFit="1" customWidth="1"/>
    <col min="48" max="48" width="16.5546875" style="99" bestFit="1" customWidth="1"/>
    <col min="49" max="50" width="14.44140625" style="99" bestFit="1" customWidth="1"/>
    <col min="51" max="53" width="15.5546875" style="99" bestFit="1" customWidth="1"/>
    <col min="54" max="54" width="14" style="99" bestFit="1" customWidth="1"/>
    <col min="55" max="55" width="15.5546875" style="99" bestFit="1" customWidth="1"/>
    <col min="56" max="56" width="9.88671875" style="99" bestFit="1" customWidth="1"/>
    <col min="57" max="57" width="13.44140625" style="99" bestFit="1" customWidth="1"/>
    <col min="58" max="58" width="17" style="99" bestFit="1" customWidth="1"/>
    <col min="59" max="59" width="10.5546875" style="99" bestFit="1" customWidth="1"/>
    <col min="60" max="60" width="13.44140625" style="99" bestFit="1" customWidth="1"/>
    <col min="61" max="61" width="15.5546875" style="99" bestFit="1" customWidth="1"/>
    <col min="62" max="62" width="15.44140625" style="99" bestFit="1" customWidth="1"/>
    <col min="63" max="63" width="9.88671875" style="99" bestFit="1" customWidth="1"/>
    <col min="64" max="65" width="15.5546875" style="99" bestFit="1" customWidth="1"/>
    <col min="66" max="66" width="13.44140625" style="99" bestFit="1" customWidth="1"/>
    <col min="67" max="67" width="15.5546875" style="99" bestFit="1" customWidth="1"/>
    <col min="68" max="68" width="15.44140625" style="99" bestFit="1" customWidth="1"/>
    <col min="69" max="69" width="14.88671875" style="99" bestFit="1" customWidth="1"/>
    <col min="70" max="70" width="16.33203125" style="99" bestFit="1" customWidth="1"/>
    <col min="71" max="71" width="14.88671875" style="99" bestFit="1" customWidth="1"/>
    <col min="72" max="72" width="17" style="99" bestFit="1" customWidth="1"/>
    <col min="73" max="73" width="14.6640625" style="99" bestFit="1" customWidth="1"/>
    <col min="74" max="74" width="15.5546875" style="99" bestFit="1" customWidth="1"/>
    <col min="75" max="75" width="14.44140625" style="99" bestFit="1" customWidth="1"/>
    <col min="76" max="76" width="15.5546875" style="99" bestFit="1" customWidth="1"/>
    <col min="77" max="78" width="13.44140625" style="99" bestFit="1" customWidth="1"/>
    <col min="79" max="79" width="15.5546875" style="99" bestFit="1" customWidth="1"/>
    <col min="80" max="80" width="13.44140625" style="99" bestFit="1" customWidth="1"/>
    <col min="81" max="16384" width="9.109375" style="99"/>
  </cols>
  <sheetData>
    <row r="1" spans="1:80" s="401" customFormat="1" ht="57.6" x14ac:dyDescent="0.3">
      <c r="A1" s="1011" t="s">
        <v>561</v>
      </c>
      <c r="B1" s="1011" t="s">
        <v>1667</v>
      </c>
      <c r="C1" s="1010"/>
      <c r="D1" s="1010"/>
      <c r="E1" s="1012" t="s">
        <v>1576</v>
      </c>
      <c r="F1" s="1012" t="s">
        <v>1577</v>
      </c>
      <c r="G1" s="1012" t="s">
        <v>1578</v>
      </c>
      <c r="H1" s="1010"/>
      <c r="I1" s="1010"/>
      <c r="J1" s="1010"/>
      <c r="K1" s="1010"/>
      <c r="L1" s="1010"/>
      <c r="M1" s="1010"/>
      <c r="N1" s="1010"/>
      <c r="O1" s="1010"/>
      <c r="P1" s="1010"/>
      <c r="Q1" s="1010"/>
      <c r="R1" s="1010"/>
      <c r="S1" s="1010"/>
      <c r="T1" s="1010"/>
      <c r="U1" s="1010"/>
      <c r="V1" s="1010"/>
      <c r="W1" s="1010"/>
      <c r="X1" s="1010"/>
      <c r="Y1" s="1010"/>
      <c r="Z1" s="1010"/>
      <c r="AA1" s="1010"/>
      <c r="AB1" s="1010"/>
      <c r="AC1" s="1010"/>
      <c r="AD1" s="1010"/>
      <c r="AE1" s="1010"/>
      <c r="AF1" s="1010"/>
      <c r="AG1" s="1010"/>
      <c r="AH1" s="1010"/>
      <c r="AI1" s="1010"/>
      <c r="AJ1" s="1010"/>
      <c r="AK1" s="1010"/>
      <c r="AL1" s="1010"/>
      <c r="AM1" s="1010"/>
      <c r="AN1" s="1010"/>
      <c r="AO1" s="1010"/>
      <c r="AP1" s="1010"/>
      <c r="AQ1" s="1010"/>
      <c r="AR1" s="1010"/>
      <c r="AS1" s="1010"/>
      <c r="AT1" s="1010"/>
      <c r="AU1" s="1010"/>
      <c r="AV1" s="1010"/>
      <c r="AW1" s="1010"/>
      <c r="AX1" s="1010"/>
      <c r="AY1" s="1010"/>
      <c r="AZ1" s="1010"/>
      <c r="BA1" s="1010"/>
      <c r="BB1" s="1010"/>
      <c r="BC1" s="401" t="e">
        <v>#N/A</v>
      </c>
      <c r="BD1" s="401" t="e">
        <v>#N/A</v>
      </c>
      <c r="BE1" s="401" t="s">
        <v>768</v>
      </c>
      <c r="BF1" s="401" t="s">
        <v>769</v>
      </c>
      <c r="BG1" s="401" t="s">
        <v>770</v>
      </c>
      <c r="BH1" s="401" t="s">
        <v>692</v>
      </c>
      <c r="BI1" s="401" t="s">
        <v>771</v>
      </c>
      <c r="BJ1" s="401" t="s">
        <v>772</v>
      </c>
      <c r="BK1" s="401" t="e">
        <v>#N/A</v>
      </c>
      <c r="BL1" s="401" t="s">
        <v>774</v>
      </c>
      <c r="BM1" s="401" t="s">
        <v>775</v>
      </c>
      <c r="BN1" s="401" t="s">
        <v>776</v>
      </c>
      <c r="BO1" s="401" t="s">
        <v>777</v>
      </c>
      <c r="BP1" s="401" t="s">
        <v>778</v>
      </c>
      <c r="BQ1" s="401" t="s">
        <v>779</v>
      </c>
      <c r="BR1" s="401" t="s">
        <v>780</v>
      </c>
      <c r="BS1" s="401" t="s">
        <v>781</v>
      </c>
      <c r="BT1" s="401" t="s">
        <v>782</v>
      </c>
      <c r="BU1" s="401" t="s">
        <v>783</v>
      </c>
      <c r="BV1" s="401" t="s">
        <v>784</v>
      </c>
      <c r="BW1" s="401" t="s">
        <v>785</v>
      </c>
      <c r="BX1" s="401" t="s">
        <v>786</v>
      </c>
      <c r="BY1" s="401" t="s">
        <v>787</v>
      </c>
      <c r="BZ1" s="401" t="s">
        <v>788</v>
      </c>
      <c r="CA1" s="401" t="s">
        <v>789</v>
      </c>
      <c r="CB1" s="401" t="s">
        <v>790</v>
      </c>
    </row>
    <row r="2" spans="1:80" s="401" customFormat="1" x14ac:dyDescent="0.3">
      <c r="A2" s="1013"/>
      <c r="B2" s="1014"/>
      <c r="C2" s="1013"/>
      <c r="D2" s="1013"/>
      <c r="E2" s="1015">
        <v>601754</v>
      </c>
      <c r="F2" s="1016">
        <v>601757</v>
      </c>
      <c r="G2" s="1016">
        <v>601758</v>
      </c>
      <c r="H2" s="1017"/>
      <c r="I2" s="1017"/>
      <c r="J2" s="1017"/>
      <c r="K2" s="1017"/>
      <c r="L2" s="1017"/>
      <c r="M2" s="1017"/>
      <c r="N2" s="1017"/>
      <c r="O2" s="1017"/>
      <c r="P2" s="1017"/>
      <c r="Q2" s="1017"/>
      <c r="R2" s="1017"/>
      <c r="S2" s="1017"/>
      <c r="T2" s="1017"/>
      <c r="U2" s="1017"/>
      <c r="V2" s="1017"/>
      <c r="W2" s="1017"/>
      <c r="X2" s="1017"/>
      <c r="Y2" s="1017"/>
      <c r="Z2" s="1017"/>
      <c r="AA2" s="1017"/>
      <c r="AB2" s="1017"/>
      <c r="AC2" s="1017"/>
      <c r="AD2" s="1017"/>
      <c r="AE2" s="1017"/>
      <c r="AF2" s="1017"/>
      <c r="AG2" s="1017"/>
      <c r="AH2" s="1017"/>
      <c r="AI2" s="1017"/>
      <c r="AJ2" s="1017"/>
      <c r="AK2" s="1017"/>
      <c r="AL2" s="1017"/>
      <c r="AM2" s="1017"/>
      <c r="AN2" s="1017"/>
      <c r="AO2" s="1017"/>
      <c r="AP2" s="1017"/>
      <c r="AQ2" s="1017"/>
      <c r="AR2" s="1017"/>
      <c r="AS2" s="1017"/>
      <c r="AT2" s="1017"/>
      <c r="AU2" s="1017"/>
      <c r="AV2" s="1017"/>
      <c r="AW2" s="1017"/>
      <c r="AX2" s="1017"/>
      <c r="AY2" s="1017"/>
      <c r="AZ2" s="1017"/>
      <c r="BA2" s="1017"/>
      <c r="BB2" s="1017"/>
      <c r="BC2" s="401">
        <v>0</v>
      </c>
      <c r="BD2" s="401">
        <v>0</v>
      </c>
      <c r="BE2" s="401">
        <v>50234</v>
      </c>
      <c r="BF2" s="401">
        <v>50235</v>
      </c>
      <c r="BG2" s="401">
        <v>50236</v>
      </c>
      <c r="BH2" s="401">
        <v>50237</v>
      </c>
      <c r="BI2" s="401">
        <v>50238</v>
      </c>
      <c r="BJ2" s="401">
        <v>50444</v>
      </c>
      <c r="BK2" s="401">
        <v>0</v>
      </c>
      <c r="BL2" s="401">
        <v>50240</v>
      </c>
      <c r="BM2" s="401">
        <v>50241</v>
      </c>
      <c r="BN2" s="401">
        <v>50521</v>
      </c>
      <c r="BO2" s="401">
        <v>50242</v>
      </c>
      <c r="BP2" s="401">
        <v>50244</v>
      </c>
      <c r="BQ2" s="401">
        <v>50243</v>
      </c>
      <c r="BR2" s="401">
        <v>50245</v>
      </c>
      <c r="BS2" s="401">
        <v>50522</v>
      </c>
      <c r="BT2" s="401">
        <v>50246</v>
      </c>
      <c r="BU2" s="401">
        <v>50247</v>
      </c>
      <c r="BV2" s="401">
        <v>50248</v>
      </c>
      <c r="BW2" s="401">
        <v>50249</v>
      </c>
      <c r="BX2" s="401">
        <v>50250</v>
      </c>
      <c r="BY2" s="401">
        <v>50251</v>
      </c>
      <c r="BZ2" s="401">
        <v>50252</v>
      </c>
      <c r="CA2" s="401">
        <v>50253</v>
      </c>
      <c r="CB2" s="401">
        <v>50454</v>
      </c>
    </row>
    <row r="3" spans="1:80" s="401" customFormat="1" x14ac:dyDescent="0.3">
      <c r="A3" s="1014">
        <v>4</v>
      </c>
      <c r="B3" s="1014"/>
      <c r="C3" s="1018">
        <v>4</v>
      </c>
      <c r="D3" s="1019" t="s">
        <v>581</v>
      </c>
      <c r="E3" s="1020" t="s">
        <v>1682</v>
      </c>
      <c r="F3" s="1021" t="s">
        <v>1683</v>
      </c>
      <c r="G3" s="1021" t="s">
        <v>1684</v>
      </c>
      <c r="H3" s="1022"/>
      <c r="I3" s="1022"/>
      <c r="J3" s="1022"/>
      <c r="K3" s="1022"/>
      <c r="L3" s="1022"/>
      <c r="M3" s="1022"/>
      <c r="N3" s="1022"/>
      <c r="O3" s="1022"/>
      <c r="P3" s="1022"/>
      <c r="Q3" s="1022"/>
      <c r="R3" s="1022"/>
      <c r="S3" s="1022"/>
      <c r="T3" s="1022"/>
      <c r="U3" s="1022"/>
      <c r="V3" s="1022"/>
      <c r="W3" s="1022"/>
      <c r="X3" s="1022"/>
      <c r="Y3" s="1022"/>
      <c r="Z3" s="1022"/>
      <c r="AA3" s="1022"/>
      <c r="AB3" s="1022"/>
      <c r="AC3" s="1022"/>
      <c r="AD3" s="1022"/>
      <c r="AE3" s="1022"/>
      <c r="AF3" s="1022"/>
      <c r="AG3" s="1022"/>
      <c r="AH3" s="1022"/>
      <c r="AI3" s="1022"/>
      <c r="AJ3" s="1022"/>
      <c r="AK3" s="1022"/>
      <c r="AL3" s="1022"/>
      <c r="AM3" s="1022"/>
      <c r="AN3" s="1022"/>
      <c r="AO3" s="1022"/>
      <c r="AP3" s="1022"/>
      <c r="AQ3" s="1022"/>
      <c r="AR3" s="1022"/>
      <c r="AS3" s="1022"/>
      <c r="AT3" s="1022"/>
      <c r="AU3" s="1022"/>
      <c r="AV3" s="1022"/>
      <c r="AW3" s="1022"/>
      <c r="AX3" s="1022"/>
      <c r="AY3" s="1022"/>
      <c r="AZ3" s="1022"/>
      <c r="BA3" s="1022"/>
      <c r="BB3" s="1022"/>
      <c r="BC3" s="401">
        <v>23094</v>
      </c>
      <c r="BD3" s="401">
        <v>0</v>
      </c>
      <c r="BE3" s="401">
        <v>3368</v>
      </c>
      <c r="BF3" s="401">
        <v>1535215</v>
      </c>
      <c r="BG3" s="401">
        <v>0</v>
      </c>
      <c r="BH3" s="401">
        <v>2267</v>
      </c>
      <c r="BI3" s="401">
        <v>29021</v>
      </c>
      <c r="BJ3" s="401">
        <v>101123</v>
      </c>
      <c r="BK3" s="401">
        <v>0</v>
      </c>
      <c r="BL3" s="401">
        <v>119203</v>
      </c>
      <c r="BM3" s="401">
        <v>93803</v>
      </c>
      <c r="BN3" s="401">
        <v>0</v>
      </c>
      <c r="BO3" s="401">
        <v>216042</v>
      </c>
      <c r="BP3" s="401">
        <v>142073</v>
      </c>
      <c r="BQ3" s="401">
        <v>9392</v>
      </c>
      <c r="BR3" s="401">
        <v>8180</v>
      </c>
      <c r="BS3" s="401">
        <v>43947</v>
      </c>
      <c r="BT3" s="401">
        <v>2444961</v>
      </c>
      <c r="BU3" s="401">
        <v>77427</v>
      </c>
      <c r="BV3" s="401">
        <v>86828</v>
      </c>
      <c r="BW3" s="401">
        <v>56807</v>
      </c>
      <c r="BX3" s="401">
        <v>11908</v>
      </c>
      <c r="BY3" s="401">
        <v>0</v>
      </c>
      <c r="BZ3" s="401">
        <v>0</v>
      </c>
      <c r="CA3" s="401">
        <v>1837544</v>
      </c>
      <c r="CB3" s="401">
        <v>0</v>
      </c>
    </row>
    <row r="4" spans="1:80" s="401" customFormat="1" ht="28.8" x14ac:dyDescent="0.3">
      <c r="A4" s="1014">
        <v>5</v>
      </c>
      <c r="B4" s="1014"/>
      <c r="C4" s="1018">
        <v>5</v>
      </c>
      <c r="D4" s="1019" t="s">
        <v>120</v>
      </c>
      <c r="E4" s="1020" t="s">
        <v>1682</v>
      </c>
      <c r="F4" s="1021" t="s">
        <v>1683</v>
      </c>
      <c r="G4" s="1021" t="s">
        <v>1684</v>
      </c>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2"/>
      <c r="AI4" s="1022"/>
      <c r="AJ4" s="1022"/>
      <c r="AK4" s="1022"/>
      <c r="AL4" s="1022"/>
      <c r="AM4" s="1022"/>
      <c r="AN4" s="1022"/>
      <c r="AO4" s="1022"/>
      <c r="AP4" s="1022"/>
      <c r="AQ4" s="1022"/>
      <c r="AR4" s="1022"/>
      <c r="AS4" s="1022"/>
      <c r="AT4" s="1022"/>
      <c r="AU4" s="1022"/>
      <c r="AV4" s="1022"/>
      <c r="AW4" s="1022"/>
      <c r="AX4" s="1022"/>
      <c r="AY4" s="1022"/>
      <c r="AZ4" s="1022"/>
      <c r="BA4" s="1022"/>
      <c r="BB4" s="1022"/>
      <c r="BC4" s="401">
        <v>0</v>
      </c>
      <c r="BD4" s="401">
        <v>0</v>
      </c>
      <c r="BE4" s="401">
        <v>0</v>
      </c>
      <c r="BF4" s="401">
        <v>9801</v>
      </c>
      <c r="BG4" s="401">
        <v>0</v>
      </c>
      <c r="BH4" s="401">
        <v>0</v>
      </c>
      <c r="BI4" s="401">
        <v>0</v>
      </c>
      <c r="BJ4" s="401">
        <v>947</v>
      </c>
      <c r="BK4" s="401">
        <v>0</v>
      </c>
      <c r="BL4" s="401">
        <v>2978</v>
      </c>
      <c r="BM4" s="401">
        <v>0</v>
      </c>
      <c r="BN4" s="401">
        <v>0</v>
      </c>
      <c r="BO4" s="401">
        <v>9835</v>
      </c>
      <c r="BP4" s="401">
        <v>160</v>
      </c>
      <c r="BQ4" s="401">
        <v>0</v>
      </c>
      <c r="BR4" s="401">
        <v>0</v>
      </c>
      <c r="BS4" s="401">
        <v>0</v>
      </c>
      <c r="BT4" s="401">
        <v>0</v>
      </c>
      <c r="BU4" s="401">
        <v>0</v>
      </c>
      <c r="BV4" s="401">
        <v>0</v>
      </c>
      <c r="BW4" s="401">
        <v>0</v>
      </c>
      <c r="BX4" s="401">
        <v>0</v>
      </c>
      <c r="BY4" s="401">
        <v>0</v>
      </c>
      <c r="BZ4" s="401">
        <v>0</v>
      </c>
      <c r="CA4" s="401">
        <v>0</v>
      </c>
      <c r="CB4" s="401">
        <v>0</v>
      </c>
    </row>
    <row r="5" spans="1:80" s="401" customFormat="1" x14ac:dyDescent="0.3">
      <c r="A5" s="1014">
        <v>6</v>
      </c>
      <c r="B5" s="1014"/>
      <c r="C5" s="1018">
        <v>6</v>
      </c>
      <c r="D5" s="1019" t="s">
        <v>1580</v>
      </c>
      <c r="E5" s="1020" t="s">
        <v>1682</v>
      </c>
      <c r="F5" s="1021" t="s">
        <v>1683</v>
      </c>
      <c r="G5" s="1021" t="s">
        <v>1684</v>
      </c>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1022"/>
      <c r="AF5" s="1022"/>
      <c r="AG5" s="1022"/>
      <c r="AH5" s="1022"/>
      <c r="AI5" s="1022"/>
      <c r="AJ5" s="1022"/>
      <c r="AK5" s="1022"/>
      <c r="AL5" s="1022"/>
      <c r="AM5" s="1022"/>
      <c r="AN5" s="1022"/>
      <c r="AO5" s="1022"/>
      <c r="AP5" s="1022"/>
      <c r="AQ5" s="1022"/>
      <c r="AR5" s="1022"/>
      <c r="AS5" s="1022"/>
      <c r="AT5" s="1022"/>
      <c r="AU5" s="1022"/>
      <c r="AV5" s="1022"/>
      <c r="AW5" s="1022"/>
      <c r="AX5" s="1022"/>
      <c r="AY5" s="1022"/>
      <c r="AZ5" s="1022"/>
      <c r="BA5" s="1022"/>
      <c r="BB5" s="1022"/>
      <c r="BC5" s="401">
        <v>0</v>
      </c>
      <c r="BD5" s="401">
        <v>0</v>
      </c>
      <c r="BE5" s="401">
        <v>0</v>
      </c>
      <c r="BF5" s="401">
        <v>0</v>
      </c>
      <c r="BG5" s="401">
        <v>0</v>
      </c>
      <c r="BH5" s="401">
        <v>0</v>
      </c>
      <c r="BI5" s="401">
        <v>0</v>
      </c>
      <c r="BJ5" s="401">
        <v>133531</v>
      </c>
      <c r="BK5" s="401">
        <v>0</v>
      </c>
      <c r="BL5" s="401">
        <v>141268</v>
      </c>
      <c r="BM5" s="401">
        <v>0</v>
      </c>
      <c r="BN5" s="401">
        <v>0</v>
      </c>
      <c r="BO5" s="401">
        <v>0</v>
      </c>
      <c r="BP5" s="401">
        <v>0</v>
      </c>
      <c r="BQ5" s="401">
        <v>0</v>
      </c>
      <c r="BR5" s="401">
        <v>0</v>
      </c>
      <c r="BS5" s="401">
        <v>0</v>
      </c>
      <c r="BT5" s="401">
        <v>0</v>
      </c>
      <c r="BU5" s="401">
        <v>0</v>
      </c>
      <c r="BV5" s="401">
        <v>0</v>
      </c>
      <c r="BW5" s="401">
        <v>0</v>
      </c>
      <c r="BX5" s="401">
        <v>335000</v>
      </c>
      <c r="BY5" s="401">
        <v>0</v>
      </c>
      <c r="BZ5" s="401">
        <v>0</v>
      </c>
      <c r="CA5" s="401">
        <v>276871</v>
      </c>
      <c r="CB5" s="401">
        <v>0</v>
      </c>
    </row>
    <row r="6" spans="1:80" s="401" customFormat="1" x14ac:dyDescent="0.3">
      <c r="A6" s="1014">
        <v>7</v>
      </c>
      <c r="B6" s="1014"/>
      <c r="C6" s="1018">
        <v>7</v>
      </c>
      <c r="D6" s="1019" t="s">
        <v>1581</v>
      </c>
      <c r="E6" s="1020" t="s">
        <v>1682</v>
      </c>
      <c r="F6" s="1021" t="s">
        <v>1683</v>
      </c>
      <c r="G6" s="1021" t="s">
        <v>1684</v>
      </c>
      <c r="H6" s="1022"/>
      <c r="I6" s="1022"/>
      <c r="J6" s="1022"/>
      <c r="K6" s="1022"/>
      <c r="L6" s="1022"/>
      <c r="M6" s="1022"/>
      <c r="N6" s="1022"/>
      <c r="O6" s="1022"/>
      <c r="P6" s="1022"/>
      <c r="Q6" s="1022"/>
      <c r="R6" s="1022"/>
      <c r="S6" s="1022"/>
      <c r="T6" s="1022"/>
      <c r="U6" s="1022"/>
      <c r="V6" s="1022"/>
      <c r="W6" s="1022"/>
      <c r="X6" s="1022"/>
      <c r="Y6" s="1022"/>
      <c r="Z6" s="1022"/>
      <c r="AA6" s="1022"/>
      <c r="AB6" s="1022"/>
      <c r="AC6" s="1022"/>
      <c r="AD6" s="1022"/>
      <c r="AE6" s="1022"/>
      <c r="AF6" s="1022"/>
      <c r="AG6" s="1022"/>
      <c r="AH6" s="1022"/>
      <c r="AI6" s="1022"/>
      <c r="AJ6" s="1022"/>
      <c r="AK6" s="1022"/>
      <c r="AL6" s="1022"/>
      <c r="AM6" s="1022"/>
      <c r="AN6" s="1022"/>
      <c r="AO6" s="1022"/>
      <c r="AP6" s="1022"/>
      <c r="AQ6" s="1022"/>
      <c r="AR6" s="1022"/>
      <c r="AS6" s="1022"/>
      <c r="AT6" s="1022"/>
      <c r="AU6" s="1022"/>
      <c r="AV6" s="1022"/>
      <c r="AW6" s="1022"/>
      <c r="AX6" s="1022"/>
      <c r="AY6" s="1022"/>
      <c r="AZ6" s="1022"/>
      <c r="BA6" s="1022"/>
      <c r="BB6" s="1022"/>
      <c r="BC6" s="401">
        <v>0</v>
      </c>
      <c r="BD6" s="401">
        <v>0</v>
      </c>
      <c r="BE6" s="401">
        <v>0</v>
      </c>
      <c r="BF6" s="401">
        <v>125926</v>
      </c>
      <c r="BG6" s="401">
        <v>0</v>
      </c>
      <c r="BH6" s="401">
        <v>0</v>
      </c>
      <c r="BI6" s="401">
        <v>0</v>
      </c>
      <c r="BJ6" s="401">
        <v>28935</v>
      </c>
      <c r="BK6" s="401">
        <v>0</v>
      </c>
      <c r="BL6" s="401">
        <v>5100</v>
      </c>
      <c r="BM6" s="401">
        <v>18</v>
      </c>
      <c r="BN6" s="401">
        <v>0</v>
      </c>
      <c r="BO6" s="401">
        <v>28663</v>
      </c>
      <c r="BP6" s="401">
        <v>0</v>
      </c>
      <c r="BQ6" s="401">
        <v>4000</v>
      </c>
      <c r="BR6" s="401">
        <v>0</v>
      </c>
      <c r="BS6" s="401">
        <v>900</v>
      </c>
      <c r="BT6" s="401">
        <v>114980</v>
      </c>
      <c r="BU6" s="401">
        <v>0</v>
      </c>
      <c r="BV6" s="401">
        <v>0</v>
      </c>
      <c r="BW6" s="401">
        <v>0</v>
      </c>
      <c r="BX6" s="401">
        <v>0</v>
      </c>
      <c r="BY6" s="401">
        <v>0</v>
      </c>
      <c r="BZ6" s="401">
        <v>0</v>
      </c>
      <c r="CA6" s="401">
        <v>168052</v>
      </c>
      <c r="CB6" s="401">
        <v>0</v>
      </c>
    </row>
    <row r="7" spans="1:80" s="401" customFormat="1" x14ac:dyDescent="0.3">
      <c r="A7" s="1014">
        <v>9</v>
      </c>
      <c r="B7" s="1014"/>
      <c r="C7" s="1018">
        <v>9</v>
      </c>
      <c r="D7" s="1019" t="s">
        <v>1582</v>
      </c>
      <c r="E7" s="1020" t="s">
        <v>1682</v>
      </c>
      <c r="F7" s="1021" t="s">
        <v>1683</v>
      </c>
      <c r="G7" s="1021" t="s">
        <v>1684</v>
      </c>
      <c r="H7" s="1022"/>
      <c r="I7" s="1022"/>
      <c r="J7" s="1022"/>
      <c r="K7" s="1022"/>
      <c r="L7" s="1022"/>
      <c r="M7" s="1022"/>
      <c r="N7" s="1022"/>
      <c r="O7" s="1022"/>
      <c r="P7" s="1022"/>
      <c r="Q7" s="1022"/>
      <c r="R7" s="1022"/>
      <c r="S7" s="1022"/>
      <c r="T7" s="1022"/>
      <c r="U7" s="1022"/>
      <c r="V7" s="1022"/>
      <c r="W7" s="1022"/>
      <c r="X7" s="1022"/>
      <c r="Y7" s="1022"/>
      <c r="Z7" s="1022"/>
      <c r="AA7" s="1022"/>
      <c r="AB7" s="1022"/>
      <c r="AC7" s="1022"/>
      <c r="AD7" s="1022"/>
      <c r="AE7" s="1022"/>
      <c r="AF7" s="1022"/>
      <c r="AG7" s="1022"/>
      <c r="AH7" s="1022"/>
      <c r="AI7" s="1022"/>
      <c r="AJ7" s="1022"/>
      <c r="AK7" s="1022"/>
      <c r="AL7" s="1022"/>
      <c r="AM7" s="1022"/>
      <c r="AN7" s="1022"/>
      <c r="AO7" s="1022"/>
      <c r="AP7" s="1022"/>
      <c r="AQ7" s="1022"/>
      <c r="AR7" s="1022"/>
      <c r="AS7" s="1022"/>
      <c r="AT7" s="1022"/>
      <c r="AU7" s="1022"/>
      <c r="AV7" s="1022"/>
      <c r="AW7" s="1022"/>
      <c r="AX7" s="1022"/>
      <c r="AY7" s="1022"/>
      <c r="AZ7" s="1022"/>
      <c r="BA7" s="1022"/>
      <c r="BB7" s="1022"/>
      <c r="BC7" s="401">
        <v>1888089</v>
      </c>
      <c r="BD7" s="401">
        <v>0</v>
      </c>
      <c r="BE7" s="401">
        <v>396404</v>
      </c>
      <c r="BF7" s="401">
        <v>5383411</v>
      </c>
      <c r="BG7" s="401">
        <v>0</v>
      </c>
      <c r="BH7" s="401">
        <v>181450</v>
      </c>
      <c r="BI7" s="401">
        <v>2960874</v>
      </c>
      <c r="BJ7" s="401">
        <v>3702072</v>
      </c>
      <c r="BK7" s="401">
        <v>0</v>
      </c>
      <c r="BL7" s="401">
        <v>3326834</v>
      </c>
      <c r="BM7" s="401">
        <v>6097828</v>
      </c>
      <c r="BN7" s="401">
        <v>141989</v>
      </c>
      <c r="BO7" s="401">
        <v>4478753</v>
      </c>
      <c r="BP7" s="401">
        <v>3695204</v>
      </c>
      <c r="BQ7" s="401">
        <v>1690464</v>
      </c>
      <c r="BR7" s="401">
        <v>3032233</v>
      </c>
      <c r="BS7" s="401">
        <v>2116025</v>
      </c>
      <c r="BT7" s="401">
        <v>11000469</v>
      </c>
      <c r="BU7" s="401">
        <v>2441166</v>
      </c>
      <c r="BV7" s="401">
        <v>1969129</v>
      </c>
      <c r="BW7" s="401">
        <v>543137</v>
      </c>
      <c r="BX7" s="401">
        <v>1314817</v>
      </c>
      <c r="BY7" s="401">
        <v>186628</v>
      </c>
      <c r="BZ7" s="401">
        <v>216749</v>
      </c>
      <c r="CA7" s="401">
        <v>14842317</v>
      </c>
      <c r="CB7" s="401">
        <v>102882</v>
      </c>
    </row>
    <row r="8" spans="1:80" s="401" customFormat="1" x14ac:dyDescent="0.3">
      <c r="A8" s="1014">
        <v>11</v>
      </c>
      <c r="B8" s="1014"/>
      <c r="C8" s="1018">
        <v>11</v>
      </c>
      <c r="D8" s="1019" t="s">
        <v>1583</v>
      </c>
      <c r="E8" s="1020" t="s">
        <v>1682</v>
      </c>
      <c r="F8" s="1021" t="s">
        <v>1683</v>
      </c>
      <c r="G8" s="1021" t="s">
        <v>1684</v>
      </c>
      <c r="H8" s="1022"/>
      <c r="I8" s="1022"/>
      <c r="J8" s="1022"/>
      <c r="K8" s="1022"/>
      <c r="L8" s="1022"/>
      <c r="M8" s="1022"/>
      <c r="N8" s="1022"/>
      <c r="O8" s="1022"/>
      <c r="P8" s="1022"/>
      <c r="Q8" s="1022"/>
      <c r="R8" s="1022"/>
      <c r="S8" s="1022"/>
      <c r="T8" s="1022"/>
      <c r="U8" s="1022"/>
      <c r="V8" s="1022"/>
      <c r="W8" s="1022"/>
      <c r="X8" s="1022"/>
      <c r="Y8" s="1022"/>
      <c r="Z8" s="1022"/>
      <c r="AA8" s="1022"/>
      <c r="AB8" s="1022"/>
      <c r="AC8" s="1022"/>
      <c r="AD8" s="1022"/>
      <c r="AE8" s="1022"/>
      <c r="AF8" s="1022"/>
      <c r="AG8" s="1022"/>
      <c r="AH8" s="1022"/>
      <c r="AI8" s="1022"/>
      <c r="AJ8" s="1022"/>
      <c r="AK8" s="1022"/>
      <c r="AL8" s="1022"/>
      <c r="AM8" s="1022"/>
      <c r="AN8" s="1022"/>
      <c r="AO8" s="1022"/>
      <c r="AP8" s="1022"/>
      <c r="AQ8" s="1022"/>
      <c r="AR8" s="1022"/>
      <c r="AS8" s="1022"/>
      <c r="AT8" s="1022"/>
      <c r="AU8" s="1022"/>
      <c r="AV8" s="1022"/>
      <c r="AW8" s="1022"/>
      <c r="AX8" s="1022"/>
      <c r="AY8" s="1022"/>
      <c r="AZ8" s="1022"/>
      <c r="BA8" s="1022"/>
      <c r="BB8" s="1022"/>
      <c r="BC8" s="401">
        <v>476510</v>
      </c>
      <c r="BD8" s="401">
        <v>0</v>
      </c>
      <c r="BE8" s="401">
        <v>8482</v>
      </c>
      <c r="BF8" s="401">
        <v>32518</v>
      </c>
      <c r="BG8" s="401">
        <v>0</v>
      </c>
      <c r="BH8" s="401">
        <v>23601</v>
      </c>
      <c r="BI8" s="401">
        <v>7771</v>
      </c>
      <c r="BJ8" s="401">
        <v>123884</v>
      </c>
      <c r="BK8" s="401">
        <v>0</v>
      </c>
      <c r="BL8" s="401">
        <v>165121</v>
      </c>
      <c r="BM8" s="401">
        <v>61161</v>
      </c>
      <c r="BN8" s="401">
        <v>0</v>
      </c>
      <c r="BO8" s="401">
        <v>214857</v>
      </c>
      <c r="BP8" s="401">
        <v>141279</v>
      </c>
      <c r="BQ8" s="401">
        <v>147781</v>
      </c>
      <c r="BR8" s="401">
        <v>170778</v>
      </c>
      <c r="BS8" s="401">
        <v>18341</v>
      </c>
      <c r="BT8" s="401">
        <v>482455</v>
      </c>
      <c r="BU8" s="401">
        <v>28016</v>
      </c>
      <c r="BV8" s="401">
        <v>121554</v>
      </c>
      <c r="BW8" s="401">
        <v>0</v>
      </c>
      <c r="BX8" s="401">
        <v>52790</v>
      </c>
      <c r="BY8" s="401">
        <v>20509</v>
      </c>
      <c r="BZ8" s="401">
        <v>18656</v>
      </c>
      <c r="CA8" s="401">
        <v>0</v>
      </c>
      <c r="CB8" s="401">
        <v>5028</v>
      </c>
    </row>
    <row r="9" spans="1:80" s="401" customFormat="1" ht="28.8" x14ac:dyDescent="0.3">
      <c r="A9" s="1014">
        <v>12</v>
      </c>
      <c r="B9" s="1014"/>
      <c r="C9" s="1018">
        <v>12</v>
      </c>
      <c r="D9" s="1019" t="s">
        <v>582</v>
      </c>
      <c r="E9" s="1020" t="s">
        <v>1682</v>
      </c>
      <c r="F9" s="1021" t="s">
        <v>1683</v>
      </c>
      <c r="G9" s="1021" t="s">
        <v>1684</v>
      </c>
      <c r="H9" s="1010"/>
      <c r="I9" s="1010"/>
      <c r="J9" s="1010"/>
      <c r="K9" s="1010"/>
      <c r="L9" s="1010"/>
      <c r="M9" s="1010"/>
      <c r="N9" s="1010"/>
      <c r="O9" s="1010"/>
      <c r="P9" s="1010"/>
      <c r="Q9" s="1010"/>
      <c r="R9" s="1010"/>
      <c r="S9" s="1010"/>
      <c r="T9" s="1010"/>
      <c r="U9" s="1010"/>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row>
    <row r="10" spans="1:80" s="401" customFormat="1" ht="28.8" x14ac:dyDescent="0.3">
      <c r="A10" s="1014">
        <v>13</v>
      </c>
      <c r="B10" s="1014"/>
      <c r="C10" s="1018">
        <v>13</v>
      </c>
      <c r="D10" s="1019" t="s">
        <v>583</v>
      </c>
      <c r="E10" s="1020" t="s">
        <v>1682</v>
      </c>
      <c r="F10" s="1021" t="s">
        <v>1683</v>
      </c>
      <c r="G10" s="1021" t="s">
        <v>1684</v>
      </c>
      <c r="H10" s="1010"/>
      <c r="I10" s="1010"/>
      <c r="J10" s="1010"/>
      <c r="K10" s="1010"/>
      <c r="L10" s="1010"/>
      <c r="M10" s="1010"/>
      <c r="N10" s="1010"/>
      <c r="O10" s="1010"/>
      <c r="P10" s="1010"/>
      <c r="Q10" s="1010"/>
      <c r="R10" s="1010"/>
      <c r="S10" s="1010"/>
      <c r="T10" s="1010"/>
      <c r="U10" s="1010"/>
      <c r="V10" s="1010"/>
      <c r="W10" s="1010"/>
      <c r="X10" s="1010"/>
      <c r="Y10" s="1010"/>
      <c r="Z10" s="1010"/>
      <c r="AA10" s="1010"/>
      <c r="AB10" s="1010"/>
      <c r="AC10" s="1010"/>
      <c r="AD10" s="1010"/>
      <c r="AE10" s="1010"/>
      <c r="AF10" s="1010"/>
      <c r="AG10" s="1010"/>
      <c r="AH10" s="1010"/>
      <c r="AI10" s="1010"/>
      <c r="AJ10" s="1010"/>
      <c r="AK10" s="1010"/>
      <c r="AL10" s="1010"/>
      <c r="AM10" s="1010"/>
      <c r="AN10" s="1010"/>
      <c r="AO10" s="1010"/>
      <c r="AP10" s="1010"/>
      <c r="AQ10" s="1010"/>
      <c r="AR10" s="1010"/>
      <c r="AS10" s="1010"/>
      <c r="AT10" s="1010"/>
      <c r="AU10" s="1010"/>
      <c r="AV10" s="1010"/>
      <c r="AW10" s="1010"/>
      <c r="AX10" s="1010"/>
      <c r="AY10" s="1010"/>
      <c r="AZ10" s="1010"/>
      <c r="BA10" s="1010"/>
      <c r="BB10" s="1010"/>
    </row>
    <row r="11" spans="1:80" s="401" customFormat="1" ht="28.8" x14ac:dyDescent="0.3">
      <c r="A11" s="1014">
        <v>14</v>
      </c>
      <c r="B11" s="1014"/>
      <c r="C11" s="1018">
        <v>14</v>
      </c>
      <c r="D11" s="1019" t="s">
        <v>302</v>
      </c>
      <c r="E11" s="1020" t="s">
        <v>1682</v>
      </c>
      <c r="F11" s="1021" t="s">
        <v>1683</v>
      </c>
      <c r="G11" s="1021" t="s">
        <v>1684</v>
      </c>
      <c r="H11" s="1010"/>
      <c r="I11" s="1010"/>
      <c r="J11" s="1010"/>
      <c r="K11" s="1010"/>
      <c r="L11" s="1010"/>
      <c r="M11" s="1010"/>
      <c r="N11" s="1010"/>
      <c r="O11" s="1010"/>
      <c r="P11" s="1010"/>
      <c r="Q11" s="1010"/>
      <c r="R11" s="1010"/>
      <c r="S11" s="1010"/>
      <c r="T11" s="1010"/>
      <c r="U11" s="1010"/>
      <c r="V11" s="1010"/>
      <c r="W11" s="1010"/>
      <c r="X11" s="1010"/>
      <c r="Y11" s="1010"/>
      <c r="Z11" s="1010"/>
      <c r="AA11" s="1010"/>
      <c r="AB11" s="1010"/>
      <c r="AC11" s="1010"/>
      <c r="AD11" s="1010"/>
      <c r="AE11" s="1010"/>
      <c r="AF11" s="1010"/>
      <c r="AG11" s="1010"/>
      <c r="AH11" s="1010"/>
      <c r="AI11" s="1010"/>
      <c r="AJ11" s="1010"/>
      <c r="AK11" s="1010"/>
      <c r="AL11" s="1010"/>
      <c r="AM11" s="1010"/>
      <c r="AN11" s="1010"/>
      <c r="AO11" s="1010"/>
      <c r="AP11" s="1010"/>
      <c r="AQ11" s="1010"/>
      <c r="AR11" s="1010"/>
      <c r="AS11" s="1010"/>
      <c r="AT11" s="1010"/>
      <c r="AU11" s="1010"/>
      <c r="AV11" s="1010"/>
      <c r="AW11" s="1010"/>
      <c r="AX11" s="1010"/>
      <c r="AY11" s="1010"/>
      <c r="AZ11" s="1010"/>
      <c r="BA11" s="1010"/>
      <c r="BB11" s="1010"/>
    </row>
    <row r="12" spans="1:80" s="401" customFormat="1" x14ac:dyDescent="0.3">
      <c r="A12" s="1014">
        <v>16</v>
      </c>
      <c r="B12" s="1014"/>
      <c r="C12" s="1018">
        <v>16</v>
      </c>
      <c r="D12" s="1019" t="s">
        <v>1584</v>
      </c>
      <c r="E12" s="1020" t="s">
        <v>1682</v>
      </c>
      <c r="F12" s="1021" t="s">
        <v>1683</v>
      </c>
      <c r="G12" s="1021" t="s">
        <v>1684</v>
      </c>
      <c r="H12" s="1010"/>
      <c r="I12" s="1010"/>
      <c r="J12" s="1010"/>
      <c r="K12" s="1010"/>
      <c r="L12" s="1010"/>
      <c r="M12" s="1010"/>
      <c r="N12" s="1010"/>
      <c r="O12" s="1010"/>
      <c r="P12" s="1010"/>
      <c r="Q12" s="1010"/>
      <c r="R12" s="1010"/>
      <c r="S12" s="1010"/>
      <c r="T12" s="1010"/>
      <c r="U12" s="1010"/>
      <c r="V12" s="1010"/>
      <c r="W12" s="1010"/>
      <c r="X12" s="1010"/>
      <c r="Y12" s="1010"/>
      <c r="Z12" s="1010"/>
      <c r="AA12" s="1010"/>
      <c r="AB12" s="1010"/>
      <c r="AC12" s="1010"/>
      <c r="AD12" s="1010"/>
      <c r="AE12" s="1010"/>
      <c r="AF12" s="1010"/>
      <c r="AG12" s="1010"/>
      <c r="AH12" s="1010"/>
      <c r="AI12" s="1010"/>
      <c r="AJ12" s="1010"/>
      <c r="AK12" s="1010"/>
      <c r="AL12" s="1010"/>
      <c r="AM12" s="1010"/>
      <c r="AN12" s="1010"/>
      <c r="AO12" s="1010"/>
      <c r="AP12" s="1010"/>
      <c r="AQ12" s="1010"/>
      <c r="AR12" s="1010"/>
      <c r="AS12" s="1010"/>
      <c r="AT12" s="1010"/>
      <c r="AU12" s="1010"/>
      <c r="AV12" s="1010"/>
      <c r="AW12" s="1010"/>
      <c r="AX12" s="1010"/>
      <c r="AY12" s="1010"/>
      <c r="AZ12" s="1010"/>
      <c r="BA12" s="1010"/>
      <c r="BB12" s="1010"/>
      <c r="BC12" s="401">
        <v>2631094</v>
      </c>
      <c r="BD12" s="401">
        <v>0</v>
      </c>
      <c r="BE12" s="401">
        <v>84302</v>
      </c>
      <c r="BF12" s="401">
        <v>26494470</v>
      </c>
      <c r="BG12" s="401">
        <v>0</v>
      </c>
      <c r="BH12" s="401">
        <v>70120</v>
      </c>
      <c r="BI12" s="401">
        <v>3219607</v>
      </c>
      <c r="BJ12" s="401">
        <v>2949536</v>
      </c>
      <c r="BK12" s="401">
        <v>0</v>
      </c>
      <c r="BL12" s="401">
        <v>9118916</v>
      </c>
      <c r="BM12" s="401">
        <v>4349680</v>
      </c>
      <c r="BN12" s="401">
        <v>50974</v>
      </c>
      <c r="BO12" s="401">
        <v>7173239</v>
      </c>
      <c r="BP12" s="401">
        <v>2093171</v>
      </c>
      <c r="BQ12" s="401">
        <v>1057933</v>
      </c>
      <c r="BR12" s="401">
        <v>2029840</v>
      </c>
      <c r="BS12" s="401">
        <v>1604987</v>
      </c>
      <c r="BT12" s="401">
        <v>23576257</v>
      </c>
      <c r="BU12" s="401">
        <v>2098257</v>
      </c>
      <c r="BV12" s="401">
        <v>2995906</v>
      </c>
      <c r="BW12" s="401">
        <v>1426098</v>
      </c>
      <c r="BX12" s="401">
        <v>1025718</v>
      </c>
      <c r="BY12" s="401">
        <v>40420</v>
      </c>
      <c r="BZ12" s="401">
        <v>47916</v>
      </c>
      <c r="CA12" s="401">
        <v>19644365</v>
      </c>
      <c r="CB12" s="401">
        <v>98097</v>
      </c>
    </row>
    <row r="13" spans="1:80" s="401" customFormat="1" x14ac:dyDescent="0.3">
      <c r="A13" s="1014">
        <v>17</v>
      </c>
      <c r="B13" s="1014"/>
      <c r="C13" s="1018">
        <v>17</v>
      </c>
      <c r="D13" s="1019" t="s">
        <v>1585</v>
      </c>
      <c r="E13" s="1020" t="s">
        <v>1682</v>
      </c>
      <c r="F13" s="1021" t="s">
        <v>1683</v>
      </c>
      <c r="G13" s="1021" t="s">
        <v>1684</v>
      </c>
      <c r="H13" s="1010"/>
      <c r="I13" s="1010"/>
      <c r="J13" s="1010"/>
      <c r="K13" s="1010"/>
      <c r="L13" s="1010"/>
      <c r="M13" s="1010"/>
      <c r="N13" s="1010"/>
      <c r="O13" s="1010"/>
      <c r="P13" s="1010"/>
      <c r="Q13" s="1010"/>
      <c r="R13" s="1010"/>
      <c r="S13" s="1010"/>
      <c r="T13" s="1010"/>
      <c r="U13" s="1010"/>
      <c r="V13" s="1010"/>
      <c r="W13" s="1010"/>
      <c r="X13" s="1010"/>
      <c r="Y13" s="1010"/>
      <c r="Z13" s="1010"/>
      <c r="AA13" s="1010"/>
      <c r="AB13" s="1010"/>
      <c r="AC13" s="1010"/>
      <c r="AD13" s="1010"/>
      <c r="AE13" s="1010"/>
      <c r="AF13" s="1010"/>
      <c r="AG13" s="1010"/>
      <c r="AH13" s="1010"/>
      <c r="AI13" s="1010"/>
      <c r="AJ13" s="1010"/>
      <c r="AK13" s="1010"/>
      <c r="AL13" s="1010"/>
      <c r="AM13" s="1010"/>
      <c r="AN13" s="1010"/>
      <c r="AO13" s="1010"/>
      <c r="AP13" s="1010"/>
      <c r="AQ13" s="1010"/>
      <c r="AR13" s="1010"/>
      <c r="AS13" s="1010"/>
      <c r="AT13" s="1010"/>
      <c r="AU13" s="1010"/>
      <c r="AV13" s="1010"/>
      <c r="AW13" s="1010"/>
      <c r="AX13" s="1010"/>
      <c r="AY13" s="1010"/>
      <c r="AZ13" s="1010"/>
      <c r="BA13" s="1010"/>
      <c r="BB13" s="1010"/>
      <c r="BC13" s="401">
        <v>0</v>
      </c>
      <c r="BD13" s="401">
        <v>0</v>
      </c>
      <c r="BE13" s="401">
        <v>0</v>
      </c>
      <c r="BF13" s="401">
        <v>662245</v>
      </c>
      <c r="BG13" s="401">
        <v>0</v>
      </c>
      <c r="BH13" s="401">
        <v>0</v>
      </c>
      <c r="BI13" s="401">
        <v>22</v>
      </c>
      <c r="BJ13" s="401">
        <v>4546</v>
      </c>
      <c r="BK13" s="401">
        <v>0</v>
      </c>
      <c r="BL13" s="401">
        <v>27650</v>
      </c>
      <c r="BM13" s="401">
        <v>0</v>
      </c>
      <c r="BN13" s="401">
        <v>0</v>
      </c>
      <c r="BO13" s="401">
        <v>173000</v>
      </c>
      <c r="BP13" s="401">
        <v>0</v>
      </c>
      <c r="BQ13" s="401">
        <v>0</v>
      </c>
      <c r="BR13" s="401">
        <v>1495868</v>
      </c>
      <c r="BS13" s="401">
        <v>0</v>
      </c>
      <c r="BT13" s="401">
        <v>977378</v>
      </c>
      <c r="BU13" s="401">
        <v>0</v>
      </c>
      <c r="BV13" s="401">
        <v>0</v>
      </c>
      <c r="BW13" s="401">
        <v>0</v>
      </c>
      <c r="BX13" s="401">
        <v>0</v>
      </c>
      <c r="BY13" s="401">
        <v>0</v>
      </c>
      <c r="BZ13" s="401">
        <v>0</v>
      </c>
      <c r="CA13" s="401">
        <v>0</v>
      </c>
      <c r="CB13" s="401">
        <v>0</v>
      </c>
    </row>
    <row r="14" spans="1:80" s="401" customFormat="1" x14ac:dyDescent="0.3">
      <c r="A14" s="1014">
        <v>19</v>
      </c>
      <c r="B14" s="1014"/>
      <c r="C14" s="1018">
        <v>19</v>
      </c>
      <c r="D14" s="1019" t="s">
        <v>584</v>
      </c>
      <c r="E14" s="1020" t="s">
        <v>1682</v>
      </c>
      <c r="F14" s="1021" t="s">
        <v>1683</v>
      </c>
      <c r="G14" s="1021" t="s">
        <v>1684</v>
      </c>
      <c r="H14" s="1010"/>
      <c r="I14" s="1010"/>
      <c r="J14" s="1010"/>
      <c r="K14" s="1010"/>
      <c r="L14" s="1010"/>
      <c r="M14" s="1010"/>
      <c r="N14" s="1010"/>
      <c r="O14" s="1010"/>
      <c r="P14" s="1010"/>
      <c r="Q14" s="1010"/>
      <c r="R14" s="1010"/>
      <c r="S14" s="1010"/>
      <c r="T14" s="1010"/>
      <c r="U14" s="1010"/>
      <c r="V14" s="1010"/>
      <c r="W14" s="1010"/>
      <c r="X14" s="1010"/>
      <c r="Y14" s="1010"/>
      <c r="Z14" s="1010"/>
      <c r="AA14" s="1010"/>
      <c r="AB14" s="1010"/>
      <c r="AC14" s="1010"/>
      <c r="AD14" s="1010"/>
      <c r="AE14" s="1010"/>
      <c r="AF14" s="1010"/>
      <c r="AG14" s="1010"/>
      <c r="AH14" s="1010"/>
      <c r="AI14" s="1010"/>
      <c r="AJ14" s="1010"/>
      <c r="AK14" s="1010"/>
      <c r="AL14" s="1010"/>
      <c r="AM14" s="1010"/>
      <c r="AN14" s="1010"/>
      <c r="AO14" s="1010"/>
      <c r="AP14" s="1010"/>
      <c r="AQ14" s="1010"/>
      <c r="AR14" s="1010"/>
      <c r="AS14" s="1010"/>
      <c r="AT14" s="1010"/>
      <c r="AU14" s="1010"/>
      <c r="AV14" s="1010"/>
      <c r="AW14" s="1010"/>
      <c r="AX14" s="1010"/>
      <c r="AY14" s="1010"/>
      <c r="AZ14" s="1010"/>
      <c r="BA14" s="1010"/>
      <c r="BB14" s="1010"/>
    </row>
    <row r="15" spans="1:80" s="401" customFormat="1" x14ac:dyDescent="0.3">
      <c r="A15" s="1014">
        <v>20</v>
      </c>
      <c r="B15" s="1014"/>
      <c r="C15" s="1018">
        <v>20</v>
      </c>
      <c r="D15" s="1019" t="s">
        <v>1586</v>
      </c>
      <c r="E15" s="1020" t="s">
        <v>1682</v>
      </c>
      <c r="F15" s="1021" t="s">
        <v>1683</v>
      </c>
      <c r="G15" s="1021" t="s">
        <v>1684</v>
      </c>
      <c r="H15" s="1010"/>
      <c r="I15" s="1010"/>
      <c r="J15" s="1010"/>
      <c r="K15" s="1010"/>
      <c r="L15" s="1010"/>
      <c r="M15" s="1010"/>
      <c r="N15" s="1010"/>
      <c r="O15" s="1010"/>
      <c r="P15" s="1010"/>
      <c r="Q15" s="1010"/>
      <c r="R15" s="1010"/>
      <c r="S15" s="1010"/>
      <c r="T15" s="1010"/>
      <c r="U15" s="1010"/>
      <c r="V15" s="1010"/>
      <c r="W15" s="1010"/>
      <c r="X15" s="1010"/>
      <c r="Y15" s="1010"/>
      <c r="Z15" s="1010"/>
      <c r="AA15" s="1010"/>
      <c r="AB15" s="1010"/>
      <c r="AC15" s="1010"/>
      <c r="AD15" s="1010"/>
      <c r="AE15" s="1010"/>
      <c r="AF15" s="1010"/>
      <c r="AG15" s="1010"/>
      <c r="AH15" s="1010"/>
      <c r="AI15" s="1010"/>
      <c r="AJ15" s="1010"/>
      <c r="AK15" s="1010"/>
      <c r="AL15" s="1010"/>
      <c r="AM15" s="1010"/>
      <c r="AN15" s="1010"/>
      <c r="AO15" s="1010"/>
      <c r="AP15" s="1010"/>
      <c r="AQ15" s="1010"/>
      <c r="AR15" s="1010"/>
      <c r="AS15" s="1010"/>
      <c r="AT15" s="1010"/>
      <c r="AU15" s="1010"/>
      <c r="AV15" s="1010"/>
      <c r="AW15" s="1010"/>
      <c r="AX15" s="1010"/>
      <c r="AY15" s="1010"/>
      <c r="AZ15" s="1010"/>
      <c r="BA15" s="1010"/>
      <c r="BB15" s="1010"/>
      <c r="BC15" s="401">
        <v>0</v>
      </c>
      <c r="BD15" s="401">
        <v>0</v>
      </c>
      <c r="BE15" s="401">
        <v>0</v>
      </c>
      <c r="BF15" s="401">
        <v>0</v>
      </c>
      <c r="BG15" s="401">
        <v>0</v>
      </c>
      <c r="BH15" s="401">
        <v>0</v>
      </c>
      <c r="BI15" s="401">
        <v>0</v>
      </c>
      <c r="BJ15" s="401">
        <v>0</v>
      </c>
      <c r="BK15" s="401">
        <v>0</v>
      </c>
      <c r="BL15" s="401">
        <v>0</v>
      </c>
      <c r="BM15" s="401">
        <v>193542</v>
      </c>
      <c r="BN15" s="401">
        <v>0</v>
      </c>
      <c r="BO15" s="401">
        <v>58589</v>
      </c>
      <c r="BP15" s="401">
        <v>0</v>
      </c>
      <c r="BQ15" s="401">
        <v>0</v>
      </c>
      <c r="BR15" s="401">
        <v>0</v>
      </c>
      <c r="BS15" s="401">
        <v>11000</v>
      </c>
      <c r="BT15" s="401">
        <v>987757</v>
      </c>
      <c r="BU15" s="401">
        <v>6211</v>
      </c>
      <c r="BV15" s="401">
        <v>56072</v>
      </c>
      <c r="BW15" s="401">
        <v>129596</v>
      </c>
      <c r="BX15" s="401">
        <v>0</v>
      </c>
      <c r="BY15" s="401">
        <v>0</v>
      </c>
      <c r="BZ15" s="401">
        <v>0</v>
      </c>
      <c r="CA15" s="401">
        <v>1183857</v>
      </c>
      <c r="CB15" s="401">
        <v>0</v>
      </c>
    </row>
    <row r="16" spans="1:80" s="401" customFormat="1" ht="28.8" x14ac:dyDescent="0.3">
      <c r="A16" s="1014">
        <v>21</v>
      </c>
      <c r="B16" s="1014"/>
      <c r="C16" s="1018">
        <v>21</v>
      </c>
      <c r="D16" s="1019" t="s">
        <v>585</v>
      </c>
      <c r="E16" s="1020" t="s">
        <v>1682</v>
      </c>
      <c r="F16" s="1021" t="s">
        <v>1683</v>
      </c>
      <c r="G16" s="1021" t="s">
        <v>1684</v>
      </c>
      <c r="H16" s="1010"/>
      <c r="I16" s="1010"/>
      <c r="J16" s="1010"/>
      <c r="K16" s="1010"/>
      <c r="L16" s="1010"/>
      <c r="M16" s="1010"/>
      <c r="N16" s="1010"/>
      <c r="O16" s="1010"/>
      <c r="P16" s="1010"/>
      <c r="Q16" s="1010"/>
      <c r="R16" s="1010"/>
      <c r="S16" s="1010"/>
      <c r="T16" s="1010"/>
      <c r="U16" s="1010"/>
      <c r="V16" s="1010"/>
      <c r="W16" s="1010"/>
      <c r="X16" s="1010"/>
      <c r="Y16" s="1010"/>
      <c r="Z16" s="1010"/>
      <c r="AA16" s="1010"/>
      <c r="AB16" s="1010"/>
      <c r="AC16" s="1010"/>
      <c r="AD16" s="1010"/>
      <c r="AE16" s="1010"/>
      <c r="AF16" s="1010"/>
      <c r="AG16" s="1010"/>
      <c r="AH16" s="1010"/>
      <c r="AI16" s="1010"/>
      <c r="AJ16" s="1010"/>
      <c r="AK16" s="1010"/>
      <c r="AL16" s="1010"/>
      <c r="AM16" s="1010"/>
      <c r="AN16" s="1010"/>
      <c r="AO16" s="1010"/>
      <c r="AP16" s="1010"/>
      <c r="AQ16" s="1010"/>
      <c r="AR16" s="1010"/>
      <c r="AS16" s="1010"/>
      <c r="AT16" s="1010"/>
      <c r="AU16" s="1010"/>
      <c r="AV16" s="1010"/>
      <c r="AW16" s="1010"/>
      <c r="AX16" s="1010"/>
      <c r="AY16" s="1010"/>
      <c r="AZ16" s="1010"/>
      <c r="BA16" s="1010"/>
      <c r="BB16" s="1010"/>
    </row>
    <row r="17" spans="1:80" s="401" customFormat="1" x14ac:dyDescent="0.3">
      <c r="A17" s="1014">
        <v>22</v>
      </c>
      <c r="B17" s="1014"/>
      <c r="C17" s="1018">
        <v>22</v>
      </c>
      <c r="D17" s="1019" t="s">
        <v>1587</v>
      </c>
      <c r="E17" s="1020" t="s">
        <v>1682</v>
      </c>
      <c r="F17" s="1021" t="s">
        <v>1683</v>
      </c>
      <c r="G17" s="1021" t="s">
        <v>1684</v>
      </c>
      <c r="BC17" s="401">
        <v>15608</v>
      </c>
      <c r="BD17" s="401">
        <v>0</v>
      </c>
      <c r="BE17" s="401">
        <v>0</v>
      </c>
      <c r="BF17" s="401">
        <v>0</v>
      </c>
      <c r="BG17" s="401">
        <v>0</v>
      </c>
      <c r="BH17" s="401">
        <v>0</v>
      </c>
      <c r="BI17" s="401">
        <v>0</v>
      </c>
      <c r="BJ17" s="401">
        <v>40750</v>
      </c>
      <c r="BK17" s="401">
        <v>0</v>
      </c>
      <c r="BL17" s="401">
        <v>716747</v>
      </c>
      <c r="BM17" s="401">
        <v>0</v>
      </c>
      <c r="BN17" s="401">
        <v>0</v>
      </c>
      <c r="BO17" s="401">
        <v>66978</v>
      </c>
      <c r="BP17" s="401">
        <v>0</v>
      </c>
      <c r="BQ17" s="401">
        <v>0</v>
      </c>
      <c r="BR17" s="401">
        <v>9943</v>
      </c>
      <c r="BS17" s="401">
        <v>0</v>
      </c>
      <c r="BT17" s="401">
        <v>15338</v>
      </c>
      <c r="BU17" s="401">
        <v>0</v>
      </c>
      <c r="BV17" s="401">
        <v>0</v>
      </c>
      <c r="BW17" s="401">
        <v>897</v>
      </c>
      <c r="BX17" s="401">
        <v>-197576</v>
      </c>
      <c r="BY17" s="401">
        <v>0</v>
      </c>
      <c r="BZ17" s="401">
        <v>0</v>
      </c>
      <c r="CA17" s="401">
        <v>0</v>
      </c>
      <c r="CB17" s="401">
        <v>0</v>
      </c>
    </row>
    <row r="18" spans="1:80" s="401" customFormat="1" x14ac:dyDescent="0.3">
      <c r="A18" s="1014">
        <v>23</v>
      </c>
      <c r="B18" s="1014"/>
      <c r="C18" s="1018">
        <v>23</v>
      </c>
      <c r="D18" s="1019" t="s">
        <v>1588</v>
      </c>
      <c r="E18" s="1020" t="s">
        <v>1682</v>
      </c>
      <c r="F18" s="1021" t="s">
        <v>1683</v>
      </c>
      <c r="G18" s="1021" t="s">
        <v>1684</v>
      </c>
      <c r="BC18" s="401">
        <v>152101</v>
      </c>
      <c r="BD18" s="401">
        <v>0</v>
      </c>
      <c r="BE18" s="401">
        <v>16749</v>
      </c>
      <c r="BF18" s="401">
        <v>-551627</v>
      </c>
      <c r="BG18" s="401">
        <v>0</v>
      </c>
      <c r="BH18" s="401">
        <v>22435</v>
      </c>
      <c r="BI18" s="401">
        <v>209900</v>
      </c>
      <c r="BJ18" s="401">
        <v>509128</v>
      </c>
      <c r="BK18" s="401">
        <v>0</v>
      </c>
      <c r="BL18" s="401">
        <v>408944</v>
      </c>
      <c r="BM18" s="401">
        <v>186474</v>
      </c>
      <c r="BN18" s="401">
        <v>10423</v>
      </c>
      <c r="BO18" s="401">
        <v>544258</v>
      </c>
      <c r="BP18" s="401">
        <v>527810</v>
      </c>
      <c r="BQ18" s="401">
        <v>14381</v>
      </c>
      <c r="BR18" s="401">
        <v>1552353</v>
      </c>
      <c r="BS18" s="401">
        <v>500009</v>
      </c>
      <c r="BT18" s="401">
        <v>-884316</v>
      </c>
      <c r="BU18" s="401">
        <v>78170</v>
      </c>
      <c r="BV18" s="401">
        <v>219473</v>
      </c>
      <c r="BW18" s="401">
        <v>-8488</v>
      </c>
      <c r="BX18" s="401">
        <v>45700</v>
      </c>
      <c r="BY18" s="401">
        <v>9139</v>
      </c>
      <c r="BZ18" s="401">
        <v>7397</v>
      </c>
      <c r="CA18" s="401">
        <v>1450623</v>
      </c>
      <c r="CB18" s="401">
        <v>-58957</v>
      </c>
    </row>
    <row r="19" spans="1:80" s="401" customFormat="1" x14ac:dyDescent="0.3">
      <c r="A19" s="1014">
        <v>31</v>
      </c>
      <c r="B19" s="1014"/>
      <c r="C19" s="1018">
        <v>31</v>
      </c>
      <c r="D19" s="1019" t="s">
        <v>586</v>
      </c>
      <c r="E19" s="1020" t="s">
        <v>1682</v>
      </c>
      <c r="F19" s="1021" t="s">
        <v>1683</v>
      </c>
      <c r="G19" s="1021" t="s">
        <v>1684</v>
      </c>
    </row>
    <row r="20" spans="1:80" s="401" customFormat="1" ht="28.8" x14ac:dyDescent="0.3">
      <c r="A20" s="1014">
        <v>32</v>
      </c>
      <c r="B20" s="1014"/>
      <c r="C20" s="1018">
        <v>32</v>
      </c>
      <c r="D20" s="1023" t="s">
        <v>312</v>
      </c>
      <c r="E20" s="1020" t="s">
        <v>1682</v>
      </c>
      <c r="F20" s="1021" t="s">
        <v>1683</v>
      </c>
      <c r="G20" s="1021" t="s">
        <v>1684</v>
      </c>
    </row>
    <row r="21" spans="1:80" s="401" customFormat="1" ht="28.8" x14ac:dyDescent="0.3">
      <c r="A21" s="1014">
        <v>33</v>
      </c>
      <c r="B21" s="1014"/>
      <c r="C21" s="1018">
        <v>33</v>
      </c>
      <c r="D21" s="1023" t="s">
        <v>314</v>
      </c>
      <c r="E21" s="1020" t="s">
        <v>1682</v>
      </c>
      <c r="F21" s="1021" t="s">
        <v>1683</v>
      </c>
      <c r="G21" s="1021" t="s">
        <v>1684</v>
      </c>
    </row>
    <row r="22" spans="1:80" s="401" customFormat="1" x14ac:dyDescent="0.3">
      <c r="A22" s="1014">
        <v>34</v>
      </c>
      <c r="B22" s="1014"/>
      <c r="C22" s="1018">
        <v>34</v>
      </c>
      <c r="D22" s="1024" t="s">
        <v>316</v>
      </c>
      <c r="E22" s="1020" t="s">
        <v>1682</v>
      </c>
      <c r="F22" s="1021" t="s">
        <v>1683</v>
      </c>
      <c r="G22" s="1021" t="s">
        <v>1684</v>
      </c>
    </row>
    <row r="23" spans="1:80" s="401" customFormat="1" x14ac:dyDescent="0.3">
      <c r="A23" s="1014">
        <v>35</v>
      </c>
      <c r="B23" s="1014"/>
      <c r="C23" s="1018">
        <v>35</v>
      </c>
      <c r="D23" s="1024" t="s">
        <v>587</v>
      </c>
      <c r="E23" s="1020" t="s">
        <v>1682</v>
      </c>
      <c r="F23" s="1021" t="s">
        <v>1683</v>
      </c>
      <c r="G23" s="1021" t="s">
        <v>1684</v>
      </c>
    </row>
    <row r="24" spans="1:80" s="401" customFormat="1" ht="26.4" x14ac:dyDescent="0.3">
      <c r="A24" s="1014">
        <v>36</v>
      </c>
      <c r="B24" s="1014"/>
      <c r="C24" s="1018">
        <v>36</v>
      </c>
      <c r="D24" s="1024" t="s">
        <v>588</v>
      </c>
      <c r="E24" s="1020" t="s">
        <v>1682</v>
      </c>
      <c r="F24" s="1021" t="s">
        <v>1683</v>
      </c>
      <c r="G24" s="1021" t="s">
        <v>1684</v>
      </c>
    </row>
    <row r="25" spans="1:80" s="401" customFormat="1" ht="26.4" x14ac:dyDescent="0.3">
      <c r="A25" s="1014">
        <v>37</v>
      </c>
      <c r="B25" s="1014"/>
      <c r="C25" s="1018">
        <v>37</v>
      </c>
      <c r="D25" s="1024" t="s">
        <v>320</v>
      </c>
      <c r="E25" s="1020" t="s">
        <v>1682</v>
      </c>
      <c r="F25" s="1021" t="s">
        <v>1683</v>
      </c>
      <c r="G25" s="1021" t="s">
        <v>1684</v>
      </c>
    </row>
    <row r="26" spans="1:80" s="401" customFormat="1" x14ac:dyDescent="0.3">
      <c r="A26" s="1014">
        <v>38</v>
      </c>
      <c r="B26" s="1014"/>
      <c r="C26" s="1018">
        <v>38</v>
      </c>
      <c r="D26" s="1024" t="s">
        <v>589</v>
      </c>
      <c r="E26" s="1020" t="s">
        <v>1682</v>
      </c>
      <c r="F26" s="1021" t="s">
        <v>1683</v>
      </c>
      <c r="G26" s="1021" t="s">
        <v>1684</v>
      </c>
    </row>
    <row r="27" spans="1:80" s="401" customFormat="1" x14ac:dyDescent="0.3">
      <c r="A27" s="1014">
        <v>39</v>
      </c>
      <c r="B27" s="1014"/>
      <c r="C27" s="1018">
        <v>39</v>
      </c>
      <c r="D27" s="1024" t="s">
        <v>323</v>
      </c>
      <c r="E27" s="1020" t="s">
        <v>1682</v>
      </c>
      <c r="F27" s="1021" t="s">
        <v>1683</v>
      </c>
      <c r="G27" s="1021" t="s">
        <v>1684</v>
      </c>
    </row>
    <row r="28" spans="1:80" s="401" customFormat="1" x14ac:dyDescent="0.3">
      <c r="A28" s="1014">
        <v>40</v>
      </c>
      <c r="B28" s="1014"/>
      <c r="C28" s="1018">
        <v>40</v>
      </c>
      <c r="D28" s="1024" t="s">
        <v>325</v>
      </c>
      <c r="E28" s="1020" t="s">
        <v>1682</v>
      </c>
      <c r="F28" s="1021" t="s">
        <v>1683</v>
      </c>
      <c r="G28" s="1021" t="s">
        <v>1684</v>
      </c>
    </row>
    <row r="29" spans="1:80" s="401" customFormat="1" x14ac:dyDescent="0.3">
      <c r="A29" s="1014">
        <v>41</v>
      </c>
      <c r="B29" s="1014"/>
      <c r="C29" s="1018">
        <v>41</v>
      </c>
      <c r="D29" s="1024" t="s">
        <v>327</v>
      </c>
      <c r="E29" s="1020" t="s">
        <v>1682</v>
      </c>
      <c r="F29" s="1021" t="s">
        <v>1683</v>
      </c>
      <c r="G29" s="1021" t="s">
        <v>1684</v>
      </c>
    </row>
    <row r="30" spans="1:80" s="401" customFormat="1" ht="28.8" x14ac:dyDescent="0.3">
      <c r="A30" s="1014">
        <v>43</v>
      </c>
      <c r="B30" s="1014"/>
      <c r="C30" s="1018">
        <v>43</v>
      </c>
      <c r="D30" s="1019" t="s">
        <v>329</v>
      </c>
      <c r="E30" s="1020" t="s">
        <v>1682</v>
      </c>
      <c r="F30" s="1021" t="s">
        <v>1683</v>
      </c>
      <c r="G30" s="1021" t="s">
        <v>1684</v>
      </c>
    </row>
    <row r="31" spans="1:80" s="401" customFormat="1" x14ac:dyDescent="0.3">
      <c r="A31" s="1014">
        <v>44</v>
      </c>
      <c r="B31" s="1014"/>
      <c r="C31" s="1018">
        <v>44</v>
      </c>
      <c r="D31" s="1019" t="s">
        <v>590</v>
      </c>
      <c r="E31" s="1020" t="s">
        <v>1682</v>
      </c>
      <c r="F31" s="1021" t="s">
        <v>1683</v>
      </c>
      <c r="G31" s="1021" t="s">
        <v>1684</v>
      </c>
      <c r="BC31" s="401">
        <v>0</v>
      </c>
      <c r="BD31" s="401">
        <v>0</v>
      </c>
      <c r="BE31" s="401">
        <v>0</v>
      </c>
      <c r="BF31" s="401">
        <v>0</v>
      </c>
      <c r="BG31" s="401">
        <v>0</v>
      </c>
      <c r="BH31" s="401">
        <v>0</v>
      </c>
      <c r="BI31" s="401">
        <v>0</v>
      </c>
      <c r="BJ31" s="401">
        <v>0</v>
      </c>
      <c r="BK31" s="401">
        <v>0</v>
      </c>
      <c r="BL31" s="401">
        <v>0</v>
      </c>
      <c r="BM31" s="401">
        <v>0</v>
      </c>
      <c r="BN31" s="401">
        <v>0</v>
      </c>
      <c r="BO31" s="401">
        <v>0</v>
      </c>
      <c r="BP31" s="401">
        <v>0</v>
      </c>
      <c r="BQ31" s="401">
        <v>0</v>
      </c>
      <c r="BR31" s="401">
        <v>0</v>
      </c>
      <c r="BS31" s="401">
        <v>0</v>
      </c>
      <c r="BT31" s="401">
        <v>0</v>
      </c>
      <c r="BU31" s="401">
        <v>0</v>
      </c>
      <c r="BV31" s="401">
        <v>0</v>
      </c>
      <c r="BW31" s="401">
        <v>0</v>
      </c>
      <c r="BX31" s="401">
        <v>0</v>
      </c>
      <c r="BY31" s="401">
        <v>0</v>
      </c>
      <c r="BZ31" s="401">
        <v>0</v>
      </c>
      <c r="CA31" s="401">
        <v>0</v>
      </c>
      <c r="CB31" s="401">
        <v>0</v>
      </c>
    </row>
    <row r="32" spans="1:80" s="401" customFormat="1" x14ac:dyDescent="0.3">
      <c r="A32" s="1014">
        <v>45</v>
      </c>
      <c r="B32" s="1014"/>
      <c r="C32" s="1018">
        <v>45</v>
      </c>
      <c r="D32" s="1019" t="s">
        <v>591</v>
      </c>
      <c r="E32" s="1020" t="s">
        <v>1682</v>
      </c>
      <c r="F32" s="1021" t="s">
        <v>1683</v>
      </c>
      <c r="G32" s="1021" t="s">
        <v>1684</v>
      </c>
      <c r="BC32" s="401">
        <v>0</v>
      </c>
      <c r="BD32" s="401">
        <v>0</v>
      </c>
      <c r="BE32" s="401">
        <v>0</v>
      </c>
      <c r="BF32" s="401">
        <v>0</v>
      </c>
      <c r="BG32" s="401">
        <v>0</v>
      </c>
      <c r="BH32" s="401">
        <v>0</v>
      </c>
      <c r="BI32" s="401">
        <v>0</v>
      </c>
      <c r="BJ32" s="401">
        <v>0</v>
      </c>
      <c r="BK32" s="401">
        <v>0</v>
      </c>
      <c r="BL32" s="401">
        <v>0</v>
      </c>
      <c r="BM32" s="401">
        <v>0</v>
      </c>
      <c r="BN32" s="401">
        <v>0</v>
      </c>
      <c r="BO32" s="401">
        <v>0</v>
      </c>
      <c r="BP32" s="401">
        <v>0</v>
      </c>
      <c r="BQ32" s="401">
        <v>0</v>
      </c>
      <c r="BR32" s="401">
        <v>0</v>
      </c>
      <c r="BS32" s="401">
        <v>0</v>
      </c>
      <c r="BT32" s="401">
        <v>0</v>
      </c>
      <c r="BU32" s="401">
        <v>0</v>
      </c>
      <c r="BV32" s="401">
        <v>0</v>
      </c>
      <c r="BW32" s="401">
        <v>0</v>
      </c>
      <c r="BX32" s="401">
        <v>0</v>
      </c>
      <c r="BY32" s="401">
        <v>0</v>
      </c>
      <c r="BZ32" s="401">
        <v>0</v>
      </c>
      <c r="CA32" s="401">
        <v>0</v>
      </c>
      <c r="CB32" s="401">
        <v>0</v>
      </c>
    </row>
    <row r="33" spans="1:80" s="401" customFormat="1" ht="28.8" x14ac:dyDescent="0.3">
      <c r="A33" s="1014">
        <v>46</v>
      </c>
      <c r="B33" s="1014"/>
      <c r="C33" s="1018">
        <v>46</v>
      </c>
      <c r="D33" s="1019" t="s">
        <v>592</v>
      </c>
      <c r="E33" s="1020" t="s">
        <v>1682</v>
      </c>
      <c r="F33" s="1021" t="s">
        <v>1683</v>
      </c>
      <c r="G33" s="1021" t="s">
        <v>1684</v>
      </c>
    </row>
    <row r="34" spans="1:80" s="401" customFormat="1" x14ac:dyDescent="0.3">
      <c r="A34" s="1014">
        <v>47</v>
      </c>
      <c r="B34" s="1014"/>
      <c r="C34" s="1018">
        <v>47</v>
      </c>
      <c r="D34" s="1019" t="s">
        <v>593</v>
      </c>
      <c r="E34" s="1020">
        <v>3084157</v>
      </c>
      <c r="F34" s="1021" t="s">
        <v>1683</v>
      </c>
      <c r="G34" s="1021" t="s">
        <v>1684</v>
      </c>
      <c r="BC34" s="401">
        <v>0</v>
      </c>
      <c r="BD34" s="401">
        <v>0</v>
      </c>
      <c r="BE34" s="401">
        <v>0</v>
      </c>
      <c r="BF34" s="401">
        <v>0</v>
      </c>
      <c r="BG34" s="401">
        <v>0</v>
      </c>
      <c r="BH34" s="401">
        <v>0</v>
      </c>
      <c r="BI34" s="401">
        <v>0</v>
      </c>
      <c r="BJ34" s="401">
        <v>0</v>
      </c>
      <c r="BK34" s="401">
        <v>0</v>
      </c>
      <c r="BL34" s="401">
        <v>0</v>
      </c>
      <c r="BM34" s="401">
        <v>0</v>
      </c>
      <c r="BN34" s="401">
        <v>0</v>
      </c>
      <c r="BO34" s="401">
        <v>0</v>
      </c>
      <c r="BP34" s="401">
        <v>0</v>
      </c>
      <c r="BQ34" s="401">
        <v>0</v>
      </c>
      <c r="BR34" s="401">
        <v>0</v>
      </c>
      <c r="BS34" s="401">
        <v>0</v>
      </c>
      <c r="BT34" s="401">
        <v>0</v>
      </c>
      <c r="BU34" s="401">
        <v>0</v>
      </c>
      <c r="BV34" s="401">
        <v>0</v>
      </c>
      <c r="BW34" s="401">
        <v>0</v>
      </c>
      <c r="BX34" s="401">
        <v>0</v>
      </c>
      <c r="BY34" s="401">
        <v>0</v>
      </c>
      <c r="BZ34" s="401">
        <v>0</v>
      </c>
      <c r="CA34" s="401">
        <v>0</v>
      </c>
      <c r="CB34" s="401">
        <v>0</v>
      </c>
    </row>
    <row r="35" spans="1:80" s="401" customFormat="1" x14ac:dyDescent="0.3">
      <c r="A35" s="1014">
        <v>48</v>
      </c>
      <c r="B35" s="1014"/>
      <c r="C35" s="1018">
        <v>48</v>
      </c>
      <c r="D35" s="1019" t="s">
        <v>123</v>
      </c>
      <c r="E35" s="1020">
        <v>1028369</v>
      </c>
      <c r="F35" s="1021" t="s">
        <v>1683</v>
      </c>
      <c r="G35" s="1021" t="s">
        <v>1684</v>
      </c>
      <c r="BC35" s="401">
        <v>0</v>
      </c>
      <c r="BD35" s="401">
        <v>0</v>
      </c>
      <c r="BE35" s="401">
        <v>0</v>
      </c>
      <c r="BF35" s="401">
        <v>0</v>
      </c>
      <c r="BG35" s="401">
        <v>0</v>
      </c>
      <c r="BH35" s="401">
        <v>0</v>
      </c>
      <c r="BI35" s="401">
        <v>0</v>
      </c>
      <c r="BJ35" s="401">
        <v>0</v>
      </c>
      <c r="BK35" s="401">
        <v>0</v>
      </c>
      <c r="BL35" s="401">
        <v>0</v>
      </c>
      <c r="BM35" s="401">
        <v>0</v>
      </c>
      <c r="BN35" s="401">
        <v>0</v>
      </c>
      <c r="BO35" s="401">
        <v>0</v>
      </c>
      <c r="BP35" s="401">
        <v>0</v>
      </c>
      <c r="BQ35" s="401">
        <v>0</v>
      </c>
      <c r="BR35" s="401">
        <v>0</v>
      </c>
      <c r="BS35" s="401">
        <v>0</v>
      </c>
      <c r="BT35" s="401">
        <v>0</v>
      </c>
      <c r="BU35" s="401">
        <v>0</v>
      </c>
      <c r="BV35" s="401">
        <v>0</v>
      </c>
      <c r="BW35" s="401">
        <v>0</v>
      </c>
      <c r="BX35" s="401">
        <v>0</v>
      </c>
      <c r="BY35" s="401">
        <v>0</v>
      </c>
      <c r="BZ35" s="401">
        <v>0</v>
      </c>
      <c r="CA35" s="401">
        <v>0</v>
      </c>
      <c r="CB35" s="401">
        <v>0</v>
      </c>
    </row>
    <row r="36" spans="1:80" s="401" customFormat="1" x14ac:dyDescent="0.3">
      <c r="A36" s="1014">
        <v>49</v>
      </c>
      <c r="B36" s="1014"/>
      <c r="C36" s="1018">
        <v>49</v>
      </c>
      <c r="D36" s="1019" t="s">
        <v>1589</v>
      </c>
      <c r="E36" s="1020" t="s">
        <v>1682</v>
      </c>
      <c r="F36" s="1021" t="s">
        <v>1683</v>
      </c>
      <c r="G36" s="1021" t="s">
        <v>1684</v>
      </c>
      <c r="BC36" s="401">
        <v>142574</v>
      </c>
      <c r="BD36" s="401">
        <v>0</v>
      </c>
      <c r="BE36" s="401">
        <v>0</v>
      </c>
      <c r="BF36" s="401">
        <v>1969711</v>
      </c>
      <c r="BG36" s="401">
        <v>0</v>
      </c>
      <c r="BH36" s="401">
        <v>0</v>
      </c>
      <c r="BI36" s="401">
        <v>292962</v>
      </c>
      <c r="BJ36" s="401">
        <v>189870</v>
      </c>
      <c r="BK36" s="401">
        <v>0</v>
      </c>
      <c r="BL36" s="401">
        <v>365807</v>
      </c>
      <c r="BM36" s="401">
        <v>324170</v>
      </c>
      <c r="BN36" s="401">
        <v>0</v>
      </c>
      <c r="BO36" s="401">
        <v>909491</v>
      </c>
      <c r="BP36" s="401">
        <v>276639</v>
      </c>
      <c r="BQ36" s="401">
        <v>319635</v>
      </c>
      <c r="BR36" s="401">
        <v>176712</v>
      </c>
      <c r="BS36" s="401">
        <v>0</v>
      </c>
      <c r="BT36" s="401">
        <v>0</v>
      </c>
      <c r="BU36" s="401">
        <v>253074</v>
      </c>
      <c r="BV36" s="401">
        <v>545811</v>
      </c>
      <c r="BW36" s="401">
        <v>149166</v>
      </c>
      <c r="BX36" s="401">
        <v>452547</v>
      </c>
      <c r="BY36" s="401">
        <v>0</v>
      </c>
      <c r="BZ36" s="401">
        <v>0</v>
      </c>
      <c r="CA36" s="401">
        <v>1551766</v>
      </c>
      <c r="CB36" s="401">
        <v>0</v>
      </c>
    </row>
    <row r="37" spans="1:80" s="401" customFormat="1" x14ac:dyDescent="0.3">
      <c r="A37" s="1014">
        <v>50</v>
      </c>
      <c r="B37" s="1014"/>
      <c r="C37" s="1018">
        <v>50</v>
      </c>
      <c r="D37" s="1019" t="s">
        <v>100</v>
      </c>
      <c r="E37" s="1020" t="s">
        <v>1682</v>
      </c>
      <c r="F37" s="1021" t="s">
        <v>1683</v>
      </c>
      <c r="G37" s="1021" t="s">
        <v>1684</v>
      </c>
      <c r="BC37" s="401">
        <v>3398</v>
      </c>
      <c r="BD37" s="401">
        <v>0</v>
      </c>
      <c r="BE37" s="401">
        <v>0</v>
      </c>
      <c r="BF37" s="401">
        <v>1544466</v>
      </c>
      <c r="BG37" s="401">
        <v>0</v>
      </c>
      <c r="BH37" s="401">
        <v>0</v>
      </c>
      <c r="BI37" s="401">
        <v>217225</v>
      </c>
      <c r="BJ37" s="401">
        <v>131142</v>
      </c>
      <c r="BK37" s="401">
        <v>0</v>
      </c>
      <c r="BL37" s="401">
        <v>-32085</v>
      </c>
      <c r="BM37" s="401">
        <v>223201</v>
      </c>
      <c r="BN37" s="401">
        <v>0</v>
      </c>
      <c r="BO37" s="401">
        <v>-361105</v>
      </c>
      <c r="BP37" s="401">
        <v>249720</v>
      </c>
      <c r="BQ37" s="401">
        <v>-136759</v>
      </c>
      <c r="BR37" s="401">
        <v>-1475914</v>
      </c>
      <c r="BS37" s="401">
        <v>0</v>
      </c>
      <c r="BT37" s="401">
        <v>0</v>
      </c>
      <c r="BU37" s="401">
        <v>-164984</v>
      </c>
      <c r="BV37" s="401">
        <v>-21399</v>
      </c>
      <c r="BW37" s="401">
        <v>866377</v>
      </c>
      <c r="BX37" s="401">
        <v>-856853</v>
      </c>
      <c r="BY37" s="401">
        <v>0</v>
      </c>
      <c r="BZ37" s="401">
        <v>0</v>
      </c>
      <c r="CA37" s="401">
        <v>5854413</v>
      </c>
      <c r="CB37" s="401">
        <v>0</v>
      </c>
    </row>
    <row r="38" spans="1:80" s="401" customFormat="1" x14ac:dyDescent="0.3">
      <c r="A38" s="1014">
        <v>51</v>
      </c>
      <c r="B38" s="1014"/>
      <c r="C38" s="1018">
        <v>51</v>
      </c>
      <c r="D38" s="1019" t="s">
        <v>1590</v>
      </c>
      <c r="E38" s="1020" t="s">
        <v>1682</v>
      </c>
      <c r="F38" s="1021" t="s">
        <v>1683</v>
      </c>
      <c r="G38" s="1021" t="s">
        <v>1684</v>
      </c>
      <c r="BC38" s="401">
        <v>144505</v>
      </c>
      <c r="BD38" s="401">
        <v>0</v>
      </c>
      <c r="BE38" s="401">
        <v>0</v>
      </c>
      <c r="BF38" s="401">
        <v>1790295</v>
      </c>
      <c r="BG38" s="401">
        <v>0</v>
      </c>
      <c r="BH38" s="401">
        <v>0</v>
      </c>
      <c r="BI38" s="401">
        <v>138040</v>
      </c>
      <c r="BJ38" s="401">
        <v>377679</v>
      </c>
      <c r="BK38" s="401">
        <v>0</v>
      </c>
      <c r="BL38" s="401">
        <v>298735</v>
      </c>
      <c r="BM38" s="401">
        <v>593186</v>
      </c>
      <c r="BN38" s="401">
        <v>0</v>
      </c>
      <c r="BO38" s="401">
        <v>766093</v>
      </c>
      <c r="BP38" s="401">
        <v>721130</v>
      </c>
      <c r="BQ38" s="401">
        <v>224681</v>
      </c>
      <c r="BR38" s="401">
        <v>244949</v>
      </c>
      <c r="BS38" s="401">
        <v>0</v>
      </c>
      <c r="BT38" s="401">
        <v>0</v>
      </c>
      <c r="BU38" s="401">
        <v>39498</v>
      </c>
      <c r="BV38" s="401">
        <v>526379</v>
      </c>
      <c r="BW38" s="401">
        <v>84534</v>
      </c>
      <c r="BX38" s="401">
        <v>231899</v>
      </c>
      <c r="BY38" s="401">
        <v>0</v>
      </c>
      <c r="BZ38" s="401">
        <v>0</v>
      </c>
      <c r="CA38" s="401">
        <v>2517092</v>
      </c>
      <c r="CB38" s="401">
        <v>0</v>
      </c>
    </row>
    <row r="39" spans="1:80" s="401" customFormat="1" x14ac:dyDescent="0.3">
      <c r="A39" s="1014">
        <v>52</v>
      </c>
      <c r="B39" s="1014">
        <v>52</v>
      </c>
      <c r="C39" s="1018">
        <v>52</v>
      </c>
      <c r="D39" s="1019" t="s">
        <v>1591</v>
      </c>
      <c r="E39" s="1020">
        <v>958751</v>
      </c>
      <c r="F39" s="1021">
        <v>1279000</v>
      </c>
      <c r="G39" s="1021">
        <v>69550000</v>
      </c>
      <c r="BC39" s="401">
        <v>0</v>
      </c>
      <c r="BD39" s="401">
        <v>0</v>
      </c>
      <c r="BE39" s="401">
        <v>0</v>
      </c>
      <c r="BF39" s="401">
        <v>849783</v>
      </c>
      <c r="BG39" s="401">
        <v>0</v>
      </c>
      <c r="BH39" s="401">
        <v>0</v>
      </c>
      <c r="BI39" s="401">
        <v>0</v>
      </c>
      <c r="BJ39" s="401">
        <v>0</v>
      </c>
      <c r="BK39" s="401">
        <v>0</v>
      </c>
      <c r="BL39" s="401">
        <v>164876</v>
      </c>
      <c r="BM39" s="401">
        <v>0</v>
      </c>
      <c r="BN39" s="401">
        <v>0</v>
      </c>
      <c r="BO39" s="401">
        <v>0</v>
      </c>
      <c r="BP39" s="401">
        <v>0</v>
      </c>
      <c r="BQ39" s="401">
        <v>0</v>
      </c>
      <c r="BR39" s="401">
        <v>0</v>
      </c>
      <c r="BS39" s="401">
        <v>0</v>
      </c>
      <c r="BT39" s="401">
        <v>0</v>
      </c>
      <c r="BU39" s="401">
        <v>0</v>
      </c>
      <c r="BV39" s="401">
        <v>0</v>
      </c>
      <c r="BW39" s="401">
        <v>0</v>
      </c>
      <c r="BX39" s="401">
        <v>0</v>
      </c>
      <c r="BY39" s="401">
        <v>0</v>
      </c>
      <c r="BZ39" s="401">
        <v>0</v>
      </c>
      <c r="CA39" s="401">
        <v>0</v>
      </c>
      <c r="CB39" s="401">
        <v>0</v>
      </c>
    </row>
    <row r="40" spans="1:80" s="401" customFormat="1" x14ac:dyDescent="0.3">
      <c r="A40" s="1014">
        <v>53</v>
      </c>
      <c r="B40" s="1014">
        <v>53</v>
      </c>
      <c r="C40" s="1018">
        <v>53</v>
      </c>
      <c r="D40" s="1019" t="s">
        <v>101</v>
      </c>
      <c r="E40" s="1020">
        <v>686805</v>
      </c>
      <c r="F40" s="1021">
        <v>-5077000</v>
      </c>
      <c r="G40" s="1021">
        <v>-58245000</v>
      </c>
      <c r="BC40" s="401">
        <v>0</v>
      </c>
      <c r="BD40" s="401">
        <v>0</v>
      </c>
      <c r="BE40" s="401">
        <v>0</v>
      </c>
      <c r="BF40" s="401">
        <v>619333</v>
      </c>
      <c r="BG40" s="401">
        <v>0</v>
      </c>
      <c r="BH40" s="401">
        <v>0</v>
      </c>
      <c r="BI40" s="401">
        <v>0</v>
      </c>
      <c r="BJ40" s="401">
        <v>0</v>
      </c>
      <c r="BK40" s="401">
        <v>0</v>
      </c>
      <c r="BL40" s="401">
        <v>959534</v>
      </c>
      <c r="BM40" s="401">
        <v>0</v>
      </c>
      <c r="BN40" s="401">
        <v>0</v>
      </c>
      <c r="BO40" s="401">
        <v>0</v>
      </c>
      <c r="BP40" s="401">
        <v>0</v>
      </c>
      <c r="BQ40" s="401">
        <v>0</v>
      </c>
      <c r="BR40" s="401">
        <v>0</v>
      </c>
      <c r="BS40" s="401">
        <v>0</v>
      </c>
      <c r="BT40" s="401">
        <v>0</v>
      </c>
      <c r="BU40" s="401">
        <v>0</v>
      </c>
      <c r="BV40" s="401">
        <v>0</v>
      </c>
      <c r="BW40" s="401">
        <v>0</v>
      </c>
      <c r="BX40" s="401">
        <v>0</v>
      </c>
      <c r="BY40" s="401">
        <v>0</v>
      </c>
      <c r="BZ40" s="401">
        <v>0</v>
      </c>
      <c r="CA40" s="401">
        <v>0</v>
      </c>
      <c r="CB40" s="401">
        <v>0</v>
      </c>
    </row>
    <row r="41" spans="1:80" s="401" customFormat="1" x14ac:dyDescent="0.3">
      <c r="A41" s="1014">
        <v>54</v>
      </c>
      <c r="B41" s="1014">
        <v>55</v>
      </c>
      <c r="C41" s="1018">
        <v>54</v>
      </c>
      <c r="D41" s="1019" t="s">
        <v>594</v>
      </c>
      <c r="E41" s="1020" t="s">
        <v>1682</v>
      </c>
      <c r="F41" s="1021" t="s">
        <v>1683</v>
      </c>
      <c r="G41" s="1021" t="s">
        <v>1684</v>
      </c>
    </row>
    <row r="42" spans="1:80" s="401" customFormat="1" x14ac:dyDescent="0.3">
      <c r="A42" s="1014">
        <v>55</v>
      </c>
      <c r="B42" s="1014"/>
      <c r="C42" s="1018">
        <v>55</v>
      </c>
      <c r="D42" s="1019" t="s">
        <v>1592</v>
      </c>
      <c r="E42" s="1020">
        <v>735933</v>
      </c>
      <c r="F42" s="1021">
        <v>52438000</v>
      </c>
      <c r="G42" s="1021">
        <v>193611000</v>
      </c>
      <c r="BC42" s="401">
        <v>0</v>
      </c>
      <c r="BD42" s="401">
        <v>0</v>
      </c>
      <c r="BE42" s="401">
        <v>0</v>
      </c>
      <c r="BF42" s="401">
        <v>2547456</v>
      </c>
      <c r="BG42" s="401">
        <v>0</v>
      </c>
      <c r="BH42" s="401">
        <v>0</v>
      </c>
      <c r="BI42" s="401">
        <v>0</v>
      </c>
      <c r="BJ42" s="401">
        <v>0</v>
      </c>
      <c r="BK42" s="401">
        <v>0</v>
      </c>
      <c r="BL42" s="401">
        <v>1374630</v>
      </c>
      <c r="BM42" s="401">
        <v>0</v>
      </c>
      <c r="BN42" s="401">
        <v>0</v>
      </c>
      <c r="BO42" s="401">
        <v>0</v>
      </c>
      <c r="BP42" s="401">
        <v>0</v>
      </c>
      <c r="BQ42" s="401">
        <v>0</v>
      </c>
      <c r="BR42" s="401">
        <v>0</v>
      </c>
      <c r="BS42" s="401">
        <v>0</v>
      </c>
      <c r="BT42" s="401">
        <v>0</v>
      </c>
      <c r="BU42" s="401">
        <v>0</v>
      </c>
      <c r="BV42" s="401">
        <v>0</v>
      </c>
      <c r="BW42" s="401">
        <v>0</v>
      </c>
      <c r="BX42" s="401">
        <v>0</v>
      </c>
      <c r="BY42" s="401">
        <v>0</v>
      </c>
      <c r="BZ42" s="401">
        <v>0</v>
      </c>
      <c r="CA42" s="401">
        <v>0</v>
      </c>
      <c r="CB42" s="401">
        <v>0</v>
      </c>
    </row>
    <row r="43" spans="1:80" s="402" customFormat="1" x14ac:dyDescent="0.3">
      <c r="A43" s="1014">
        <v>61</v>
      </c>
      <c r="B43" s="1014"/>
      <c r="C43" s="1018">
        <v>61</v>
      </c>
      <c r="D43" s="1019" t="s">
        <v>1593</v>
      </c>
      <c r="E43" s="1020" t="s">
        <v>1682</v>
      </c>
      <c r="F43" s="1021" t="s">
        <v>1683</v>
      </c>
      <c r="G43" s="1021" t="s">
        <v>1684</v>
      </c>
      <c r="BC43" s="402">
        <v>98.93</v>
      </c>
      <c r="BD43" s="402">
        <v>0</v>
      </c>
      <c r="BE43" s="402">
        <v>96.89</v>
      </c>
      <c r="BF43" s="402">
        <v>94.48</v>
      </c>
      <c r="BG43" s="402">
        <v>0</v>
      </c>
      <c r="BH43" s="402">
        <v>92.02</v>
      </c>
      <c r="BI43" s="402">
        <v>99.11</v>
      </c>
      <c r="BJ43" s="402">
        <v>97.38</v>
      </c>
      <c r="BK43" s="402">
        <v>0</v>
      </c>
      <c r="BL43" s="402">
        <v>99.76</v>
      </c>
      <c r="BM43" s="402">
        <v>98.74</v>
      </c>
      <c r="BN43" s="402">
        <v>0</v>
      </c>
      <c r="BO43" s="402">
        <v>98.94</v>
      </c>
      <c r="BP43" s="402">
        <v>97.04</v>
      </c>
      <c r="BQ43" s="402">
        <v>97.05</v>
      </c>
      <c r="BR43" s="402">
        <v>98.64</v>
      </c>
      <c r="BS43" s="402">
        <v>99.6</v>
      </c>
      <c r="BT43" s="402">
        <v>99.14</v>
      </c>
      <c r="BU43" s="402">
        <v>85.91</v>
      </c>
      <c r="BV43" s="402">
        <v>99.23</v>
      </c>
      <c r="BW43" s="402">
        <v>94.91</v>
      </c>
      <c r="BX43" s="402">
        <v>99.42</v>
      </c>
      <c r="BY43" s="402">
        <v>95.49</v>
      </c>
      <c r="BZ43" s="402">
        <v>97.83</v>
      </c>
      <c r="CA43" s="402">
        <v>99.66</v>
      </c>
      <c r="CB43" s="402">
        <v>90.87</v>
      </c>
    </row>
    <row r="44" spans="1:80" s="401" customFormat="1" x14ac:dyDescent="0.3">
      <c r="A44" s="1014">
        <v>80</v>
      </c>
      <c r="B44" s="1014"/>
      <c r="C44" s="1018">
        <v>80</v>
      </c>
      <c r="D44" s="1019" t="s">
        <v>1594</v>
      </c>
      <c r="E44" s="1020" t="s">
        <v>1682</v>
      </c>
      <c r="F44" s="1021" t="s">
        <v>1683</v>
      </c>
      <c r="G44" s="1021" t="s">
        <v>1684</v>
      </c>
      <c r="BC44" s="401">
        <v>592119</v>
      </c>
      <c r="BD44" s="401">
        <v>0</v>
      </c>
      <c r="BE44" s="401">
        <v>0</v>
      </c>
      <c r="BF44" s="401">
        <v>1143952</v>
      </c>
      <c r="BG44" s="401">
        <v>0</v>
      </c>
      <c r="BH44" s="401">
        <v>0</v>
      </c>
      <c r="BI44" s="401">
        <v>629957</v>
      </c>
      <c r="BJ44" s="401">
        <v>1950576</v>
      </c>
      <c r="BK44" s="401">
        <v>0</v>
      </c>
      <c r="BL44" s="401">
        <v>4667608</v>
      </c>
      <c r="BM44" s="401">
        <v>2736585</v>
      </c>
      <c r="BN44" s="401">
        <v>0</v>
      </c>
      <c r="BO44" s="401">
        <v>1676370</v>
      </c>
      <c r="BP44" s="401">
        <v>3215759</v>
      </c>
      <c r="BQ44" s="401">
        <v>997878</v>
      </c>
      <c r="BR44" s="401">
        <v>1748084</v>
      </c>
      <c r="BS44" s="401">
        <v>0</v>
      </c>
      <c r="BT44" s="401">
        <v>0</v>
      </c>
      <c r="BU44" s="401">
        <v>1039245</v>
      </c>
      <c r="BV44" s="401">
        <v>1684666</v>
      </c>
      <c r="BW44" s="401">
        <v>170669</v>
      </c>
      <c r="BX44" s="401">
        <v>1208339</v>
      </c>
      <c r="BY44" s="401">
        <v>0</v>
      </c>
      <c r="BZ44" s="401">
        <v>0</v>
      </c>
      <c r="CA44" s="401">
        <v>7586901</v>
      </c>
      <c r="CB44" s="401">
        <v>0</v>
      </c>
    </row>
    <row r="45" spans="1:80" s="401" customFormat="1" ht="28.8" x14ac:dyDescent="0.3">
      <c r="A45" s="1014">
        <v>81</v>
      </c>
      <c r="B45" s="1014"/>
      <c r="C45" s="1018">
        <v>81</v>
      </c>
      <c r="D45" s="1019" t="s">
        <v>1595</v>
      </c>
      <c r="E45" s="1020" t="s">
        <v>1682</v>
      </c>
      <c r="F45" s="1021" t="s">
        <v>1683</v>
      </c>
      <c r="G45" s="1021" t="s">
        <v>1684</v>
      </c>
      <c r="BC45" s="401">
        <v>116859</v>
      </c>
      <c r="BD45" s="401">
        <v>0</v>
      </c>
      <c r="BE45" s="401">
        <v>0</v>
      </c>
      <c r="BF45" s="401">
        <v>4039003</v>
      </c>
      <c r="BG45" s="401">
        <v>0</v>
      </c>
      <c r="BH45" s="401">
        <v>0</v>
      </c>
      <c r="BI45" s="401">
        <v>140069</v>
      </c>
      <c r="BJ45" s="401">
        <v>132347</v>
      </c>
      <c r="BK45" s="401">
        <v>0</v>
      </c>
      <c r="BL45" s="401">
        <v>165764</v>
      </c>
      <c r="BM45" s="401">
        <v>302224</v>
      </c>
      <c r="BN45" s="401">
        <v>0</v>
      </c>
      <c r="BO45" s="401">
        <v>524605</v>
      </c>
      <c r="BP45" s="401">
        <v>94384</v>
      </c>
      <c r="BQ45" s="401">
        <v>76731</v>
      </c>
      <c r="BR45" s="401">
        <v>69150</v>
      </c>
      <c r="BS45" s="401">
        <v>0</v>
      </c>
      <c r="BT45" s="401">
        <v>0</v>
      </c>
      <c r="BU45" s="401">
        <v>157592</v>
      </c>
      <c r="BV45" s="401">
        <v>235820</v>
      </c>
      <c r="BW45" s="401">
        <v>89631</v>
      </c>
      <c r="BX45" s="401">
        <v>74242</v>
      </c>
      <c r="BY45" s="401">
        <v>0</v>
      </c>
      <c r="BZ45" s="401">
        <v>0</v>
      </c>
      <c r="CA45" s="401">
        <v>832878</v>
      </c>
      <c r="CB45" s="401">
        <v>0</v>
      </c>
    </row>
    <row r="46" spans="1:80" s="401" customFormat="1" ht="28.8" x14ac:dyDescent="0.3">
      <c r="A46" s="1014">
        <v>82</v>
      </c>
      <c r="B46" s="1014"/>
      <c r="C46" s="1018">
        <v>82</v>
      </c>
      <c r="D46" s="1019" t="s">
        <v>1596</v>
      </c>
      <c r="E46" s="1020" t="s">
        <v>1682</v>
      </c>
      <c r="F46" s="1021" t="s">
        <v>1683</v>
      </c>
      <c r="G46" s="1021" t="s">
        <v>1684</v>
      </c>
      <c r="BC46" s="401">
        <v>468388</v>
      </c>
      <c r="BD46" s="401">
        <v>0</v>
      </c>
      <c r="BE46" s="401">
        <v>0</v>
      </c>
      <c r="BF46" s="401">
        <v>5967399</v>
      </c>
      <c r="BG46" s="401">
        <v>0</v>
      </c>
      <c r="BH46" s="401">
        <v>0</v>
      </c>
      <c r="BI46" s="401">
        <v>1220284</v>
      </c>
      <c r="BJ46" s="401">
        <v>1303686</v>
      </c>
      <c r="BK46" s="401">
        <v>0</v>
      </c>
      <c r="BL46" s="401">
        <v>539709</v>
      </c>
      <c r="BM46" s="401">
        <v>293312</v>
      </c>
      <c r="BN46" s="401">
        <v>0</v>
      </c>
      <c r="BO46" s="401">
        <v>1287514</v>
      </c>
      <c r="BP46" s="401">
        <v>697926</v>
      </c>
      <c r="BQ46" s="401">
        <v>667714</v>
      </c>
      <c r="BR46" s="401">
        <v>1061306</v>
      </c>
      <c r="BS46" s="401">
        <v>0</v>
      </c>
      <c r="BT46" s="401">
        <v>0</v>
      </c>
      <c r="BU46" s="401">
        <v>265584</v>
      </c>
      <c r="BV46" s="401">
        <v>1419627</v>
      </c>
      <c r="BW46" s="401">
        <v>664583</v>
      </c>
      <c r="BX46" s="401">
        <v>0</v>
      </c>
      <c r="BY46" s="401">
        <v>0</v>
      </c>
      <c r="BZ46" s="401">
        <v>0</v>
      </c>
      <c r="CA46" s="401">
        <v>7484033</v>
      </c>
      <c r="CB46" s="401">
        <v>0</v>
      </c>
    </row>
    <row r="47" spans="1:80" s="401" customFormat="1" x14ac:dyDescent="0.3">
      <c r="A47" s="1014">
        <v>83</v>
      </c>
      <c r="B47" s="1014"/>
      <c r="C47" s="1018">
        <v>83</v>
      </c>
      <c r="D47" s="1019" t="s">
        <v>102</v>
      </c>
      <c r="E47" s="1020" t="s">
        <v>1682</v>
      </c>
      <c r="F47" s="1021" t="s">
        <v>1683</v>
      </c>
      <c r="G47" s="1021" t="s">
        <v>1684</v>
      </c>
      <c r="BC47" s="401">
        <v>2904077</v>
      </c>
      <c r="BD47" s="401">
        <v>0</v>
      </c>
      <c r="BE47" s="401">
        <v>0</v>
      </c>
      <c r="BF47" s="401">
        <v>47035619</v>
      </c>
      <c r="BG47" s="401">
        <v>0</v>
      </c>
      <c r="BH47" s="401">
        <v>0</v>
      </c>
      <c r="BI47" s="401">
        <v>5575542</v>
      </c>
      <c r="BJ47" s="401">
        <v>6156770</v>
      </c>
      <c r="BK47" s="401">
        <v>0</v>
      </c>
      <c r="BL47" s="401">
        <v>12787813</v>
      </c>
      <c r="BM47" s="401">
        <v>7046574</v>
      </c>
      <c r="BN47" s="401">
        <v>0</v>
      </c>
      <c r="BO47" s="401">
        <v>19371468</v>
      </c>
      <c r="BP47" s="401">
        <v>11690997</v>
      </c>
      <c r="BQ47" s="401">
        <v>8169833</v>
      </c>
      <c r="BR47" s="401">
        <v>5212569</v>
      </c>
      <c r="BS47" s="401">
        <v>0</v>
      </c>
      <c r="BT47" s="401">
        <v>0</v>
      </c>
      <c r="BU47" s="401">
        <v>6593091</v>
      </c>
      <c r="BV47" s="401">
        <v>12505423</v>
      </c>
      <c r="BW47" s="401">
        <v>4851336</v>
      </c>
      <c r="BX47" s="401">
        <v>2608958</v>
      </c>
      <c r="BY47" s="401">
        <v>0</v>
      </c>
      <c r="BZ47" s="401">
        <v>0</v>
      </c>
      <c r="CA47" s="401">
        <v>53045884</v>
      </c>
      <c r="CB47" s="401">
        <v>0</v>
      </c>
    </row>
    <row r="48" spans="1:80" s="401" customFormat="1" x14ac:dyDescent="0.3">
      <c r="A48" s="1014">
        <v>84</v>
      </c>
      <c r="B48" s="1014"/>
      <c r="C48" s="1018">
        <v>84</v>
      </c>
      <c r="D48" s="1019" t="s">
        <v>1597</v>
      </c>
      <c r="E48" s="1020" t="s">
        <v>1682</v>
      </c>
      <c r="F48" s="1021" t="s">
        <v>1683</v>
      </c>
      <c r="G48" s="1021" t="s">
        <v>1684</v>
      </c>
      <c r="BC48" s="401">
        <v>1270373</v>
      </c>
      <c r="BD48" s="401">
        <v>0</v>
      </c>
      <c r="BE48" s="401">
        <v>0</v>
      </c>
      <c r="BF48" s="401">
        <v>10622771</v>
      </c>
      <c r="BG48" s="401">
        <v>0</v>
      </c>
      <c r="BH48" s="401">
        <v>0</v>
      </c>
      <c r="BI48" s="401">
        <v>1440671</v>
      </c>
      <c r="BJ48" s="401">
        <v>978566</v>
      </c>
      <c r="BK48" s="401">
        <v>0</v>
      </c>
      <c r="BL48" s="401">
        <v>2303743</v>
      </c>
      <c r="BM48" s="401">
        <v>2002022</v>
      </c>
      <c r="BN48" s="401">
        <v>0</v>
      </c>
      <c r="BO48" s="401">
        <v>3681230</v>
      </c>
      <c r="BP48" s="401">
        <v>1016494</v>
      </c>
      <c r="BQ48" s="401">
        <v>713253</v>
      </c>
      <c r="BR48" s="401">
        <v>1340788</v>
      </c>
      <c r="BS48" s="401">
        <v>0</v>
      </c>
      <c r="BT48" s="401">
        <v>0</v>
      </c>
      <c r="BU48" s="401">
        <v>699634</v>
      </c>
      <c r="BV48" s="401">
        <v>2569029</v>
      </c>
      <c r="BW48" s="401">
        <v>511016</v>
      </c>
      <c r="BX48" s="401">
        <v>647727</v>
      </c>
      <c r="BY48" s="401">
        <v>0</v>
      </c>
      <c r="BZ48" s="401">
        <v>0</v>
      </c>
      <c r="CA48" s="401">
        <v>7644617</v>
      </c>
      <c r="CB48" s="401">
        <v>0</v>
      </c>
    </row>
    <row r="49" spans="1:80" s="401" customFormat="1" x14ac:dyDescent="0.3">
      <c r="A49" s="1014">
        <v>85</v>
      </c>
      <c r="B49" s="1014"/>
      <c r="C49" s="1018">
        <v>85</v>
      </c>
      <c r="D49" s="1019" t="s">
        <v>1598</v>
      </c>
      <c r="E49" s="1020" t="s">
        <v>1682</v>
      </c>
      <c r="F49" s="1021" t="s">
        <v>1683</v>
      </c>
      <c r="G49" s="1021" t="s">
        <v>1684</v>
      </c>
      <c r="BC49" s="401">
        <v>1312988</v>
      </c>
      <c r="BD49" s="401">
        <v>0</v>
      </c>
      <c r="BE49" s="401">
        <v>0</v>
      </c>
      <c r="BF49" s="401">
        <v>10714128</v>
      </c>
      <c r="BG49" s="401">
        <v>0</v>
      </c>
      <c r="BH49" s="401">
        <v>0</v>
      </c>
      <c r="BI49" s="401">
        <v>1384889</v>
      </c>
      <c r="BJ49" s="401">
        <v>862346</v>
      </c>
      <c r="BK49" s="401">
        <v>0</v>
      </c>
      <c r="BL49" s="401">
        <v>2393470</v>
      </c>
      <c r="BM49" s="401">
        <v>1810466</v>
      </c>
      <c r="BN49" s="401">
        <v>0</v>
      </c>
      <c r="BO49" s="401">
        <v>3957135</v>
      </c>
      <c r="BP49" s="401">
        <v>947789</v>
      </c>
      <c r="BQ49" s="401">
        <v>815766</v>
      </c>
      <c r="BR49" s="401">
        <v>1326355</v>
      </c>
      <c r="BS49" s="401">
        <v>0</v>
      </c>
      <c r="BT49" s="401">
        <v>0</v>
      </c>
      <c r="BU49" s="401">
        <v>965834</v>
      </c>
      <c r="BV49" s="401">
        <v>2608646</v>
      </c>
      <c r="BW49" s="401">
        <v>590683</v>
      </c>
      <c r="BX49" s="401">
        <v>438851</v>
      </c>
      <c r="BY49" s="401">
        <v>0</v>
      </c>
      <c r="BZ49" s="401">
        <v>0</v>
      </c>
      <c r="CA49" s="401">
        <v>7198130</v>
      </c>
      <c r="CB49" s="401">
        <v>0</v>
      </c>
    </row>
    <row r="50" spans="1:80" s="401" customFormat="1" x14ac:dyDescent="0.3">
      <c r="A50" s="1014">
        <v>88</v>
      </c>
      <c r="B50" s="1014"/>
      <c r="C50" s="1018">
        <v>88</v>
      </c>
      <c r="D50" s="1019" t="s">
        <v>1599</v>
      </c>
      <c r="E50" s="1020" t="s">
        <v>1682</v>
      </c>
      <c r="F50" s="1021" t="s">
        <v>1683</v>
      </c>
      <c r="G50" s="1021" t="s">
        <v>1684</v>
      </c>
      <c r="BC50" s="401">
        <v>1213931</v>
      </c>
      <c r="BD50" s="401">
        <v>0</v>
      </c>
      <c r="BE50" s="401">
        <v>0</v>
      </c>
      <c r="BF50" s="401">
        <v>8878089</v>
      </c>
      <c r="BG50" s="401">
        <v>0</v>
      </c>
      <c r="BH50" s="401">
        <v>0</v>
      </c>
      <c r="BI50" s="401">
        <v>1394975</v>
      </c>
      <c r="BJ50" s="401">
        <v>792392</v>
      </c>
      <c r="BK50" s="401">
        <v>0</v>
      </c>
      <c r="BL50" s="401">
        <v>2303743</v>
      </c>
      <c r="BM50" s="401">
        <v>1866679</v>
      </c>
      <c r="BN50" s="401">
        <v>0</v>
      </c>
      <c r="BO50" s="401">
        <v>3510623</v>
      </c>
      <c r="BP50" s="401">
        <v>1010585</v>
      </c>
      <c r="BQ50" s="401">
        <v>694333</v>
      </c>
      <c r="BR50" s="401">
        <v>1315039</v>
      </c>
      <c r="BS50" s="401">
        <v>0</v>
      </c>
      <c r="BT50" s="401">
        <v>0</v>
      </c>
      <c r="BU50" s="401">
        <v>699634</v>
      </c>
      <c r="BV50" s="401">
        <v>2308663</v>
      </c>
      <c r="BW50" s="401">
        <v>507893</v>
      </c>
      <c r="BX50" s="401">
        <v>644474</v>
      </c>
      <c r="BY50" s="401">
        <v>0</v>
      </c>
      <c r="BZ50" s="401">
        <v>0</v>
      </c>
      <c r="CA50" s="401">
        <v>6119414</v>
      </c>
      <c r="CB50" s="401">
        <v>0</v>
      </c>
    </row>
    <row r="51" spans="1:80" s="401" customFormat="1" x14ac:dyDescent="0.3">
      <c r="A51" s="1014">
        <v>89</v>
      </c>
      <c r="B51" s="1014"/>
      <c r="C51" s="1018">
        <v>89</v>
      </c>
      <c r="D51" s="1019" t="s">
        <v>1600</v>
      </c>
      <c r="E51" s="1020" t="s">
        <v>1682</v>
      </c>
      <c r="F51" s="1021" t="s">
        <v>1683</v>
      </c>
      <c r="G51" s="1021" t="s">
        <v>1684</v>
      </c>
      <c r="BC51" s="401">
        <v>787</v>
      </c>
      <c r="BD51" s="401">
        <v>0</v>
      </c>
      <c r="BE51" s="401">
        <v>0</v>
      </c>
      <c r="BF51" s="401">
        <v>36713</v>
      </c>
      <c r="BG51" s="401">
        <v>0</v>
      </c>
      <c r="BH51" s="401">
        <v>0</v>
      </c>
      <c r="BI51" s="401">
        <v>50191</v>
      </c>
      <c r="BJ51" s="401">
        <v>30800</v>
      </c>
      <c r="BK51" s="401">
        <v>0</v>
      </c>
      <c r="BL51" s="401">
        <v>0</v>
      </c>
      <c r="BM51" s="401">
        <v>7474</v>
      </c>
      <c r="BN51" s="401">
        <v>0</v>
      </c>
      <c r="BO51" s="401">
        <v>18358</v>
      </c>
      <c r="BP51" s="401">
        <v>23427</v>
      </c>
      <c r="BQ51" s="401">
        <v>24607</v>
      </c>
      <c r="BR51" s="401">
        <v>0</v>
      </c>
      <c r="BS51" s="401">
        <v>0</v>
      </c>
      <c r="BT51" s="401">
        <v>0</v>
      </c>
      <c r="BU51" s="401">
        <v>9443</v>
      </c>
      <c r="BV51" s="401">
        <v>47228</v>
      </c>
      <c r="BW51" s="401">
        <v>0</v>
      </c>
      <c r="BX51" s="401">
        <v>0</v>
      </c>
      <c r="BY51" s="401">
        <v>0</v>
      </c>
      <c r="BZ51" s="401">
        <v>0</v>
      </c>
      <c r="CA51" s="401">
        <v>100206</v>
      </c>
      <c r="CB51" s="401">
        <v>0</v>
      </c>
    </row>
    <row r="52" spans="1:80" s="401" customFormat="1" x14ac:dyDescent="0.3">
      <c r="A52" s="1014">
        <v>90</v>
      </c>
      <c r="B52" s="1014">
        <v>90</v>
      </c>
      <c r="C52" s="1018">
        <v>90</v>
      </c>
      <c r="D52" s="1019" t="s">
        <v>1601</v>
      </c>
      <c r="E52" s="1020">
        <v>1142486</v>
      </c>
      <c r="F52" s="1021">
        <v>109566000</v>
      </c>
      <c r="G52" s="1021">
        <v>379726000</v>
      </c>
      <c r="BC52" s="401">
        <v>0</v>
      </c>
      <c r="BD52" s="401">
        <v>0</v>
      </c>
      <c r="BE52" s="401">
        <v>0</v>
      </c>
      <c r="BF52" s="401">
        <v>5346067</v>
      </c>
      <c r="BG52" s="401">
        <v>0</v>
      </c>
      <c r="BH52" s="401">
        <v>0</v>
      </c>
      <c r="BI52" s="401">
        <v>0</v>
      </c>
      <c r="BJ52" s="401">
        <v>0</v>
      </c>
      <c r="BK52" s="401">
        <v>0</v>
      </c>
      <c r="BL52" s="401">
        <v>2555802</v>
      </c>
      <c r="BM52" s="401">
        <v>0</v>
      </c>
      <c r="BN52" s="401">
        <v>0</v>
      </c>
      <c r="BO52" s="401">
        <v>0</v>
      </c>
      <c r="BP52" s="401">
        <v>0</v>
      </c>
      <c r="BQ52" s="401">
        <v>0</v>
      </c>
      <c r="BR52" s="401">
        <v>0</v>
      </c>
      <c r="BS52" s="401">
        <v>0</v>
      </c>
      <c r="BT52" s="401">
        <v>0</v>
      </c>
      <c r="BU52" s="401">
        <v>0</v>
      </c>
      <c r="BV52" s="401">
        <v>0</v>
      </c>
      <c r="BW52" s="401">
        <v>0</v>
      </c>
      <c r="BX52" s="401">
        <v>0</v>
      </c>
      <c r="BY52" s="401">
        <v>0</v>
      </c>
      <c r="BZ52" s="401">
        <v>0</v>
      </c>
      <c r="CA52" s="401">
        <v>0</v>
      </c>
      <c r="CB52" s="401">
        <v>0</v>
      </c>
    </row>
    <row r="53" spans="1:80" s="401" customFormat="1" x14ac:dyDescent="0.3">
      <c r="A53" s="1014">
        <v>91</v>
      </c>
      <c r="B53" s="1014">
        <v>91</v>
      </c>
      <c r="C53" s="1018">
        <v>91</v>
      </c>
      <c r="D53" s="1019" t="s">
        <v>1602</v>
      </c>
      <c r="E53" s="1020">
        <v>1364312</v>
      </c>
      <c r="F53" s="1021">
        <v>42604000</v>
      </c>
      <c r="G53" s="1021">
        <v>44854000</v>
      </c>
      <c r="BC53" s="401">
        <v>0</v>
      </c>
      <c r="BD53" s="401">
        <v>0</v>
      </c>
      <c r="BE53" s="401">
        <v>0</v>
      </c>
      <c r="BF53" s="401">
        <v>5921417</v>
      </c>
      <c r="BG53" s="401">
        <v>0</v>
      </c>
      <c r="BH53" s="401">
        <v>0</v>
      </c>
      <c r="BI53" s="401">
        <v>0</v>
      </c>
      <c r="BJ53" s="401">
        <v>0</v>
      </c>
      <c r="BK53" s="401">
        <v>0</v>
      </c>
      <c r="BL53" s="401">
        <v>448342</v>
      </c>
      <c r="BM53" s="401">
        <v>0</v>
      </c>
      <c r="BN53" s="401">
        <v>0</v>
      </c>
      <c r="BO53" s="401">
        <v>0</v>
      </c>
      <c r="BP53" s="401">
        <v>0</v>
      </c>
      <c r="BQ53" s="401">
        <v>0</v>
      </c>
      <c r="BR53" s="401">
        <v>0</v>
      </c>
      <c r="BS53" s="401">
        <v>0</v>
      </c>
      <c r="BT53" s="401">
        <v>0</v>
      </c>
      <c r="BU53" s="401">
        <v>0</v>
      </c>
      <c r="BV53" s="401">
        <v>0</v>
      </c>
      <c r="BW53" s="401">
        <v>0</v>
      </c>
      <c r="BX53" s="401">
        <v>0</v>
      </c>
      <c r="BY53" s="401">
        <v>0</v>
      </c>
      <c r="BZ53" s="401">
        <v>0</v>
      </c>
      <c r="CA53" s="401">
        <v>0</v>
      </c>
      <c r="CB53" s="401">
        <v>0</v>
      </c>
    </row>
    <row r="54" spans="1:80" s="401" customFormat="1" x14ac:dyDescent="0.3">
      <c r="A54" s="1014">
        <v>92</v>
      </c>
      <c r="B54" s="1014"/>
      <c r="C54" s="1018">
        <v>92</v>
      </c>
      <c r="D54" s="1019" t="s">
        <v>595</v>
      </c>
      <c r="E54" s="1020" t="s">
        <v>1682</v>
      </c>
      <c r="F54" s="1021" t="s">
        <v>1683</v>
      </c>
      <c r="G54" s="1021" t="s">
        <v>1684</v>
      </c>
    </row>
    <row r="55" spans="1:80" s="401" customFormat="1" x14ac:dyDescent="0.3">
      <c r="A55" s="1014">
        <v>93</v>
      </c>
      <c r="B55" s="1014">
        <v>93</v>
      </c>
      <c r="C55" s="1018">
        <v>93</v>
      </c>
      <c r="D55" s="1019" t="s">
        <v>1603</v>
      </c>
      <c r="E55" s="1020">
        <v>24526839</v>
      </c>
      <c r="F55" s="1021">
        <v>503956000</v>
      </c>
      <c r="G55" s="1021">
        <v>452533000</v>
      </c>
      <c r="BC55" s="401">
        <v>0</v>
      </c>
      <c r="BD55" s="401">
        <v>0</v>
      </c>
      <c r="BE55" s="401">
        <v>0</v>
      </c>
      <c r="BF55" s="401">
        <v>31037334</v>
      </c>
      <c r="BG55" s="401">
        <v>0</v>
      </c>
      <c r="BH55" s="401">
        <v>0</v>
      </c>
      <c r="BI55" s="401">
        <v>0</v>
      </c>
      <c r="BJ55" s="401">
        <v>0</v>
      </c>
      <c r="BK55" s="401">
        <v>0</v>
      </c>
      <c r="BL55" s="401">
        <v>8028086</v>
      </c>
      <c r="BM55" s="401">
        <v>0</v>
      </c>
      <c r="BN55" s="401">
        <v>0</v>
      </c>
      <c r="BO55" s="401">
        <v>0</v>
      </c>
      <c r="BP55" s="401">
        <v>0</v>
      </c>
      <c r="BQ55" s="401">
        <v>0</v>
      </c>
      <c r="BR55" s="401">
        <v>0</v>
      </c>
      <c r="BS55" s="401">
        <v>0</v>
      </c>
      <c r="BT55" s="401">
        <v>0</v>
      </c>
      <c r="BU55" s="401">
        <v>0</v>
      </c>
      <c r="BV55" s="401">
        <v>0</v>
      </c>
      <c r="BW55" s="401">
        <v>0</v>
      </c>
      <c r="BX55" s="401">
        <v>0</v>
      </c>
      <c r="BY55" s="401">
        <v>0</v>
      </c>
      <c r="BZ55" s="401">
        <v>0</v>
      </c>
      <c r="CA55" s="401">
        <v>0</v>
      </c>
      <c r="CB55" s="401">
        <v>0</v>
      </c>
    </row>
    <row r="56" spans="1:80" s="401" customFormat="1" x14ac:dyDescent="0.3">
      <c r="A56" s="1014">
        <v>94</v>
      </c>
      <c r="B56" s="1014">
        <v>94</v>
      </c>
      <c r="C56" s="1018">
        <v>94</v>
      </c>
      <c r="D56" s="1019" t="s">
        <v>1604</v>
      </c>
      <c r="E56" s="1020">
        <v>23844450</v>
      </c>
      <c r="F56" s="1021">
        <v>459299000</v>
      </c>
      <c r="G56" s="1021">
        <v>348956000</v>
      </c>
      <c r="BC56" s="401">
        <v>0</v>
      </c>
      <c r="BD56" s="401">
        <v>0</v>
      </c>
      <c r="BE56" s="401">
        <v>0</v>
      </c>
      <c r="BF56" s="401">
        <v>29748161</v>
      </c>
      <c r="BG56" s="401">
        <v>0</v>
      </c>
      <c r="BH56" s="401">
        <v>0</v>
      </c>
      <c r="BI56" s="401">
        <v>0</v>
      </c>
      <c r="BJ56" s="401">
        <v>0</v>
      </c>
      <c r="BK56" s="401">
        <v>0</v>
      </c>
      <c r="BL56" s="401">
        <v>7097870</v>
      </c>
      <c r="BM56" s="401">
        <v>0</v>
      </c>
      <c r="BN56" s="401">
        <v>0</v>
      </c>
      <c r="BO56" s="401">
        <v>0</v>
      </c>
      <c r="BP56" s="401">
        <v>0</v>
      </c>
      <c r="BQ56" s="401">
        <v>0</v>
      </c>
      <c r="BR56" s="401">
        <v>0</v>
      </c>
      <c r="BS56" s="401">
        <v>0</v>
      </c>
      <c r="BT56" s="401">
        <v>0</v>
      </c>
      <c r="BU56" s="401">
        <v>0</v>
      </c>
      <c r="BV56" s="401">
        <v>0</v>
      </c>
      <c r="BW56" s="401">
        <v>0</v>
      </c>
      <c r="BX56" s="401">
        <v>0</v>
      </c>
      <c r="BY56" s="401">
        <v>0</v>
      </c>
      <c r="BZ56" s="401">
        <v>0</v>
      </c>
      <c r="CA56" s="401">
        <v>0</v>
      </c>
      <c r="CB56" s="401">
        <v>0</v>
      </c>
    </row>
    <row r="57" spans="1:80" s="401" customFormat="1" x14ac:dyDescent="0.3">
      <c r="A57" s="1014">
        <v>97</v>
      </c>
      <c r="B57" s="1014">
        <v>97</v>
      </c>
      <c r="C57" s="1018">
        <v>97</v>
      </c>
      <c r="D57" s="1019" t="s">
        <v>1605</v>
      </c>
      <c r="E57" s="1020">
        <v>24202270</v>
      </c>
      <c r="F57" s="1021">
        <v>503671000</v>
      </c>
      <c r="G57" s="1021">
        <v>448589000</v>
      </c>
      <c r="BC57" s="401">
        <v>0</v>
      </c>
      <c r="BD57" s="401">
        <v>0</v>
      </c>
      <c r="BE57" s="401">
        <v>0</v>
      </c>
      <c r="BF57" s="401">
        <v>27998736</v>
      </c>
      <c r="BG57" s="401">
        <v>0</v>
      </c>
      <c r="BH57" s="401">
        <v>0</v>
      </c>
      <c r="BI57" s="401">
        <v>0</v>
      </c>
      <c r="BJ57" s="401">
        <v>0</v>
      </c>
      <c r="BK57" s="401">
        <v>0</v>
      </c>
      <c r="BL57" s="401">
        <v>8028086</v>
      </c>
      <c r="BM57" s="401">
        <v>0</v>
      </c>
      <c r="BN57" s="401">
        <v>0</v>
      </c>
      <c r="BO57" s="401">
        <v>0</v>
      </c>
      <c r="BP57" s="401">
        <v>0</v>
      </c>
      <c r="BQ57" s="401">
        <v>0</v>
      </c>
      <c r="BR57" s="401">
        <v>0</v>
      </c>
      <c r="BS57" s="401">
        <v>0</v>
      </c>
      <c r="BT57" s="401">
        <v>0</v>
      </c>
      <c r="BU57" s="401">
        <v>0</v>
      </c>
      <c r="BV57" s="401">
        <v>0</v>
      </c>
      <c r="BW57" s="401">
        <v>0</v>
      </c>
      <c r="BX57" s="401">
        <v>0</v>
      </c>
      <c r="BY57" s="401">
        <v>0</v>
      </c>
      <c r="BZ57" s="401">
        <v>0</v>
      </c>
      <c r="CA57" s="401">
        <v>0</v>
      </c>
      <c r="CB57" s="401">
        <v>0</v>
      </c>
    </row>
    <row r="58" spans="1:80" s="401" customFormat="1" x14ac:dyDescent="0.3">
      <c r="A58" s="1014">
        <v>98</v>
      </c>
      <c r="B58" s="1014">
        <v>98</v>
      </c>
      <c r="C58" s="1018">
        <v>98</v>
      </c>
      <c r="D58" s="1019" t="s">
        <v>1606</v>
      </c>
      <c r="E58" s="1020" t="s">
        <v>1682</v>
      </c>
      <c r="F58" s="1021">
        <v>9215000</v>
      </c>
      <c r="G58" s="1021">
        <v>37648000</v>
      </c>
      <c r="BC58" s="401">
        <v>0</v>
      </c>
      <c r="BD58" s="401">
        <v>0</v>
      </c>
      <c r="BE58" s="401">
        <v>0</v>
      </c>
      <c r="BF58" s="401">
        <v>6030</v>
      </c>
      <c r="BG58" s="401">
        <v>0</v>
      </c>
      <c r="BH58" s="401">
        <v>0</v>
      </c>
      <c r="BI58" s="401">
        <v>0</v>
      </c>
      <c r="BJ58" s="401">
        <v>0</v>
      </c>
      <c r="BK58" s="401">
        <v>0</v>
      </c>
      <c r="BL58" s="401">
        <v>0</v>
      </c>
      <c r="BM58" s="401">
        <v>0</v>
      </c>
      <c r="BN58" s="401">
        <v>0</v>
      </c>
      <c r="BO58" s="401">
        <v>0</v>
      </c>
      <c r="BP58" s="401">
        <v>0</v>
      </c>
      <c r="BQ58" s="401">
        <v>0</v>
      </c>
      <c r="BR58" s="401">
        <v>0</v>
      </c>
      <c r="BS58" s="401">
        <v>0</v>
      </c>
      <c r="BT58" s="401">
        <v>0</v>
      </c>
      <c r="BU58" s="401">
        <v>0</v>
      </c>
      <c r="BV58" s="401">
        <v>0</v>
      </c>
      <c r="BW58" s="401">
        <v>0</v>
      </c>
      <c r="BX58" s="401">
        <v>0</v>
      </c>
      <c r="BY58" s="401">
        <v>0</v>
      </c>
      <c r="BZ58" s="401">
        <v>0</v>
      </c>
      <c r="CA58" s="401">
        <v>0</v>
      </c>
      <c r="CB58" s="401">
        <v>0</v>
      </c>
    </row>
    <row r="59" spans="1:80" s="401" customFormat="1" x14ac:dyDescent="0.3">
      <c r="A59" s="1014">
        <v>99</v>
      </c>
      <c r="B59" s="1014">
        <v>99</v>
      </c>
      <c r="C59" s="1018">
        <v>99</v>
      </c>
      <c r="D59" s="1019" t="s">
        <v>1607</v>
      </c>
      <c r="E59" s="1020">
        <v>19064648</v>
      </c>
      <c r="F59" s="1021">
        <v>394389000</v>
      </c>
      <c r="G59" s="1021">
        <v>63348000</v>
      </c>
      <c r="BC59" s="401">
        <v>0</v>
      </c>
      <c r="BD59" s="401">
        <v>0</v>
      </c>
      <c r="BE59" s="401">
        <v>0</v>
      </c>
      <c r="BF59" s="401">
        <v>0</v>
      </c>
      <c r="BG59" s="401">
        <v>0</v>
      </c>
      <c r="BH59" s="401">
        <v>0</v>
      </c>
      <c r="BI59" s="401">
        <v>0</v>
      </c>
      <c r="BJ59" s="401">
        <v>0</v>
      </c>
      <c r="BK59" s="401">
        <v>0</v>
      </c>
      <c r="BL59" s="401">
        <v>6932994</v>
      </c>
      <c r="BM59" s="401">
        <v>0</v>
      </c>
      <c r="BN59" s="401">
        <v>0</v>
      </c>
      <c r="BO59" s="401">
        <v>0</v>
      </c>
      <c r="BP59" s="401">
        <v>0</v>
      </c>
      <c r="BQ59" s="401">
        <v>0</v>
      </c>
      <c r="BR59" s="401">
        <v>0</v>
      </c>
      <c r="BS59" s="401">
        <v>0</v>
      </c>
      <c r="BT59" s="401">
        <v>0</v>
      </c>
      <c r="BU59" s="401">
        <v>0</v>
      </c>
      <c r="BV59" s="401">
        <v>0</v>
      </c>
      <c r="BW59" s="401">
        <v>0</v>
      </c>
      <c r="BX59" s="401">
        <v>0</v>
      </c>
      <c r="BY59" s="401">
        <v>0</v>
      </c>
      <c r="BZ59" s="401">
        <v>0</v>
      </c>
      <c r="CA59" s="401">
        <v>0</v>
      </c>
      <c r="CB59" s="401">
        <v>0</v>
      </c>
    </row>
    <row r="60" spans="1:80" s="401" customFormat="1" x14ac:dyDescent="0.3">
      <c r="A60" s="1014">
        <v>100</v>
      </c>
      <c r="B60" s="1014">
        <v>100</v>
      </c>
      <c r="C60" s="1018">
        <v>100</v>
      </c>
      <c r="D60" s="1019" t="s">
        <v>1608</v>
      </c>
      <c r="E60" s="1020" t="s">
        <v>1682</v>
      </c>
      <c r="F60" s="1021">
        <v>41100000</v>
      </c>
      <c r="G60" s="1021">
        <v>41410000</v>
      </c>
      <c r="BC60" s="401">
        <v>0</v>
      </c>
      <c r="BD60" s="401">
        <v>0</v>
      </c>
      <c r="BE60" s="401">
        <v>0</v>
      </c>
      <c r="BF60" s="401">
        <v>91132</v>
      </c>
      <c r="BG60" s="401">
        <v>0</v>
      </c>
      <c r="BH60" s="401">
        <v>0</v>
      </c>
      <c r="BI60" s="401">
        <v>0</v>
      </c>
      <c r="BJ60" s="401">
        <v>0</v>
      </c>
      <c r="BK60" s="401">
        <v>0</v>
      </c>
      <c r="BL60" s="401">
        <v>0</v>
      </c>
      <c r="BM60" s="401">
        <v>0</v>
      </c>
      <c r="BN60" s="401">
        <v>0</v>
      </c>
      <c r="BO60" s="401">
        <v>0</v>
      </c>
      <c r="BP60" s="401">
        <v>0</v>
      </c>
      <c r="BQ60" s="401">
        <v>0</v>
      </c>
      <c r="BR60" s="401">
        <v>0</v>
      </c>
      <c r="BS60" s="401">
        <v>0</v>
      </c>
      <c r="BT60" s="401">
        <v>0</v>
      </c>
      <c r="BU60" s="401">
        <v>0</v>
      </c>
      <c r="BV60" s="401">
        <v>0</v>
      </c>
      <c r="BW60" s="401">
        <v>0</v>
      </c>
      <c r="BX60" s="401">
        <v>0</v>
      </c>
      <c r="BY60" s="401">
        <v>0</v>
      </c>
      <c r="BZ60" s="401">
        <v>0</v>
      </c>
      <c r="CA60" s="401">
        <v>0</v>
      </c>
      <c r="CB60" s="401">
        <v>0</v>
      </c>
    </row>
    <row r="61" spans="1:80" s="401" customFormat="1" x14ac:dyDescent="0.3">
      <c r="A61" s="1014">
        <v>101</v>
      </c>
      <c r="B61" s="1014">
        <v>101</v>
      </c>
      <c r="C61" s="1018">
        <v>101</v>
      </c>
      <c r="D61" s="1019" t="s">
        <v>1609</v>
      </c>
      <c r="E61" s="1020">
        <v>1383125</v>
      </c>
      <c r="F61" s="1021" t="s">
        <v>1683</v>
      </c>
      <c r="G61" s="1021">
        <v>72053000</v>
      </c>
      <c r="BC61" s="401">
        <v>0</v>
      </c>
      <c r="BD61" s="401">
        <v>0</v>
      </c>
      <c r="BE61" s="401">
        <v>0</v>
      </c>
      <c r="BF61" s="401">
        <v>2079992</v>
      </c>
      <c r="BG61" s="401">
        <v>0</v>
      </c>
      <c r="BH61" s="401">
        <v>0</v>
      </c>
      <c r="BI61" s="401">
        <v>0</v>
      </c>
      <c r="BJ61" s="401">
        <v>0</v>
      </c>
      <c r="BK61" s="401">
        <v>0</v>
      </c>
      <c r="BL61" s="401">
        <v>112950</v>
      </c>
      <c r="BM61" s="401">
        <v>0</v>
      </c>
      <c r="BN61" s="401">
        <v>0</v>
      </c>
      <c r="BO61" s="401">
        <v>0</v>
      </c>
      <c r="BP61" s="401">
        <v>0</v>
      </c>
      <c r="BQ61" s="401">
        <v>0</v>
      </c>
      <c r="BR61" s="401">
        <v>0</v>
      </c>
      <c r="BS61" s="401">
        <v>0</v>
      </c>
      <c r="BT61" s="401">
        <v>0</v>
      </c>
      <c r="BU61" s="401">
        <v>0</v>
      </c>
      <c r="BV61" s="401">
        <v>0</v>
      </c>
      <c r="BW61" s="401">
        <v>0</v>
      </c>
      <c r="BX61" s="401">
        <v>0</v>
      </c>
      <c r="BY61" s="401">
        <v>0</v>
      </c>
      <c r="BZ61" s="401">
        <v>0</v>
      </c>
      <c r="CA61" s="401">
        <v>0</v>
      </c>
      <c r="CB61" s="401">
        <v>0</v>
      </c>
    </row>
    <row r="62" spans="1:80" s="403" customFormat="1" x14ac:dyDescent="0.3">
      <c r="A62" s="1014">
        <v>102</v>
      </c>
      <c r="B62" s="1014"/>
      <c r="C62" s="1018">
        <v>102</v>
      </c>
      <c r="D62" s="1019" t="s">
        <v>1610</v>
      </c>
      <c r="E62" s="1020" t="s">
        <v>1682</v>
      </c>
      <c r="F62" s="1021" t="s">
        <v>1683</v>
      </c>
      <c r="G62" s="1021" t="s">
        <v>1684</v>
      </c>
      <c r="BC62" s="403">
        <v>98.83</v>
      </c>
      <c r="BD62" s="403">
        <v>0</v>
      </c>
      <c r="BE62" s="403">
        <v>96.56</v>
      </c>
      <c r="BF62" s="403">
        <v>93.96</v>
      </c>
      <c r="BG62" s="403">
        <v>0</v>
      </c>
      <c r="BH62" s="403">
        <v>90.88</v>
      </c>
      <c r="BI62" s="403">
        <v>99.05</v>
      </c>
      <c r="BJ62" s="403">
        <v>97.3</v>
      </c>
      <c r="BK62" s="403">
        <v>0</v>
      </c>
      <c r="BL62" s="403">
        <v>99.75</v>
      </c>
      <c r="BM62" s="403">
        <v>98.69</v>
      </c>
      <c r="BN62" s="403">
        <v>0</v>
      </c>
      <c r="BO62" s="403">
        <v>98.85</v>
      </c>
      <c r="BP62" s="403">
        <v>96.74</v>
      </c>
      <c r="BQ62" s="403">
        <v>96.88</v>
      </c>
      <c r="BR62" s="403">
        <v>98.5</v>
      </c>
      <c r="BS62" s="403">
        <v>99.56</v>
      </c>
      <c r="BT62" s="403">
        <v>99.04</v>
      </c>
      <c r="BU62" s="403">
        <v>83.82</v>
      </c>
      <c r="BV62" s="403">
        <v>99.18</v>
      </c>
      <c r="BW62" s="403">
        <v>94.07</v>
      </c>
      <c r="BX62" s="403">
        <v>99.38</v>
      </c>
      <c r="BY62" s="403">
        <v>95.03</v>
      </c>
      <c r="BZ62" s="403">
        <v>97.44</v>
      </c>
      <c r="CA62" s="403">
        <v>99.67</v>
      </c>
      <c r="CB62" s="403">
        <v>88.75</v>
      </c>
    </row>
    <row r="63" spans="1:80" s="403" customFormat="1" x14ac:dyDescent="0.3">
      <c r="A63" s="1014">
        <v>103</v>
      </c>
      <c r="B63" s="1014"/>
      <c r="C63" s="1018">
        <v>103</v>
      </c>
      <c r="D63" s="1019" t="s">
        <v>1611</v>
      </c>
      <c r="E63" s="1020" t="s">
        <v>1682</v>
      </c>
      <c r="F63" s="1021" t="s">
        <v>1683</v>
      </c>
      <c r="G63" s="1021" t="s">
        <v>1684</v>
      </c>
      <c r="BC63" s="403">
        <v>100</v>
      </c>
      <c r="BD63" s="403">
        <v>0</v>
      </c>
      <c r="BE63" s="403">
        <v>100</v>
      </c>
      <c r="BF63" s="403">
        <v>100</v>
      </c>
      <c r="BG63" s="403">
        <v>0</v>
      </c>
      <c r="BH63" s="403">
        <v>100</v>
      </c>
      <c r="BI63" s="403">
        <v>100</v>
      </c>
      <c r="BJ63" s="403">
        <v>98.79</v>
      </c>
      <c r="BK63" s="403">
        <v>0</v>
      </c>
      <c r="BL63" s="403">
        <v>100</v>
      </c>
      <c r="BM63" s="403">
        <v>100</v>
      </c>
      <c r="BN63" s="403">
        <v>0</v>
      </c>
      <c r="BO63" s="403">
        <v>100</v>
      </c>
      <c r="BP63" s="403">
        <v>100</v>
      </c>
      <c r="BQ63" s="403">
        <v>100</v>
      </c>
      <c r="BR63" s="403">
        <v>100</v>
      </c>
      <c r="BS63" s="403">
        <v>100</v>
      </c>
      <c r="BT63" s="403">
        <v>100</v>
      </c>
      <c r="BU63" s="403">
        <v>99.17</v>
      </c>
      <c r="BV63" s="403">
        <v>100</v>
      </c>
      <c r="BW63" s="403">
        <v>100</v>
      </c>
      <c r="BX63" s="403">
        <v>100</v>
      </c>
      <c r="BY63" s="403">
        <v>100</v>
      </c>
      <c r="BZ63" s="403">
        <v>100</v>
      </c>
      <c r="CA63" s="403">
        <v>99.61</v>
      </c>
      <c r="CB63" s="403">
        <v>100</v>
      </c>
    </row>
    <row r="64" spans="1:80" s="401" customFormat="1" x14ac:dyDescent="0.3">
      <c r="A64" s="1014">
        <v>104</v>
      </c>
      <c r="B64" s="1014"/>
      <c r="C64" s="1018">
        <v>104</v>
      </c>
      <c r="D64" s="1024" t="s">
        <v>364</v>
      </c>
      <c r="E64" s="1020" t="s">
        <v>1682</v>
      </c>
      <c r="F64" s="1021" t="s">
        <v>1683</v>
      </c>
      <c r="G64" s="1021" t="s">
        <v>1684</v>
      </c>
    </row>
    <row r="65" spans="1:80" s="401" customFormat="1" x14ac:dyDescent="0.3">
      <c r="A65" s="1014">
        <v>107</v>
      </c>
      <c r="B65" s="1014"/>
      <c r="C65" s="1018">
        <v>107</v>
      </c>
      <c r="D65" s="1024" t="s">
        <v>596</v>
      </c>
      <c r="E65" s="1020" t="s">
        <v>1682</v>
      </c>
      <c r="F65" s="1021" t="s">
        <v>1683</v>
      </c>
      <c r="G65" s="1021" t="s">
        <v>1684</v>
      </c>
    </row>
    <row r="66" spans="1:80" s="401" customFormat="1" ht="26.4" x14ac:dyDescent="0.3">
      <c r="A66" s="1014">
        <v>108</v>
      </c>
      <c r="B66" s="1014"/>
      <c r="C66" s="1018">
        <v>108</v>
      </c>
      <c r="D66" s="1024" t="s">
        <v>597</v>
      </c>
      <c r="E66" s="1020" t="s">
        <v>1682</v>
      </c>
      <c r="F66" s="1021" t="s">
        <v>1683</v>
      </c>
      <c r="G66" s="1021" t="s">
        <v>1684</v>
      </c>
    </row>
    <row r="67" spans="1:80" s="401" customFormat="1" x14ac:dyDescent="0.3">
      <c r="A67" s="1014">
        <v>147</v>
      </c>
      <c r="B67" s="1014"/>
      <c r="C67" s="1018">
        <v>147</v>
      </c>
      <c r="D67" s="1024" t="s">
        <v>368</v>
      </c>
      <c r="E67" s="1020" t="s">
        <v>1682</v>
      </c>
      <c r="F67" s="1021" t="s">
        <v>1683</v>
      </c>
      <c r="G67" s="1021" t="s">
        <v>1684</v>
      </c>
    </row>
    <row r="68" spans="1:80" s="401" customFormat="1" ht="26.4" x14ac:dyDescent="0.3">
      <c r="A68" s="1014">
        <v>148</v>
      </c>
      <c r="B68" s="1014"/>
      <c r="C68" s="1018">
        <v>148</v>
      </c>
      <c r="D68" s="1024" t="s">
        <v>370</v>
      </c>
      <c r="E68" s="1020" t="s">
        <v>1682</v>
      </c>
      <c r="F68" s="1021" t="s">
        <v>1683</v>
      </c>
      <c r="G68" s="1021" t="s">
        <v>1684</v>
      </c>
    </row>
    <row r="69" spans="1:80" s="401" customFormat="1" ht="26.4" x14ac:dyDescent="0.3">
      <c r="A69" s="1014">
        <v>149</v>
      </c>
      <c r="B69" s="1014"/>
      <c r="C69" s="1018">
        <v>149</v>
      </c>
      <c r="D69" s="1024" t="s">
        <v>372</v>
      </c>
      <c r="E69" s="1020" t="s">
        <v>1682</v>
      </c>
      <c r="F69" s="1021" t="s">
        <v>1683</v>
      </c>
      <c r="G69" s="1021" t="s">
        <v>1684</v>
      </c>
    </row>
    <row r="70" spans="1:80" s="401" customFormat="1" ht="26.4" x14ac:dyDescent="0.3">
      <c r="A70" s="1014">
        <v>150</v>
      </c>
      <c r="B70" s="1014"/>
      <c r="C70" s="1018">
        <v>150</v>
      </c>
      <c r="D70" s="1024" t="s">
        <v>374</v>
      </c>
      <c r="E70" s="1020" t="s">
        <v>1682</v>
      </c>
      <c r="F70" s="1021" t="s">
        <v>1683</v>
      </c>
      <c r="G70" s="1021" t="s">
        <v>1684</v>
      </c>
    </row>
    <row r="71" spans="1:80" s="401" customFormat="1" ht="28.8" x14ac:dyDescent="0.3">
      <c r="A71" s="1014">
        <v>171</v>
      </c>
      <c r="B71" s="1014"/>
      <c r="C71" s="1018">
        <v>171</v>
      </c>
      <c r="D71" s="1019" t="s">
        <v>1612</v>
      </c>
      <c r="E71" s="1020" t="s">
        <v>1682</v>
      </c>
      <c r="F71" s="1021" t="s">
        <v>1683</v>
      </c>
      <c r="G71" s="1021" t="s">
        <v>1684</v>
      </c>
      <c r="BC71" s="401">
        <v>60429</v>
      </c>
      <c r="BD71" s="401">
        <v>0</v>
      </c>
      <c r="BE71" s="401">
        <v>0</v>
      </c>
      <c r="BF71" s="401">
        <v>1539320</v>
      </c>
      <c r="BG71" s="401">
        <v>0</v>
      </c>
      <c r="BH71" s="401">
        <v>0</v>
      </c>
      <c r="BI71" s="401">
        <v>23467</v>
      </c>
      <c r="BJ71" s="401">
        <v>61184</v>
      </c>
      <c r="BK71" s="401">
        <v>0</v>
      </c>
      <c r="BL71" s="401">
        <v>297196</v>
      </c>
      <c r="BM71" s="401">
        <v>0</v>
      </c>
      <c r="BN71" s="401">
        <v>0</v>
      </c>
      <c r="BO71" s="401">
        <v>220529</v>
      </c>
      <c r="BP71" s="401">
        <v>0</v>
      </c>
      <c r="BQ71" s="401">
        <v>12288</v>
      </c>
      <c r="BR71" s="401">
        <v>0</v>
      </c>
      <c r="BS71" s="401">
        <v>0</v>
      </c>
      <c r="BT71" s="401">
        <v>1268956</v>
      </c>
      <c r="BU71" s="401">
        <v>59295</v>
      </c>
      <c r="BV71" s="401">
        <v>76999</v>
      </c>
      <c r="BW71" s="401">
        <v>82104</v>
      </c>
      <c r="BX71" s="401">
        <v>0</v>
      </c>
      <c r="BY71" s="401">
        <v>0</v>
      </c>
      <c r="BZ71" s="401">
        <v>0</v>
      </c>
      <c r="CA71" s="401">
        <v>1536937</v>
      </c>
      <c r="CB71" s="401">
        <v>4956</v>
      </c>
    </row>
    <row r="72" spans="1:80" s="401" customFormat="1" x14ac:dyDescent="0.3">
      <c r="A72" s="1014">
        <v>191</v>
      </c>
      <c r="B72" s="1014"/>
      <c r="C72" s="1018">
        <v>191</v>
      </c>
      <c r="D72" s="1019" t="s">
        <v>1613</v>
      </c>
      <c r="E72" s="1020" t="s">
        <v>1682</v>
      </c>
      <c r="F72" s="1021" t="s">
        <v>1683</v>
      </c>
      <c r="G72" s="1021" t="s">
        <v>1684</v>
      </c>
      <c r="BC72" s="401">
        <v>46795</v>
      </c>
      <c r="BD72" s="401">
        <v>0</v>
      </c>
      <c r="BE72" s="401">
        <v>0</v>
      </c>
      <c r="BF72" s="401">
        <v>0</v>
      </c>
      <c r="BG72" s="401">
        <v>0</v>
      </c>
      <c r="BH72" s="401">
        <v>0</v>
      </c>
      <c r="BI72" s="401">
        <v>207600</v>
      </c>
      <c r="BJ72" s="401">
        <v>0</v>
      </c>
      <c r="BK72" s="401">
        <v>0</v>
      </c>
      <c r="BL72" s="401">
        <v>10149</v>
      </c>
      <c r="BM72" s="401">
        <v>0</v>
      </c>
      <c r="BN72" s="401">
        <v>0</v>
      </c>
      <c r="BO72" s="401">
        <v>12317</v>
      </c>
      <c r="BP72" s="401">
        <v>165124</v>
      </c>
      <c r="BQ72" s="401">
        <v>0</v>
      </c>
      <c r="BR72" s="401">
        <v>0</v>
      </c>
      <c r="BS72" s="401">
        <v>0</v>
      </c>
      <c r="BT72" s="401">
        <v>0</v>
      </c>
      <c r="BU72" s="401">
        <v>71976</v>
      </c>
      <c r="BV72" s="401">
        <v>0</v>
      </c>
      <c r="BW72" s="401">
        <v>806402</v>
      </c>
      <c r="BX72" s="401">
        <v>13400</v>
      </c>
      <c r="BY72" s="401">
        <v>0</v>
      </c>
      <c r="BZ72" s="401">
        <v>0</v>
      </c>
      <c r="CA72" s="401">
        <v>5400880</v>
      </c>
      <c r="CB72" s="401">
        <v>0</v>
      </c>
    </row>
    <row r="73" spans="1:80" s="401" customFormat="1" x14ac:dyDescent="0.3">
      <c r="A73" s="1014">
        <v>192</v>
      </c>
      <c r="B73" s="1014">
        <v>192</v>
      </c>
      <c r="C73" s="1018">
        <v>192</v>
      </c>
      <c r="D73" s="1019" t="s">
        <v>1614</v>
      </c>
      <c r="E73" s="1020" t="s">
        <v>1682</v>
      </c>
      <c r="F73" s="1021" t="s">
        <v>1683</v>
      </c>
      <c r="G73" s="1021" t="s">
        <v>1684</v>
      </c>
      <c r="BC73" s="401">
        <v>0</v>
      </c>
      <c r="BD73" s="401">
        <v>0</v>
      </c>
      <c r="BE73" s="401">
        <v>0</v>
      </c>
      <c r="BF73" s="401">
        <v>0</v>
      </c>
      <c r="BG73" s="401">
        <v>0</v>
      </c>
      <c r="BH73" s="401">
        <v>0</v>
      </c>
      <c r="BI73" s="401">
        <v>0</v>
      </c>
      <c r="BJ73" s="401">
        <v>0</v>
      </c>
      <c r="BK73" s="401">
        <v>0</v>
      </c>
      <c r="BL73" s="401">
        <v>20620</v>
      </c>
      <c r="BM73" s="401">
        <v>0</v>
      </c>
      <c r="BN73" s="401">
        <v>0</v>
      </c>
      <c r="BO73" s="401">
        <v>0</v>
      </c>
      <c r="BP73" s="401">
        <v>0</v>
      </c>
      <c r="BQ73" s="401">
        <v>0</v>
      </c>
      <c r="BR73" s="401">
        <v>0</v>
      </c>
      <c r="BS73" s="401">
        <v>0</v>
      </c>
      <c r="BT73" s="401">
        <v>0</v>
      </c>
      <c r="BU73" s="401">
        <v>0</v>
      </c>
      <c r="BV73" s="401">
        <v>0</v>
      </c>
      <c r="BW73" s="401">
        <v>0</v>
      </c>
      <c r="BX73" s="401">
        <v>0</v>
      </c>
      <c r="BY73" s="401">
        <v>0</v>
      </c>
      <c r="BZ73" s="401">
        <v>0</v>
      </c>
      <c r="CA73" s="401">
        <v>0</v>
      </c>
      <c r="CB73" s="401">
        <v>0</v>
      </c>
    </row>
    <row r="74" spans="1:80" s="401" customFormat="1" ht="28.8" x14ac:dyDescent="0.3">
      <c r="A74" s="1014">
        <v>193</v>
      </c>
      <c r="B74" s="1014"/>
      <c r="C74" s="1018">
        <v>193</v>
      </c>
      <c r="D74" s="1023" t="s">
        <v>379</v>
      </c>
      <c r="E74" s="1020" t="s">
        <v>1682</v>
      </c>
      <c r="F74" s="1021" t="s">
        <v>1683</v>
      </c>
      <c r="G74" s="1021" t="s">
        <v>1684</v>
      </c>
    </row>
    <row r="75" spans="1:80" s="401" customFormat="1" x14ac:dyDescent="0.3">
      <c r="A75" s="1014">
        <v>194</v>
      </c>
      <c r="B75" s="1014"/>
      <c r="C75" s="1018">
        <v>194</v>
      </c>
      <c r="D75" s="1024" t="s">
        <v>381</v>
      </c>
      <c r="E75" s="1020" t="s">
        <v>1682</v>
      </c>
      <c r="F75" s="1021" t="s">
        <v>1683</v>
      </c>
      <c r="G75" s="1021" t="s">
        <v>1684</v>
      </c>
    </row>
    <row r="76" spans="1:80" s="401" customFormat="1" ht="28.8" x14ac:dyDescent="0.3">
      <c r="A76" s="1014">
        <v>231</v>
      </c>
      <c r="B76" s="1014"/>
      <c r="C76" s="1018">
        <v>231</v>
      </c>
      <c r="D76" s="1019" t="s">
        <v>383</v>
      </c>
      <c r="E76" s="1020" t="s">
        <v>1682</v>
      </c>
      <c r="F76" s="1021" t="s">
        <v>1683</v>
      </c>
      <c r="G76" s="1021" t="s">
        <v>1684</v>
      </c>
    </row>
    <row r="77" spans="1:80" s="401" customFormat="1" ht="28.8" x14ac:dyDescent="0.3">
      <c r="A77" s="1014">
        <v>251</v>
      </c>
      <c r="B77" s="1014"/>
      <c r="C77" s="1018">
        <v>251</v>
      </c>
      <c r="D77" s="1019" t="s">
        <v>385</v>
      </c>
      <c r="E77" s="1020" t="s">
        <v>1682</v>
      </c>
      <c r="F77" s="1021" t="s">
        <v>1683</v>
      </c>
      <c r="G77" s="1021" t="s">
        <v>1684</v>
      </c>
    </row>
    <row r="78" spans="1:80" s="401" customFormat="1" x14ac:dyDescent="0.3">
      <c r="A78" s="1014">
        <v>252</v>
      </c>
      <c r="B78" s="1014"/>
      <c r="C78" s="1018">
        <v>252</v>
      </c>
      <c r="D78" s="1019" t="s">
        <v>103</v>
      </c>
      <c r="E78" s="1020" t="s">
        <v>1682</v>
      </c>
      <c r="F78" s="1021" t="s">
        <v>1683</v>
      </c>
      <c r="G78" s="1021" t="s">
        <v>1684</v>
      </c>
      <c r="BC78" s="401">
        <v>1274516</v>
      </c>
      <c r="BD78" s="401">
        <v>0</v>
      </c>
      <c r="BE78" s="401">
        <v>18401</v>
      </c>
      <c r="BF78" s="401">
        <v>25936691</v>
      </c>
      <c r="BG78" s="401">
        <v>0</v>
      </c>
      <c r="BH78" s="401">
        <v>51249</v>
      </c>
      <c r="BI78" s="401">
        <v>2011472</v>
      </c>
      <c r="BJ78" s="401">
        <v>7591841</v>
      </c>
      <c r="BK78" s="401">
        <v>0</v>
      </c>
      <c r="BL78" s="401">
        <v>8774417</v>
      </c>
      <c r="BM78" s="401">
        <v>7330548</v>
      </c>
      <c r="BN78" s="401">
        <v>47440</v>
      </c>
      <c r="BO78" s="401">
        <v>7995695</v>
      </c>
      <c r="BP78" s="401">
        <v>4068031</v>
      </c>
      <c r="BQ78" s="401">
        <v>565322</v>
      </c>
      <c r="BR78" s="401">
        <v>1432425</v>
      </c>
      <c r="BS78" s="401">
        <v>8650791</v>
      </c>
      <c r="BT78" s="401">
        <v>251567133</v>
      </c>
      <c r="BU78" s="401">
        <v>1696284</v>
      </c>
      <c r="BV78" s="401">
        <v>2536762</v>
      </c>
      <c r="BW78" s="401">
        <v>884660</v>
      </c>
      <c r="BX78" s="401">
        <v>3420578</v>
      </c>
      <c r="BY78" s="401">
        <v>7793</v>
      </c>
      <c r="BZ78" s="401">
        <v>5739</v>
      </c>
      <c r="CA78" s="401">
        <v>48932506</v>
      </c>
      <c r="CB78" s="401">
        <v>198855</v>
      </c>
    </row>
    <row r="79" spans="1:80" s="401" customFormat="1" x14ac:dyDescent="0.3">
      <c r="A79" s="1014">
        <v>253</v>
      </c>
      <c r="B79" s="1014"/>
      <c r="C79" s="1018">
        <v>253</v>
      </c>
      <c r="D79" s="1019" t="s">
        <v>104</v>
      </c>
      <c r="E79" s="1020" t="s">
        <v>1682</v>
      </c>
      <c r="F79" s="1021" t="s">
        <v>1683</v>
      </c>
      <c r="G79" s="1021" t="s">
        <v>1684</v>
      </c>
      <c r="BC79" s="401">
        <v>662337</v>
      </c>
      <c r="BD79" s="401">
        <v>0</v>
      </c>
      <c r="BE79" s="401">
        <v>15860</v>
      </c>
      <c r="BF79" s="401">
        <v>3213489</v>
      </c>
      <c r="BG79" s="401">
        <v>0</v>
      </c>
      <c r="BH79" s="401">
        <v>29512</v>
      </c>
      <c r="BI79" s="401">
        <v>445952</v>
      </c>
      <c r="BJ79" s="401">
        <v>453580</v>
      </c>
      <c r="BK79" s="401">
        <v>0</v>
      </c>
      <c r="BL79" s="401">
        <v>952637</v>
      </c>
      <c r="BM79" s="401">
        <v>432469</v>
      </c>
      <c r="BN79" s="401">
        <v>5800</v>
      </c>
      <c r="BO79" s="401">
        <v>1529703</v>
      </c>
      <c r="BP79" s="401">
        <v>343060</v>
      </c>
      <c r="BQ79" s="401">
        <v>226345</v>
      </c>
      <c r="BR79" s="401">
        <v>506246</v>
      </c>
      <c r="BS79" s="401">
        <v>79976</v>
      </c>
      <c r="BT79" s="401">
        <v>7149641</v>
      </c>
      <c r="BU79" s="401">
        <v>333682</v>
      </c>
      <c r="BV79" s="401">
        <v>456897</v>
      </c>
      <c r="BW79" s="401">
        <v>142338</v>
      </c>
      <c r="BX79" s="401">
        <v>553493</v>
      </c>
      <c r="BY79" s="401">
        <v>21475</v>
      </c>
      <c r="BZ79" s="401">
        <v>23979</v>
      </c>
      <c r="CA79" s="401">
        <v>2535935</v>
      </c>
      <c r="CB79" s="401">
        <v>8569</v>
      </c>
    </row>
    <row r="80" spans="1:80" s="401" customFormat="1" x14ac:dyDescent="0.3">
      <c r="A80" s="1014">
        <v>254</v>
      </c>
      <c r="B80" s="1014"/>
      <c r="C80" s="1018">
        <v>254</v>
      </c>
      <c r="D80" s="1019" t="s">
        <v>105</v>
      </c>
      <c r="E80" s="1020" t="s">
        <v>1682</v>
      </c>
      <c r="F80" s="1021" t="s">
        <v>1683</v>
      </c>
      <c r="G80" s="1021" t="s">
        <v>1684</v>
      </c>
      <c r="BC80" s="401">
        <v>673131</v>
      </c>
      <c r="BD80" s="401">
        <v>0</v>
      </c>
      <c r="BE80" s="401">
        <v>384872</v>
      </c>
      <c r="BF80" s="401">
        <v>-30208987</v>
      </c>
      <c r="BG80" s="401">
        <v>0</v>
      </c>
      <c r="BH80" s="401">
        <v>153727</v>
      </c>
      <c r="BI80" s="401">
        <v>-992453</v>
      </c>
      <c r="BJ80" s="401">
        <v>2494348</v>
      </c>
      <c r="BK80" s="401">
        <v>0</v>
      </c>
      <c r="BL80" s="401">
        <v>1783466</v>
      </c>
      <c r="BM80" s="401">
        <v>3652165</v>
      </c>
      <c r="BN80" s="401">
        <v>136189</v>
      </c>
      <c r="BO80" s="401">
        <v>1880575</v>
      </c>
      <c r="BP80" s="401">
        <v>3131400</v>
      </c>
      <c r="BQ80" s="401">
        <v>1361244</v>
      </c>
      <c r="BR80" s="401">
        <v>2141629</v>
      </c>
      <c r="BS80" s="401">
        <v>3002283</v>
      </c>
      <c r="BT80" s="401">
        <v>2926238</v>
      </c>
      <c r="BU80" s="401">
        <v>2327954</v>
      </c>
      <c r="BV80" s="401">
        <v>-1998234</v>
      </c>
      <c r="BW80" s="401">
        <v>549799</v>
      </c>
      <c r="BX80" s="401">
        <v>751260</v>
      </c>
      <c r="BY80" s="401">
        <v>165573</v>
      </c>
      <c r="BZ80" s="401">
        <v>193444</v>
      </c>
      <c r="CA80" s="401">
        <v>6215856</v>
      </c>
      <c r="CB80" s="401">
        <v>106377</v>
      </c>
    </row>
    <row r="81" spans="1:80" s="401" customFormat="1" x14ac:dyDescent="0.3">
      <c r="A81" s="1014">
        <v>255</v>
      </c>
      <c r="B81" s="1014"/>
      <c r="C81" s="1018">
        <v>255</v>
      </c>
      <c r="D81" s="1019" t="s">
        <v>1615</v>
      </c>
      <c r="E81" s="1020" t="s">
        <v>1682</v>
      </c>
      <c r="F81" s="1021" t="s">
        <v>1683</v>
      </c>
      <c r="G81" s="1021" t="s">
        <v>1684</v>
      </c>
      <c r="BC81" s="401">
        <v>40420</v>
      </c>
      <c r="BD81" s="401">
        <v>0</v>
      </c>
      <c r="BE81" s="401">
        <v>14439</v>
      </c>
      <c r="BF81" s="401">
        <v>-1010183</v>
      </c>
      <c r="BG81" s="401">
        <v>0</v>
      </c>
      <c r="BH81" s="401">
        <v>16715</v>
      </c>
      <c r="BI81" s="401">
        <v>-376516</v>
      </c>
      <c r="BJ81" s="401">
        <v>471463</v>
      </c>
      <c r="BK81" s="401">
        <v>0</v>
      </c>
      <c r="BL81" s="401">
        <v>87778</v>
      </c>
      <c r="BM81" s="401">
        <v>-133539</v>
      </c>
      <c r="BN81" s="401">
        <v>6387</v>
      </c>
      <c r="BO81" s="401">
        <v>-876725</v>
      </c>
      <c r="BP81" s="401">
        <v>258453</v>
      </c>
      <c r="BQ81" s="401">
        <v>-70937</v>
      </c>
      <c r="BR81" s="401">
        <v>1403235</v>
      </c>
      <c r="BS81" s="401">
        <v>5228882</v>
      </c>
      <c r="BT81" s="401">
        <v>-292047</v>
      </c>
      <c r="BU81" s="401">
        <v>-5973</v>
      </c>
      <c r="BV81" s="401">
        <v>211489</v>
      </c>
      <c r="BW81" s="401">
        <v>-25043</v>
      </c>
      <c r="BX81" s="401">
        <v>406106</v>
      </c>
      <c r="BY81" s="401">
        <v>8253</v>
      </c>
      <c r="BZ81" s="401">
        <v>6444</v>
      </c>
      <c r="CA81" s="401">
        <v>3971837</v>
      </c>
      <c r="CB81" s="401">
        <v>12487</v>
      </c>
    </row>
    <row r="82" spans="1:80" s="401" customFormat="1" x14ac:dyDescent="0.3">
      <c r="A82" s="1014">
        <v>274</v>
      </c>
      <c r="B82" s="1014"/>
      <c r="C82" s="1018">
        <v>274</v>
      </c>
      <c r="D82" s="1023" t="s">
        <v>391</v>
      </c>
      <c r="E82" s="1020" t="s">
        <v>1682</v>
      </c>
      <c r="F82" s="1021" t="s">
        <v>1683</v>
      </c>
      <c r="G82" s="1021" t="s">
        <v>1684</v>
      </c>
    </row>
    <row r="83" spans="1:80" s="401" customFormat="1" x14ac:dyDescent="0.3">
      <c r="A83" s="1014">
        <v>294</v>
      </c>
      <c r="B83" s="1014"/>
      <c r="C83" s="1018">
        <v>294</v>
      </c>
      <c r="D83" s="1024" t="s">
        <v>791</v>
      </c>
      <c r="E83" s="1020" t="s">
        <v>1682</v>
      </c>
      <c r="F83" s="1021" t="s">
        <v>1683</v>
      </c>
      <c r="G83" s="1021" t="s">
        <v>1684</v>
      </c>
    </row>
    <row r="84" spans="1:80" s="401" customFormat="1" ht="26.4" x14ac:dyDescent="0.3">
      <c r="A84" s="1014">
        <v>314</v>
      </c>
      <c r="B84" s="1014"/>
      <c r="C84" s="1018">
        <v>314</v>
      </c>
      <c r="D84" s="1024" t="s">
        <v>394</v>
      </c>
      <c r="E84" s="1020" t="s">
        <v>1682</v>
      </c>
      <c r="F84" s="1021" t="s">
        <v>1683</v>
      </c>
      <c r="G84" s="1021" t="s">
        <v>1684</v>
      </c>
    </row>
    <row r="85" spans="1:80" s="401" customFormat="1" ht="26.4" x14ac:dyDescent="0.3">
      <c r="A85" s="1014">
        <v>315</v>
      </c>
      <c r="B85" s="1014"/>
      <c r="C85" s="1018">
        <v>315</v>
      </c>
      <c r="D85" s="1024" t="s">
        <v>396</v>
      </c>
      <c r="E85" s="1020" t="s">
        <v>1682</v>
      </c>
      <c r="F85" s="1021" t="s">
        <v>1683</v>
      </c>
      <c r="G85" s="1021" t="s">
        <v>1684</v>
      </c>
    </row>
    <row r="86" spans="1:80" s="401" customFormat="1" ht="26.4" x14ac:dyDescent="0.3">
      <c r="A86" s="1014">
        <v>316</v>
      </c>
      <c r="B86" s="1014"/>
      <c r="C86" s="1018">
        <v>316</v>
      </c>
      <c r="D86" s="1024" t="s">
        <v>398</v>
      </c>
      <c r="E86" s="1020" t="s">
        <v>1682</v>
      </c>
      <c r="F86" s="1021" t="s">
        <v>1683</v>
      </c>
      <c r="G86" s="1021" t="s">
        <v>1684</v>
      </c>
    </row>
    <row r="87" spans="1:80" s="401" customFormat="1" x14ac:dyDescent="0.3">
      <c r="A87" s="1025">
        <v>320</v>
      </c>
      <c r="B87" s="1014"/>
      <c r="C87" s="1026">
        <v>320</v>
      </c>
      <c r="D87" s="1027" t="s">
        <v>1616</v>
      </c>
      <c r="E87" s="1028" t="s">
        <v>1682</v>
      </c>
      <c r="F87" s="1029" t="s">
        <v>1683</v>
      </c>
      <c r="G87" s="1029" t="s">
        <v>1684</v>
      </c>
    </row>
    <row r="88" spans="1:80" s="401" customFormat="1" x14ac:dyDescent="0.3">
      <c r="A88" s="1025">
        <v>321</v>
      </c>
      <c r="B88" s="1014"/>
      <c r="C88" s="1026">
        <v>321</v>
      </c>
      <c r="D88" s="1027" t="s">
        <v>1617</v>
      </c>
      <c r="E88" s="1028" t="s">
        <v>1682</v>
      </c>
      <c r="F88" s="1029" t="s">
        <v>1683</v>
      </c>
      <c r="G88" s="1029" t="s">
        <v>1684</v>
      </c>
    </row>
    <row r="89" spans="1:80" s="401" customFormat="1" ht="28.8" x14ac:dyDescent="0.3">
      <c r="A89" s="1025">
        <v>322</v>
      </c>
      <c r="B89" s="1014"/>
      <c r="C89" s="1026">
        <v>322</v>
      </c>
      <c r="D89" s="1027" t="s">
        <v>1618</v>
      </c>
      <c r="E89" s="1028" t="s">
        <v>1682</v>
      </c>
      <c r="F89" s="1029" t="s">
        <v>1683</v>
      </c>
      <c r="G89" s="1029" t="s">
        <v>1684</v>
      </c>
    </row>
    <row r="90" spans="1:80" s="401" customFormat="1" x14ac:dyDescent="0.3">
      <c r="A90" s="1025">
        <v>323</v>
      </c>
      <c r="B90" s="1014"/>
      <c r="C90" s="1026">
        <v>323</v>
      </c>
      <c r="D90" s="1027" t="s">
        <v>257</v>
      </c>
      <c r="E90" s="1028" t="s">
        <v>1682</v>
      </c>
      <c r="F90" s="1029" t="s">
        <v>1683</v>
      </c>
      <c r="G90" s="1029" t="s">
        <v>1684</v>
      </c>
    </row>
    <row r="91" spans="1:80" s="401" customFormat="1" x14ac:dyDescent="0.3">
      <c r="A91" s="1025">
        <v>324</v>
      </c>
      <c r="B91" s="1014"/>
      <c r="C91" s="1026">
        <v>324</v>
      </c>
      <c r="D91" s="1027" t="s">
        <v>1619</v>
      </c>
      <c r="E91" s="1028" t="s">
        <v>1682</v>
      </c>
      <c r="F91" s="1029" t="s">
        <v>1683</v>
      </c>
      <c r="G91" s="1029" t="s">
        <v>1684</v>
      </c>
    </row>
    <row r="92" spans="1:80" s="401" customFormat="1" x14ac:dyDescent="0.3">
      <c r="A92" s="1025">
        <v>325</v>
      </c>
      <c r="B92" s="1014"/>
      <c r="C92" s="1026">
        <v>325</v>
      </c>
      <c r="D92" s="1027" t="s">
        <v>1620</v>
      </c>
      <c r="E92" s="1028" t="s">
        <v>1682</v>
      </c>
      <c r="F92" s="1029" t="s">
        <v>1683</v>
      </c>
      <c r="G92" s="1029" t="s">
        <v>1684</v>
      </c>
    </row>
    <row r="93" spans="1:80" s="401" customFormat="1" x14ac:dyDescent="0.3">
      <c r="A93" s="1014">
        <v>326</v>
      </c>
      <c r="B93" s="1014"/>
      <c r="C93" s="1018">
        <v>326</v>
      </c>
      <c r="D93" s="1019">
        <v>0</v>
      </c>
      <c r="E93" s="1020" t="s">
        <v>1682</v>
      </c>
      <c r="F93" s="1021" t="s">
        <v>1683</v>
      </c>
      <c r="G93" s="1021" t="s">
        <v>1684</v>
      </c>
    </row>
    <row r="94" spans="1:80" s="401" customFormat="1" x14ac:dyDescent="0.3">
      <c r="A94" s="1014">
        <v>327</v>
      </c>
      <c r="B94" s="1014"/>
      <c r="C94" s="1018">
        <v>327</v>
      </c>
      <c r="D94" s="1019" t="s">
        <v>1621</v>
      </c>
      <c r="E94" s="1020" t="s">
        <v>1682</v>
      </c>
      <c r="F94" s="1021" t="s">
        <v>1683</v>
      </c>
      <c r="G94" s="1021" t="s">
        <v>1684</v>
      </c>
      <c r="BC94" s="401">
        <v>15000</v>
      </c>
      <c r="BD94" s="401">
        <v>0</v>
      </c>
      <c r="BE94" s="401">
        <v>0</v>
      </c>
      <c r="BF94" s="401">
        <v>741714</v>
      </c>
      <c r="BG94" s="401">
        <v>0</v>
      </c>
      <c r="BH94" s="401">
        <v>0</v>
      </c>
      <c r="BI94" s="401">
        <v>43326</v>
      </c>
      <c r="BJ94" s="401">
        <v>125250</v>
      </c>
      <c r="BK94" s="401">
        <v>0</v>
      </c>
      <c r="BL94" s="401">
        <v>186016</v>
      </c>
      <c r="BM94" s="401">
        <v>229735</v>
      </c>
      <c r="BN94" s="401">
        <v>0</v>
      </c>
      <c r="BO94" s="401">
        <v>101245</v>
      </c>
      <c r="BP94" s="401">
        <v>82273</v>
      </c>
      <c r="BQ94" s="401">
        <v>62472</v>
      </c>
      <c r="BR94" s="401">
        <v>25109</v>
      </c>
      <c r="BS94" s="401">
        <v>0</v>
      </c>
      <c r="BT94" s="401">
        <v>0</v>
      </c>
      <c r="BU94" s="401">
        <v>131166</v>
      </c>
      <c r="BV94" s="401">
        <v>111061</v>
      </c>
      <c r="BW94" s="401">
        <v>21500</v>
      </c>
      <c r="BX94" s="401">
        <v>0</v>
      </c>
      <c r="BY94" s="401">
        <v>0</v>
      </c>
      <c r="BZ94" s="401">
        <v>0</v>
      </c>
      <c r="CA94" s="401">
        <v>520198</v>
      </c>
      <c r="CB94" s="401">
        <v>0</v>
      </c>
    </row>
    <row r="95" spans="1:80" s="401" customFormat="1" x14ac:dyDescent="0.3">
      <c r="A95" s="1014">
        <v>328</v>
      </c>
      <c r="B95" s="1014"/>
      <c r="C95" s="1018">
        <v>328</v>
      </c>
      <c r="D95" s="1019" t="s">
        <v>1622</v>
      </c>
      <c r="E95" s="1020" t="s">
        <v>1682</v>
      </c>
      <c r="F95" s="1021" t="s">
        <v>1683</v>
      </c>
      <c r="G95" s="1021" t="s">
        <v>1684</v>
      </c>
      <c r="BC95" s="401">
        <v>35014</v>
      </c>
      <c r="BD95" s="401">
        <v>0</v>
      </c>
      <c r="BE95" s="401">
        <v>0</v>
      </c>
      <c r="BF95" s="401">
        <v>2091222</v>
      </c>
      <c r="BG95" s="401">
        <v>0</v>
      </c>
      <c r="BH95" s="401">
        <v>0</v>
      </c>
      <c r="BI95" s="401">
        <v>0</v>
      </c>
      <c r="BJ95" s="401">
        <v>22542</v>
      </c>
      <c r="BK95" s="401">
        <v>0</v>
      </c>
      <c r="BL95" s="401">
        <v>1066864</v>
      </c>
      <c r="BM95" s="401">
        <v>0</v>
      </c>
      <c r="BN95" s="401">
        <v>0</v>
      </c>
      <c r="BO95" s="401">
        <v>35710</v>
      </c>
      <c r="BP95" s="401">
        <v>838401</v>
      </c>
      <c r="BQ95" s="401">
        <v>0</v>
      </c>
      <c r="BR95" s="401">
        <v>592648</v>
      </c>
      <c r="BS95" s="401">
        <v>0</v>
      </c>
      <c r="BT95" s="401">
        <v>0</v>
      </c>
      <c r="BU95" s="401">
        <v>176833</v>
      </c>
      <c r="BV95" s="401">
        <v>402493</v>
      </c>
      <c r="BW95" s="401">
        <v>1512813</v>
      </c>
      <c r="BX95" s="401">
        <v>0</v>
      </c>
      <c r="BY95" s="401">
        <v>0</v>
      </c>
      <c r="BZ95" s="401">
        <v>0</v>
      </c>
      <c r="CA95" s="401">
        <v>357724</v>
      </c>
      <c r="CB95" s="401">
        <v>0</v>
      </c>
    </row>
    <row r="96" spans="1:80" s="401" customFormat="1" ht="28.8" x14ac:dyDescent="0.3">
      <c r="A96" s="1014">
        <v>330</v>
      </c>
      <c r="B96" s="1014"/>
      <c r="C96" s="1018">
        <v>330</v>
      </c>
      <c r="D96" s="1019" t="s">
        <v>598</v>
      </c>
      <c r="E96" s="1020" t="s">
        <v>1682</v>
      </c>
      <c r="F96" s="1021" t="s">
        <v>1683</v>
      </c>
      <c r="G96" s="1021" t="s">
        <v>1684</v>
      </c>
      <c r="BC96" s="401">
        <v>0</v>
      </c>
      <c r="BD96" s="401">
        <v>0</v>
      </c>
      <c r="BE96" s="401">
        <v>0</v>
      </c>
      <c r="BF96" s="401">
        <v>0</v>
      </c>
      <c r="BG96" s="401">
        <v>0</v>
      </c>
      <c r="BH96" s="401">
        <v>0</v>
      </c>
      <c r="BI96" s="401">
        <v>0</v>
      </c>
      <c r="BJ96" s="401">
        <v>0</v>
      </c>
      <c r="BK96" s="401">
        <v>0</v>
      </c>
      <c r="BL96" s="401">
        <v>0</v>
      </c>
      <c r="BM96" s="401">
        <v>0</v>
      </c>
      <c r="BN96" s="401">
        <v>0</v>
      </c>
      <c r="BO96" s="401">
        <v>0</v>
      </c>
      <c r="BP96" s="401">
        <v>0</v>
      </c>
      <c r="BQ96" s="401">
        <v>0</v>
      </c>
      <c r="BR96" s="401">
        <v>0</v>
      </c>
      <c r="BS96" s="401">
        <v>0</v>
      </c>
      <c r="BT96" s="401">
        <v>0</v>
      </c>
      <c r="BU96" s="401">
        <v>0</v>
      </c>
      <c r="BV96" s="401">
        <v>0</v>
      </c>
      <c r="BW96" s="401">
        <v>0</v>
      </c>
      <c r="BX96" s="401">
        <v>0</v>
      </c>
      <c r="BY96" s="401">
        <v>0</v>
      </c>
      <c r="BZ96" s="401">
        <v>0</v>
      </c>
      <c r="CA96" s="401">
        <v>0</v>
      </c>
      <c r="CB96" s="401">
        <v>0</v>
      </c>
    </row>
    <row r="97" spans="1:80" s="401" customFormat="1" x14ac:dyDescent="0.3">
      <c r="A97" s="1014">
        <v>331</v>
      </c>
      <c r="B97" s="1014"/>
      <c r="C97" s="1018">
        <v>331</v>
      </c>
      <c r="D97" s="1019" t="s">
        <v>1623</v>
      </c>
      <c r="E97" s="1020" t="s">
        <v>1682</v>
      </c>
      <c r="F97" s="1021" t="s">
        <v>1683</v>
      </c>
      <c r="G97" s="1021" t="s">
        <v>1684</v>
      </c>
      <c r="BC97" s="401">
        <v>72514</v>
      </c>
      <c r="BD97" s="401">
        <v>0</v>
      </c>
      <c r="BE97" s="401">
        <v>0</v>
      </c>
      <c r="BF97" s="401">
        <v>696226</v>
      </c>
      <c r="BG97" s="401">
        <v>0</v>
      </c>
      <c r="BH97" s="401">
        <v>0</v>
      </c>
      <c r="BI97" s="401">
        <v>267321</v>
      </c>
      <c r="BJ97" s="401">
        <v>162960</v>
      </c>
      <c r="BK97" s="401">
        <v>0</v>
      </c>
      <c r="BL97" s="401">
        <v>79013</v>
      </c>
      <c r="BM97" s="401">
        <v>36664</v>
      </c>
      <c r="BN97" s="401">
        <v>0</v>
      </c>
      <c r="BO97" s="401">
        <v>280980</v>
      </c>
      <c r="BP97" s="401">
        <v>88931</v>
      </c>
      <c r="BQ97" s="401">
        <v>11600</v>
      </c>
      <c r="BR97" s="401">
        <v>97188</v>
      </c>
      <c r="BS97" s="401">
        <v>0</v>
      </c>
      <c r="BT97" s="401">
        <v>0</v>
      </c>
      <c r="BU97" s="401">
        <v>32088</v>
      </c>
      <c r="BV97" s="401">
        <v>321659</v>
      </c>
      <c r="BW97" s="401">
        <v>12132</v>
      </c>
      <c r="BX97" s="401">
        <v>0</v>
      </c>
      <c r="BY97" s="401">
        <v>0</v>
      </c>
      <c r="BZ97" s="401">
        <v>0</v>
      </c>
      <c r="CA97" s="401">
        <v>751542</v>
      </c>
      <c r="CB97" s="401">
        <v>0</v>
      </c>
    </row>
    <row r="98" spans="1:80" s="401" customFormat="1" x14ac:dyDescent="0.3">
      <c r="A98" s="1014">
        <v>332</v>
      </c>
      <c r="B98" s="1014"/>
      <c r="C98" s="1018">
        <v>332</v>
      </c>
      <c r="D98" s="1019" t="s">
        <v>1624</v>
      </c>
      <c r="E98" s="1020" t="s">
        <v>1682</v>
      </c>
      <c r="F98" s="1021" t="s">
        <v>1683</v>
      </c>
      <c r="G98" s="1021" t="s">
        <v>1684</v>
      </c>
      <c r="BC98" s="401">
        <v>549776</v>
      </c>
      <c r="BD98" s="401">
        <v>0</v>
      </c>
      <c r="BE98" s="401">
        <v>0</v>
      </c>
      <c r="BF98" s="401">
        <v>2787164</v>
      </c>
      <c r="BG98" s="401">
        <v>0</v>
      </c>
      <c r="BH98" s="401">
        <v>0</v>
      </c>
      <c r="BI98" s="401">
        <v>120373</v>
      </c>
      <c r="BJ98" s="401">
        <v>61654</v>
      </c>
      <c r="BK98" s="401">
        <v>0</v>
      </c>
      <c r="BL98" s="401">
        <v>434230</v>
      </c>
      <c r="BM98" s="401">
        <v>87827</v>
      </c>
      <c r="BN98" s="401">
        <v>0</v>
      </c>
      <c r="BO98" s="401">
        <v>274395</v>
      </c>
      <c r="BP98" s="401">
        <v>251461</v>
      </c>
      <c r="BQ98" s="401">
        <v>2975</v>
      </c>
      <c r="BR98" s="401">
        <v>506613</v>
      </c>
      <c r="BS98" s="401">
        <v>0</v>
      </c>
      <c r="BT98" s="401">
        <v>0</v>
      </c>
      <c r="BU98" s="401">
        <v>71976</v>
      </c>
      <c r="BV98" s="401">
        <v>331847</v>
      </c>
      <c r="BW98" s="401">
        <v>1500846</v>
      </c>
      <c r="BX98" s="401">
        <v>359527</v>
      </c>
      <c r="BY98" s="401">
        <v>0</v>
      </c>
      <c r="BZ98" s="401">
        <v>0</v>
      </c>
      <c r="CA98" s="401">
        <v>1825053</v>
      </c>
      <c r="CB98" s="401">
        <v>0</v>
      </c>
    </row>
    <row r="99" spans="1:80" s="401" customFormat="1" ht="28.8" x14ac:dyDescent="0.3">
      <c r="A99" s="1014">
        <v>333</v>
      </c>
      <c r="B99" s="1014"/>
      <c r="C99" s="1018">
        <v>333</v>
      </c>
      <c r="D99" s="1019" t="s">
        <v>1625</v>
      </c>
      <c r="E99" s="1020" t="s">
        <v>1682</v>
      </c>
      <c r="F99" s="1021" t="s">
        <v>1683</v>
      </c>
      <c r="G99" s="1021" t="s">
        <v>1684</v>
      </c>
      <c r="BC99" s="401">
        <v>1298800</v>
      </c>
      <c r="BD99" s="401">
        <v>0</v>
      </c>
      <c r="BE99" s="401">
        <v>383912</v>
      </c>
      <c r="BF99" s="401">
        <v>3999545</v>
      </c>
      <c r="BG99" s="401">
        <v>0</v>
      </c>
      <c r="BH99" s="401">
        <v>154205</v>
      </c>
      <c r="BI99" s="401">
        <v>2907659</v>
      </c>
      <c r="BJ99" s="401">
        <v>3433068</v>
      </c>
      <c r="BK99" s="401">
        <v>0</v>
      </c>
      <c r="BL99" s="401">
        <v>3239020</v>
      </c>
      <c r="BM99" s="401">
        <v>6246155</v>
      </c>
      <c r="BN99" s="401">
        <v>136189</v>
      </c>
      <c r="BO99" s="401">
        <v>3552094</v>
      </c>
      <c r="BP99" s="401">
        <v>3497525</v>
      </c>
      <c r="BQ99" s="401">
        <v>1469511</v>
      </c>
      <c r="BR99" s="401">
        <v>2534166</v>
      </c>
      <c r="BS99" s="401">
        <v>3043456</v>
      </c>
      <c r="BT99" s="401">
        <v>13944529</v>
      </c>
      <c r="BU99" s="401">
        <v>2184911</v>
      </c>
      <c r="BV99" s="401">
        <v>1638025</v>
      </c>
      <c r="BW99" s="401">
        <v>957606</v>
      </c>
      <c r="BX99" s="401">
        <v>1108232</v>
      </c>
      <c r="BY99" s="401">
        <v>165153</v>
      </c>
      <c r="BZ99" s="401">
        <v>192770</v>
      </c>
      <c r="CA99" s="401">
        <v>13891189</v>
      </c>
      <c r="CB99" s="401">
        <v>94313</v>
      </c>
    </row>
    <row r="100" spans="1:80" s="401" customFormat="1" ht="28.8" x14ac:dyDescent="0.3">
      <c r="A100" s="1014">
        <v>334</v>
      </c>
      <c r="B100" s="1014"/>
      <c r="C100" s="1018">
        <v>334</v>
      </c>
      <c r="D100" s="1019" t="s">
        <v>1626</v>
      </c>
      <c r="E100" s="1020" t="s">
        <v>1682</v>
      </c>
      <c r="F100" s="1021" t="s">
        <v>1683</v>
      </c>
      <c r="G100" s="1021" t="s">
        <v>1684</v>
      </c>
      <c r="BC100" s="401">
        <v>5179934</v>
      </c>
      <c r="BD100" s="401">
        <v>0</v>
      </c>
      <c r="BE100" s="401">
        <v>103316</v>
      </c>
      <c r="BF100" s="401">
        <v>44535186</v>
      </c>
      <c r="BG100" s="401">
        <v>0</v>
      </c>
      <c r="BH100" s="401">
        <v>125775</v>
      </c>
      <c r="BI100" s="401">
        <v>6268686</v>
      </c>
      <c r="BJ100" s="401">
        <v>9087858</v>
      </c>
      <c r="BK100" s="401">
        <v>0</v>
      </c>
      <c r="BL100" s="401">
        <v>18897555</v>
      </c>
      <c r="BM100" s="401">
        <v>9185348</v>
      </c>
      <c r="BN100" s="401">
        <v>154058</v>
      </c>
      <c r="BO100" s="401">
        <v>16949536</v>
      </c>
      <c r="BP100" s="401">
        <v>9178071</v>
      </c>
      <c r="BQ100" s="401">
        <v>1250506</v>
      </c>
      <c r="BR100" s="401">
        <v>3071799</v>
      </c>
      <c r="BS100" s="401">
        <v>6069729</v>
      </c>
      <c r="BT100" s="401">
        <v>147737450</v>
      </c>
      <c r="BU100" s="401">
        <v>4927540</v>
      </c>
      <c r="BV100" s="401">
        <v>6077751</v>
      </c>
      <c r="BW100" s="401">
        <v>1824619</v>
      </c>
      <c r="BX100" s="401">
        <v>3774650</v>
      </c>
      <c r="BY100" s="401">
        <v>43270</v>
      </c>
      <c r="BZ100" s="401">
        <v>67343</v>
      </c>
      <c r="CA100" s="401">
        <v>66201823</v>
      </c>
      <c r="CB100" s="401">
        <v>312234</v>
      </c>
    </row>
    <row r="101" spans="1:80" s="401" customFormat="1" ht="28.8" x14ac:dyDescent="0.3">
      <c r="A101" s="1014">
        <v>335</v>
      </c>
      <c r="B101" s="1014"/>
      <c r="C101" s="1018">
        <v>335</v>
      </c>
      <c r="D101" s="1019" t="s">
        <v>117</v>
      </c>
      <c r="E101" s="1020" t="s">
        <v>1682</v>
      </c>
      <c r="F101" s="1021" t="s">
        <v>1683</v>
      </c>
      <c r="G101" s="1021" t="s">
        <v>1684</v>
      </c>
      <c r="BC101" s="401">
        <v>0</v>
      </c>
      <c r="BD101" s="401">
        <v>0</v>
      </c>
      <c r="BE101" s="401">
        <v>0</v>
      </c>
      <c r="BF101" s="401">
        <v>701527</v>
      </c>
      <c r="BG101" s="401">
        <v>0</v>
      </c>
      <c r="BH101" s="401">
        <v>0</v>
      </c>
      <c r="BI101" s="401">
        <v>0</v>
      </c>
      <c r="BJ101" s="401">
        <v>0</v>
      </c>
      <c r="BK101" s="401">
        <v>0</v>
      </c>
      <c r="BL101" s="401">
        <v>148</v>
      </c>
      <c r="BM101" s="401">
        <v>0</v>
      </c>
      <c r="BN101" s="401">
        <v>0</v>
      </c>
      <c r="BO101" s="401">
        <v>0</v>
      </c>
      <c r="BP101" s="401">
        <v>0</v>
      </c>
      <c r="BQ101" s="401">
        <v>0</v>
      </c>
      <c r="BR101" s="401">
        <v>0</v>
      </c>
      <c r="BS101" s="401">
        <v>0</v>
      </c>
      <c r="BT101" s="401">
        <v>0</v>
      </c>
      <c r="BU101" s="401">
        <v>0</v>
      </c>
      <c r="BV101" s="401">
        <v>0</v>
      </c>
      <c r="BW101" s="401">
        <v>0</v>
      </c>
      <c r="BX101" s="401">
        <v>0</v>
      </c>
      <c r="BY101" s="401">
        <v>0</v>
      </c>
      <c r="BZ101" s="401">
        <v>0</v>
      </c>
      <c r="CA101" s="401">
        <v>0</v>
      </c>
      <c r="CB101" s="401">
        <v>0</v>
      </c>
    </row>
    <row r="102" spans="1:80" s="401" customFormat="1" ht="43.2" x14ac:dyDescent="0.3">
      <c r="A102" s="1014">
        <v>336</v>
      </c>
      <c r="B102" s="1014"/>
      <c r="C102" s="1018">
        <v>336</v>
      </c>
      <c r="D102" s="1019" t="s">
        <v>1627</v>
      </c>
      <c r="E102" s="1020" t="s">
        <v>1682</v>
      </c>
      <c r="F102" s="1021" t="s">
        <v>1683</v>
      </c>
      <c r="G102" s="1021" t="s">
        <v>1684</v>
      </c>
      <c r="BC102" s="401">
        <v>0</v>
      </c>
      <c r="BD102" s="401">
        <v>0</v>
      </c>
      <c r="BE102" s="401">
        <v>0</v>
      </c>
      <c r="BF102" s="401">
        <v>0</v>
      </c>
      <c r="BG102" s="401">
        <v>0</v>
      </c>
      <c r="BH102" s="401">
        <v>0</v>
      </c>
      <c r="BI102" s="401">
        <v>0</v>
      </c>
      <c r="BJ102" s="401">
        <v>0</v>
      </c>
      <c r="BK102" s="401">
        <v>0</v>
      </c>
      <c r="BL102" s="401">
        <v>0</v>
      </c>
      <c r="BM102" s="401">
        <v>0</v>
      </c>
      <c r="BN102" s="401">
        <v>0</v>
      </c>
      <c r="BO102" s="401">
        <v>0</v>
      </c>
      <c r="BP102" s="401">
        <v>0</v>
      </c>
      <c r="BQ102" s="401">
        <v>0</v>
      </c>
      <c r="BR102" s="401">
        <v>0</v>
      </c>
      <c r="BS102" s="401">
        <v>0</v>
      </c>
      <c r="BT102" s="401">
        <v>0</v>
      </c>
      <c r="BU102" s="401">
        <v>0</v>
      </c>
      <c r="BV102" s="401">
        <v>0</v>
      </c>
      <c r="BW102" s="401">
        <v>0</v>
      </c>
      <c r="BX102" s="401">
        <v>0</v>
      </c>
      <c r="BY102" s="401">
        <v>0</v>
      </c>
      <c r="BZ102" s="401">
        <v>0</v>
      </c>
      <c r="CA102" s="401">
        <v>0</v>
      </c>
      <c r="CB102" s="401">
        <v>0</v>
      </c>
    </row>
    <row r="103" spans="1:80" s="401" customFormat="1" ht="28.8" x14ac:dyDescent="0.3">
      <c r="A103" s="1014">
        <v>337</v>
      </c>
      <c r="B103" s="1014"/>
      <c r="C103" s="1018">
        <v>337</v>
      </c>
      <c r="D103" s="1019" t="s">
        <v>1628</v>
      </c>
      <c r="E103" s="1020" t="s">
        <v>1682</v>
      </c>
      <c r="F103" s="1021" t="s">
        <v>1683</v>
      </c>
      <c r="G103" s="1021" t="s">
        <v>1684</v>
      </c>
      <c r="BC103" s="401">
        <v>244779</v>
      </c>
      <c r="BD103" s="401">
        <v>0</v>
      </c>
      <c r="BE103" s="401">
        <v>0</v>
      </c>
      <c r="BF103" s="401">
        <v>14407364</v>
      </c>
      <c r="BG103" s="401">
        <v>0</v>
      </c>
      <c r="BH103" s="401">
        <v>0</v>
      </c>
      <c r="BI103" s="401">
        <v>104357</v>
      </c>
      <c r="BJ103" s="401">
        <v>0</v>
      </c>
      <c r="BK103" s="401">
        <v>0</v>
      </c>
      <c r="BL103" s="401">
        <v>1736667</v>
      </c>
      <c r="BM103" s="401">
        <v>0</v>
      </c>
      <c r="BN103" s="401">
        <v>0</v>
      </c>
      <c r="BO103" s="401">
        <v>1592703</v>
      </c>
      <c r="BP103" s="401">
        <v>0</v>
      </c>
      <c r="BQ103" s="401">
        <v>0</v>
      </c>
      <c r="BR103" s="401">
        <v>0</v>
      </c>
      <c r="BS103" s="401">
        <v>0</v>
      </c>
      <c r="BT103" s="401">
        <v>6563429</v>
      </c>
      <c r="BU103" s="401">
        <v>509638</v>
      </c>
      <c r="BV103" s="401">
        <v>271856</v>
      </c>
      <c r="BW103" s="401">
        <v>233497</v>
      </c>
      <c r="BX103" s="401">
        <v>0</v>
      </c>
      <c r="BY103" s="401">
        <v>0</v>
      </c>
      <c r="BZ103" s="401">
        <v>0</v>
      </c>
      <c r="CA103" s="401">
        <v>8371909</v>
      </c>
      <c r="CB103" s="401">
        <v>52121</v>
      </c>
    </row>
    <row r="104" spans="1:80" s="401" customFormat="1" x14ac:dyDescent="0.3">
      <c r="A104" s="1014">
        <v>338</v>
      </c>
      <c r="B104" s="1014"/>
      <c r="C104" s="1018">
        <v>338</v>
      </c>
      <c r="D104" s="1019" t="s">
        <v>116</v>
      </c>
      <c r="E104" s="1020" t="s">
        <v>1682</v>
      </c>
      <c r="F104" s="1021" t="s">
        <v>1683</v>
      </c>
      <c r="G104" s="1021" t="s">
        <v>1684</v>
      </c>
      <c r="BC104" s="401">
        <v>1163170</v>
      </c>
      <c r="BD104" s="401">
        <v>0</v>
      </c>
      <c r="BE104" s="401">
        <v>3368</v>
      </c>
      <c r="BF104" s="401">
        <v>58829992</v>
      </c>
      <c r="BG104" s="401">
        <v>0</v>
      </c>
      <c r="BH104" s="401">
        <v>2267</v>
      </c>
      <c r="BI104" s="401">
        <v>5058840</v>
      </c>
      <c r="BJ104" s="401">
        <v>1173100</v>
      </c>
      <c r="BK104" s="401">
        <v>0</v>
      </c>
      <c r="BL104" s="401">
        <v>3627249</v>
      </c>
      <c r="BM104" s="401">
        <v>3025909</v>
      </c>
      <c r="BN104" s="401">
        <v>0</v>
      </c>
      <c r="BO104" s="401">
        <v>4247810</v>
      </c>
      <c r="BP104" s="401">
        <v>836771</v>
      </c>
      <c r="BQ104" s="401">
        <v>241283</v>
      </c>
      <c r="BR104" s="401">
        <v>669506</v>
      </c>
      <c r="BS104" s="401">
        <v>153655</v>
      </c>
      <c r="BT104" s="401">
        <v>16149902</v>
      </c>
      <c r="BU104" s="401">
        <v>1133803</v>
      </c>
      <c r="BV104" s="401">
        <v>4353773</v>
      </c>
      <c r="BW104" s="401">
        <v>946560</v>
      </c>
      <c r="BX104" s="401">
        <v>48929</v>
      </c>
      <c r="BY104" s="401">
        <v>0</v>
      </c>
      <c r="BZ104" s="401">
        <v>0</v>
      </c>
      <c r="CA104" s="401">
        <v>22361004</v>
      </c>
      <c r="CB104" s="401">
        <v>52121</v>
      </c>
    </row>
    <row r="105" spans="1:80" s="401" customFormat="1" x14ac:dyDescent="0.3">
      <c r="A105" s="1014">
        <v>339</v>
      </c>
      <c r="B105" s="1014"/>
      <c r="C105" s="1018">
        <v>339</v>
      </c>
      <c r="D105" s="1019" t="s">
        <v>1629</v>
      </c>
      <c r="E105" s="1020" t="s">
        <v>1682</v>
      </c>
      <c r="F105" s="1021" t="s">
        <v>1683</v>
      </c>
      <c r="G105" s="1021" t="s">
        <v>1684</v>
      </c>
      <c r="BC105" s="401">
        <v>184863</v>
      </c>
      <c r="BD105" s="401">
        <v>0</v>
      </c>
      <c r="BE105" s="401">
        <v>0</v>
      </c>
      <c r="BF105" s="401">
        <v>4107278</v>
      </c>
      <c r="BG105" s="401">
        <v>0</v>
      </c>
      <c r="BH105" s="401">
        <v>5405</v>
      </c>
      <c r="BI105" s="401">
        <v>197651</v>
      </c>
      <c r="BJ105" s="401">
        <v>130499</v>
      </c>
      <c r="BK105" s="401">
        <v>0</v>
      </c>
      <c r="BL105" s="401">
        <v>257541</v>
      </c>
      <c r="BM105" s="401">
        <v>296519</v>
      </c>
      <c r="BN105" s="401">
        <v>0</v>
      </c>
      <c r="BO105" s="401">
        <v>1544228</v>
      </c>
      <c r="BP105" s="401">
        <v>29014</v>
      </c>
      <c r="BQ105" s="401">
        <v>40912</v>
      </c>
      <c r="BR105" s="401">
        <v>240044</v>
      </c>
      <c r="BS105" s="401">
        <v>92534</v>
      </c>
      <c r="BT105" s="401">
        <v>2131895</v>
      </c>
      <c r="BU105" s="401">
        <v>256648</v>
      </c>
      <c r="BV105" s="401">
        <v>275192</v>
      </c>
      <c r="BW105" s="401">
        <v>141522</v>
      </c>
      <c r="BX105" s="401">
        <v>1075</v>
      </c>
      <c r="BY105" s="401">
        <v>0</v>
      </c>
      <c r="BZ105" s="401">
        <v>0</v>
      </c>
      <c r="CA105" s="401">
        <v>1464352</v>
      </c>
      <c r="CB105" s="401">
        <v>384</v>
      </c>
    </row>
    <row r="106" spans="1:80" s="401" customFormat="1" x14ac:dyDescent="0.3">
      <c r="A106" s="1014">
        <v>340</v>
      </c>
      <c r="B106" s="1014"/>
      <c r="C106" s="1018">
        <v>340</v>
      </c>
      <c r="D106" s="1019" t="s">
        <v>599</v>
      </c>
      <c r="E106" s="1020" t="s">
        <v>1682</v>
      </c>
      <c r="F106" s="1021" t="s">
        <v>1683</v>
      </c>
      <c r="G106" s="1021" t="s">
        <v>1684</v>
      </c>
    </row>
    <row r="107" spans="1:80" s="401" customFormat="1" ht="28.8" x14ac:dyDescent="0.3">
      <c r="A107" s="1014">
        <v>341</v>
      </c>
      <c r="B107" s="1014"/>
      <c r="C107" s="1018">
        <v>341</v>
      </c>
      <c r="D107" s="1019" t="s">
        <v>1630</v>
      </c>
      <c r="E107" s="1020" t="s">
        <v>1682</v>
      </c>
      <c r="F107" s="1021" t="s">
        <v>1683</v>
      </c>
      <c r="G107" s="1021" t="s">
        <v>1684</v>
      </c>
      <c r="BC107" s="401">
        <v>2268629</v>
      </c>
      <c r="BD107" s="401">
        <v>0</v>
      </c>
      <c r="BE107" s="401">
        <v>79767</v>
      </c>
      <c r="BF107" s="401">
        <v>21171575</v>
      </c>
      <c r="BG107" s="401">
        <v>0</v>
      </c>
      <c r="BH107" s="401">
        <v>60740</v>
      </c>
      <c r="BI107" s="401">
        <v>2956856</v>
      </c>
      <c r="BJ107" s="401">
        <v>2597072</v>
      </c>
      <c r="BK107" s="401">
        <v>0</v>
      </c>
      <c r="BL107" s="401">
        <v>8356070</v>
      </c>
      <c r="BM107" s="401">
        <v>4139203</v>
      </c>
      <c r="BN107" s="401">
        <v>50974</v>
      </c>
      <c r="BO107" s="401">
        <v>5058536</v>
      </c>
      <c r="BP107" s="401">
        <v>1941710</v>
      </c>
      <c r="BQ107" s="401">
        <v>890328</v>
      </c>
      <c r="BR107" s="401">
        <v>1696198</v>
      </c>
      <c r="BS107" s="401">
        <v>1372902</v>
      </c>
      <c r="BT107" s="401">
        <v>21903074</v>
      </c>
      <c r="BU107" s="401">
        <v>1724066</v>
      </c>
      <c r="BV107" s="401">
        <v>2437775</v>
      </c>
      <c r="BW107" s="401">
        <v>515242</v>
      </c>
      <c r="BX107" s="401">
        <v>958648</v>
      </c>
      <c r="BY107" s="401">
        <v>36718</v>
      </c>
      <c r="BZ107" s="401">
        <v>43403</v>
      </c>
      <c r="CA107" s="401">
        <v>17058382</v>
      </c>
      <c r="CB107" s="401">
        <v>82344</v>
      </c>
    </row>
    <row r="108" spans="1:80" s="401" customFormat="1" x14ac:dyDescent="0.3">
      <c r="A108" s="1014">
        <v>342</v>
      </c>
      <c r="B108" s="1014"/>
      <c r="C108" s="1018">
        <v>342</v>
      </c>
      <c r="D108" s="1019" t="s">
        <v>600</v>
      </c>
      <c r="E108" s="1020" t="s">
        <v>1682</v>
      </c>
      <c r="F108" s="1021" t="s">
        <v>1683</v>
      </c>
      <c r="G108" s="1021" t="s">
        <v>1684</v>
      </c>
    </row>
    <row r="109" spans="1:80" s="401" customFormat="1" x14ac:dyDescent="0.3">
      <c r="A109" s="1014">
        <v>343</v>
      </c>
      <c r="B109" s="1014"/>
      <c r="C109" s="1018">
        <v>343</v>
      </c>
      <c r="D109" s="1019" t="s">
        <v>1631</v>
      </c>
      <c r="E109" s="1020" t="s">
        <v>1682</v>
      </c>
      <c r="F109" s="1021" t="s">
        <v>1683</v>
      </c>
      <c r="G109" s="1021" t="s">
        <v>1684</v>
      </c>
      <c r="BC109" s="401">
        <v>63385</v>
      </c>
      <c r="BD109" s="401">
        <v>0</v>
      </c>
      <c r="BE109" s="401">
        <v>0</v>
      </c>
      <c r="BF109" s="401">
        <v>978176</v>
      </c>
      <c r="BG109" s="401">
        <v>0</v>
      </c>
      <c r="BH109" s="401">
        <v>0</v>
      </c>
      <c r="BI109" s="401">
        <v>20808</v>
      </c>
      <c r="BJ109" s="401">
        <v>59991</v>
      </c>
      <c r="BK109" s="401">
        <v>0</v>
      </c>
      <c r="BL109" s="401">
        <v>218333</v>
      </c>
      <c r="BM109" s="401">
        <v>0</v>
      </c>
      <c r="BN109" s="401">
        <v>0</v>
      </c>
      <c r="BO109" s="401">
        <v>187311</v>
      </c>
      <c r="BP109" s="401">
        <v>0</v>
      </c>
      <c r="BQ109" s="401">
        <v>12019</v>
      </c>
      <c r="BR109" s="401">
        <v>0</v>
      </c>
      <c r="BS109" s="401">
        <v>0</v>
      </c>
      <c r="BT109" s="401">
        <v>1080011</v>
      </c>
      <c r="BU109" s="401">
        <v>46518</v>
      </c>
      <c r="BV109" s="401">
        <v>69583</v>
      </c>
      <c r="BW109" s="401">
        <v>80922</v>
      </c>
      <c r="BX109" s="401">
        <v>0</v>
      </c>
      <c r="BY109" s="401">
        <v>0</v>
      </c>
      <c r="BZ109" s="401">
        <v>0</v>
      </c>
      <c r="CA109" s="401">
        <v>1273190</v>
      </c>
      <c r="CB109" s="401">
        <v>2548</v>
      </c>
    </row>
    <row r="110" spans="1:80" s="401" customFormat="1" x14ac:dyDescent="0.3">
      <c r="A110" s="1014">
        <v>344</v>
      </c>
      <c r="B110" s="1014"/>
      <c r="C110" s="1018">
        <v>344</v>
      </c>
      <c r="D110" s="1019" t="s">
        <v>1632</v>
      </c>
      <c r="E110" s="1020" t="s">
        <v>1682</v>
      </c>
      <c r="F110" s="1021" t="s">
        <v>1683</v>
      </c>
      <c r="G110" s="1021" t="s">
        <v>1684</v>
      </c>
      <c r="BC110" s="401">
        <v>2843</v>
      </c>
      <c r="BD110" s="401">
        <v>0</v>
      </c>
      <c r="BE110" s="401">
        <v>0</v>
      </c>
      <c r="BF110" s="401">
        <v>553677</v>
      </c>
      <c r="BG110" s="401">
        <v>0</v>
      </c>
      <c r="BH110" s="401">
        <v>0</v>
      </c>
      <c r="BI110" s="401">
        <v>2659</v>
      </c>
      <c r="BJ110" s="401">
        <v>1193</v>
      </c>
      <c r="BK110" s="401">
        <v>0</v>
      </c>
      <c r="BL110" s="401">
        <v>52728</v>
      </c>
      <c r="BM110" s="401">
        <v>7474</v>
      </c>
      <c r="BN110" s="401">
        <v>0</v>
      </c>
      <c r="BO110" s="401">
        <v>32521</v>
      </c>
      <c r="BP110" s="401">
        <v>0</v>
      </c>
      <c r="BQ110" s="401">
        <v>269</v>
      </c>
      <c r="BR110" s="401">
        <v>0</v>
      </c>
      <c r="BS110" s="401">
        <v>0</v>
      </c>
      <c r="BT110" s="401">
        <v>177933</v>
      </c>
      <c r="BU110" s="401">
        <v>20874</v>
      </c>
      <c r="BV110" s="401">
        <v>7416</v>
      </c>
      <c r="BW110" s="401">
        <v>1182</v>
      </c>
      <c r="BX110" s="401">
        <v>0</v>
      </c>
      <c r="BY110" s="401">
        <v>0</v>
      </c>
      <c r="BZ110" s="401">
        <v>0</v>
      </c>
      <c r="CA110" s="401">
        <v>257803</v>
      </c>
      <c r="CB110" s="401">
        <v>2408</v>
      </c>
    </row>
    <row r="111" spans="1:80" s="401" customFormat="1" x14ac:dyDescent="0.3">
      <c r="A111" s="1014">
        <v>346</v>
      </c>
      <c r="B111" s="1014"/>
      <c r="C111" s="1018">
        <v>346</v>
      </c>
      <c r="D111" s="1019" t="s">
        <v>601</v>
      </c>
      <c r="E111" s="1020" t="s">
        <v>1682</v>
      </c>
      <c r="F111" s="1021" t="s">
        <v>1683</v>
      </c>
      <c r="G111" s="1021" t="s">
        <v>1684</v>
      </c>
      <c r="BC111" s="401">
        <v>0</v>
      </c>
      <c r="BD111" s="401">
        <v>0</v>
      </c>
      <c r="BE111" s="401">
        <v>0</v>
      </c>
      <c r="BF111" s="401">
        <v>0</v>
      </c>
      <c r="BG111" s="401">
        <v>0</v>
      </c>
      <c r="BH111" s="401">
        <v>0</v>
      </c>
      <c r="BI111" s="401">
        <v>0</v>
      </c>
      <c r="BJ111" s="401">
        <v>0</v>
      </c>
      <c r="BK111" s="401">
        <v>0</v>
      </c>
      <c r="BL111" s="401">
        <v>0</v>
      </c>
      <c r="BM111" s="401">
        <v>0</v>
      </c>
      <c r="BN111" s="401">
        <v>0</v>
      </c>
      <c r="BO111" s="401">
        <v>0</v>
      </c>
      <c r="BP111" s="401">
        <v>0</v>
      </c>
      <c r="BQ111" s="401">
        <v>0</v>
      </c>
      <c r="BR111" s="401">
        <v>0</v>
      </c>
      <c r="BS111" s="401">
        <v>0</v>
      </c>
      <c r="BT111" s="401">
        <v>0</v>
      </c>
      <c r="BU111" s="401">
        <v>0</v>
      </c>
      <c r="BV111" s="401">
        <v>0</v>
      </c>
      <c r="BW111" s="401">
        <v>0</v>
      </c>
      <c r="BX111" s="401">
        <v>0</v>
      </c>
      <c r="BY111" s="401">
        <v>0</v>
      </c>
      <c r="BZ111" s="401">
        <v>0</v>
      </c>
      <c r="CA111" s="401">
        <v>0</v>
      </c>
      <c r="CB111" s="401">
        <v>0</v>
      </c>
    </row>
    <row r="112" spans="1:80" s="401" customFormat="1" x14ac:dyDescent="0.3">
      <c r="A112" s="1014">
        <v>347</v>
      </c>
      <c r="B112" s="1014"/>
      <c r="C112" s="1018">
        <v>347</v>
      </c>
      <c r="D112" s="1019" t="s">
        <v>602</v>
      </c>
      <c r="E112" s="1020" t="s">
        <v>1682</v>
      </c>
      <c r="F112" s="1021" t="s">
        <v>1683</v>
      </c>
      <c r="G112" s="1021" t="s">
        <v>1684</v>
      </c>
      <c r="BC112" s="401">
        <v>0</v>
      </c>
      <c r="BD112" s="401">
        <v>0</v>
      </c>
      <c r="BE112" s="401">
        <v>0</v>
      </c>
      <c r="BF112" s="401">
        <v>0</v>
      </c>
      <c r="BG112" s="401">
        <v>0</v>
      </c>
      <c r="BH112" s="401">
        <v>0</v>
      </c>
      <c r="BI112" s="401">
        <v>0</v>
      </c>
      <c r="BJ112" s="401">
        <v>0</v>
      </c>
      <c r="BK112" s="401">
        <v>0</v>
      </c>
      <c r="BL112" s="401">
        <v>0</v>
      </c>
      <c r="BM112" s="401">
        <v>0</v>
      </c>
      <c r="BN112" s="401">
        <v>0</v>
      </c>
      <c r="BO112" s="401">
        <v>0</v>
      </c>
      <c r="BP112" s="401">
        <v>0</v>
      </c>
      <c r="BQ112" s="401">
        <v>0</v>
      </c>
      <c r="BR112" s="401">
        <v>0</v>
      </c>
      <c r="BS112" s="401">
        <v>0</v>
      </c>
      <c r="BT112" s="401">
        <v>0</v>
      </c>
      <c r="BU112" s="401">
        <v>0</v>
      </c>
      <c r="BV112" s="401">
        <v>0</v>
      </c>
      <c r="BW112" s="401">
        <v>0</v>
      </c>
      <c r="BX112" s="401">
        <v>0</v>
      </c>
      <c r="BY112" s="401">
        <v>0</v>
      </c>
      <c r="BZ112" s="401">
        <v>0</v>
      </c>
      <c r="CA112" s="401">
        <v>0</v>
      </c>
      <c r="CB112" s="401">
        <v>0</v>
      </c>
    </row>
    <row r="113" spans="1:80" s="401" customFormat="1" x14ac:dyDescent="0.3">
      <c r="A113" s="1014">
        <v>349</v>
      </c>
      <c r="B113" s="1014"/>
      <c r="C113" s="1018">
        <v>349</v>
      </c>
      <c r="D113" s="1019" t="s">
        <v>122</v>
      </c>
      <c r="E113" s="1020" t="s">
        <v>1682</v>
      </c>
      <c r="F113" s="1021" t="s">
        <v>1683</v>
      </c>
      <c r="G113" s="1021" t="s">
        <v>1684</v>
      </c>
      <c r="BC113" s="401">
        <v>776949</v>
      </c>
      <c r="BD113" s="401">
        <v>0</v>
      </c>
      <c r="BE113" s="401">
        <v>0</v>
      </c>
      <c r="BF113" s="401">
        <v>14425057</v>
      </c>
      <c r="BG113" s="401">
        <v>0</v>
      </c>
      <c r="BH113" s="401">
        <v>0</v>
      </c>
      <c r="BI113" s="401">
        <v>2101556</v>
      </c>
      <c r="BJ113" s="401">
        <v>1506849</v>
      </c>
      <c r="BK113" s="401">
        <v>0</v>
      </c>
      <c r="BL113" s="401">
        <v>933745</v>
      </c>
      <c r="BM113" s="401">
        <v>1416241</v>
      </c>
      <c r="BN113" s="401">
        <v>0</v>
      </c>
      <c r="BO113" s="401">
        <v>1984459</v>
      </c>
      <c r="BP113" s="401">
        <v>933225</v>
      </c>
      <c r="BQ113" s="401">
        <v>771094</v>
      </c>
      <c r="BR113" s="401">
        <v>1828025</v>
      </c>
      <c r="BS113" s="401">
        <v>0</v>
      </c>
      <c r="BT113" s="401">
        <v>0</v>
      </c>
      <c r="BU113" s="401">
        <v>436931</v>
      </c>
      <c r="BV113" s="401">
        <v>5024080</v>
      </c>
      <c r="BW113" s="401">
        <v>819581</v>
      </c>
      <c r="BX113" s="401">
        <v>605259</v>
      </c>
      <c r="BY113" s="401">
        <v>0</v>
      </c>
      <c r="BZ113" s="401">
        <v>0</v>
      </c>
      <c r="CA113" s="401">
        <v>10364647</v>
      </c>
      <c r="CB113" s="401">
        <v>0</v>
      </c>
    </row>
    <row r="114" spans="1:80" s="401" customFormat="1" ht="28.8" x14ac:dyDescent="0.3">
      <c r="A114" s="1014">
        <v>350</v>
      </c>
      <c r="B114" s="1014"/>
      <c r="C114" s="1018">
        <v>350</v>
      </c>
      <c r="D114" s="1019" t="s">
        <v>1633</v>
      </c>
      <c r="E114" s="1020" t="s">
        <v>1682</v>
      </c>
      <c r="F114" s="1021" t="s">
        <v>1683</v>
      </c>
      <c r="G114" s="1021" t="s">
        <v>1684</v>
      </c>
      <c r="BC114" s="401">
        <v>5</v>
      </c>
      <c r="BD114" s="401">
        <v>0</v>
      </c>
      <c r="BE114" s="401">
        <v>0</v>
      </c>
      <c r="BF114" s="401">
        <v>1672536</v>
      </c>
      <c r="BG114" s="401">
        <v>0</v>
      </c>
      <c r="BH114" s="401">
        <v>0</v>
      </c>
      <c r="BI114" s="401">
        <v>4034</v>
      </c>
      <c r="BJ114" s="401">
        <v>45722</v>
      </c>
      <c r="BK114" s="401">
        <v>0</v>
      </c>
      <c r="BL114" s="401">
        <v>47493</v>
      </c>
      <c r="BM114" s="401">
        <v>39119</v>
      </c>
      <c r="BN114" s="401">
        <v>0</v>
      </c>
      <c r="BO114" s="401">
        <v>93841</v>
      </c>
      <c r="BP114" s="401">
        <v>39318</v>
      </c>
      <c r="BQ114" s="401">
        <v>0</v>
      </c>
      <c r="BR114" s="401">
        <v>5521</v>
      </c>
      <c r="BS114" s="401">
        <v>0</v>
      </c>
      <c r="BT114" s="401">
        <v>0</v>
      </c>
      <c r="BU114" s="401">
        <v>32472</v>
      </c>
      <c r="BV114" s="401">
        <v>44374</v>
      </c>
      <c r="BW114" s="401">
        <v>27849</v>
      </c>
      <c r="BX114" s="401">
        <v>5481</v>
      </c>
      <c r="BY114" s="401">
        <v>0</v>
      </c>
      <c r="BZ114" s="401">
        <v>0</v>
      </c>
      <c r="CA114" s="401">
        <v>105857</v>
      </c>
      <c r="CB114" s="401">
        <v>0</v>
      </c>
    </row>
    <row r="115" spans="1:80" s="401" customFormat="1" x14ac:dyDescent="0.3">
      <c r="A115" s="1014">
        <v>351</v>
      </c>
      <c r="B115" s="1014"/>
      <c r="C115" s="1018">
        <v>351</v>
      </c>
      <c r="D115" s="1019" t="s">
        <v>1634</v>
      </c>
      <c r="E115" s="1020" t="s">
        <v>1682</v>
      </c>
      <c r="F115" s="1021" t="s">
        <v>1683</v>
      </c>
      <c r="G115" s="1021" t="s">
        <v>1684</v>
      </c>
      <c r="BC115" s="401">
        <v>787</v>
      </c>
      <c r="BD115" s="401">
        <v>0</v>
      </c>
      <c r="BE115" s="401">
        <v>0</v>
      </c>
      <c r="BF115" s="401">
        <v>36713</v>
      </c>
      <c r="BG115" s="401">
        <v>0</v>
      </c>
      <c r="BH115" s="401">
        <v>0</v>
      </c>
      <c r="BI115" s="401">
        <v>50191</v>
      </c>
      <c r="BJ115" s="401">
        <v>30800</v>
      </c>
      <c r="BK115" s="401">
        <v>0</v>
      </c>
      <c r="BL115" s="401">
        <v>0</v>
      </c>
      <c r="BM115" s="401">
        <v>7474</v>
      </c>
      <c r="BN115" s="401">
        <v>0</v>
      </c>
      <c r="BO115" s="401">
        <v>18358</v>
      </c>
      <c r="BP115" s="401">
        <v>23427</v>
      </c>
      <c r="BQ115" s="401">
        <v>34246</v>
      </c>
      <c r="BR115" s="401">
        <v>0</v>
      </c>
      <c r="BS115" s="401">
        <v>0</v>
      </c>
      <c r="BT115" s="401">
        <v>0</v>
      </c>
      <c r="BU115" s="401">
        <v>9443</v>
      </c>
      <c r="BV115" s="401">
        <v>47228</v>
      </c>
      <c r="BW115" s="401">
        <v>17803</v>
      </c>
      <c r="BX115" s="401">
        <v>1084610</v>
      </c>
      <c r="BY115" s="401">
        <v>0</v>
      </c>
      <c r="BZ115" s="401">
        <v>0</v>
      </c>
      <c r="CA115" s="401">
        <v>100206</v>
      </c>
      <c r="CB115" s="401">
        <v>0</v>
      </c>
    </row>
    <row r="116" spans="1:80" s="401" customFormat="1" x14ac:dyDescent="0.3">
      <c r="A116" s="1014">
        <v>352</v>
      </c>
      <c r="B116" s="1014"/>
      <c r="C116" s="1018">
        <v>352</v>
      </c>
      <c r="D116" s="1019" t="s">
        <v>1635</v>
      </c>
      <c r="E116" s="1020" t="s">
        <v>1682</v>
      </c>
      <c r="F116" s="1021" t="s">
        <v>1683</v>
      </c>
      <c r="G116" s="1021" t="s">
        <v>1684</v>
      </c>
      <c r="BC116" s="401">
        <v>0</v>
      </c>
      <c r="BD116" s="401">
        <v>0</v>
      </c>
      <c r="BE116" s="401">
        <v>0</v>
      </c>
      <c r="BF116" s="401">
        <v>0</v>
      </c>
      <c r="BG116" s="401">
        <v>0</v>
      </c>
      <c r="BH116" s="401">
        <v>0</v>
      </c>
      <c r="BI116" s="401">
        <v>0</v>
      </c>
      <c r="BJ116" s="401">
        <v>0</v>
      </c>
      <c r="BK116" s="401">
        <v>0</v>
      </c>
      <c r="BL116" s="401">
        <v>0</v>
      </c>
      <c r="BM116" s="401">
        <v>0</v>
      </c>
      <c r="BN116" s="401">
        <v>0</v>
      </c>
      <c r="BO116" s="401">
        <v>0</v>
      </c>
      <c r="BP116" s="401">
        <v>0</v>
      </c>
      <c r="BQ116" s="401">
        <v>0</v>
      </c>
      <c r="BR116" s="401">
        <v>0</v>
      </c>
      <c r="BS116" s="401">
        <v>0</v>
      </c>
      <c r="BT116" s="401">
        <v>0</v>
      </c>
      <c r="BU116" s="401">
        <v>6211</v>
      </c>
      <c r="BV116" s="401">
        <v>21072</v>
      </c>
      <c r="BW116" s="401">
        <v>129596</v>
      </c>
      <c r="BX116" s="401">
        <v>0</v>
      </c>
      <c r="BY116" s="401">
        <v>0</v>
      </c>
      <c r="BZ116" s="401">
        <v>0</v>
      </c>
      <c r="CA116" s="401">
        <v>1395</v>
      </c>
      <c r="CB116" s="401">
        <v>0</v>
      </c>
    </row>
    <row r="117" spans="1:80" s="401" customFormat="1" x14ac:dyDescent="0.3">
      <c r="A117" s="1014">
        <v>353</v>
      </c>
      <c r="B117" s="1014"/>
      <c r="C117" s="1018">
        <v>353</v>
      </c>
      <c r="D117" s="1019" t="s">
        <v>1636</v>
      </c>
      <c r="E117" s="1020" t="s">
        <v>1682</v>
      </c>
      <c r="F117" s="1021" t="s">
        <v>1683</v>
      </c>
      <c r="G117" s="1021" t="s">
        <v>1684</v>
      </c>
      <c r="BC117" s="401">
        <v>0</v>
      </c>
      <c r="BD117" s="401">
        <v>0</v>
      </c>
      <c r="BE117" s="401">
        <v>0</v>
      </c>
      <c r="BF117" s="401">
        <v>0</v>
      </c>
      <c r="BG117" s="401">
        <v>0</v>
      </c>
      <c r="BH117" s="401">
        <v>0</v>
      </c>
      <c r="BI117" s="401">
        <v>0</v>
      </c>
      <c r="BJ117" s="401">
        <v>0</v>
      </c>
      <c r="BK117" s="401">
        <v>0</v>
      </c>
      <c r="BL117" s="401">
        <v>0</v>
      </c>
      <c r="BM117" s="401">
        <v>0</v>
      </c>
      <c r="BN117" s="401">
        <v>0</v>
      </c>
      <c r="BO117" s="401">
        <v>173000</v>
      </c>
      <c r="BP117" s="401">
        <v>0</v>
      </c>
      <c r="BQ117" s="401">
        <v>0</v>
      </c>
      <c r="BR117" s="401">
        <v>1495868</v>
      </c>
      <c r="BS117" s="401">
        <v>0</v>
      </c>
      <c r="BT117" s="401">
        <v>0</v>
      </c>
      <c r="BU117" s="401">
        <v>0</v>
      </c>
      <c r="BV117" s="401">
        <v>0</v>
      </c>
      <c r="BW117" s="401">
        <v>0</v>
      </c>
      <c r="BX117" s="401">
        <v>0</v>
      </c>
      <c r="BY117" s="401">
        <v>0</v>
      </c>
      <c r="BZ117" s="401">
        <v>0</v>
      </c>
      <c r="CA117" s="401">
        <v>0</v>
      </c>
      <c r="CB117" s="401">
        <v>0</v>
      </c>
    </row>
    <row r="118" spans="1:80" s="401" customFormat="1" x14ac:dyDescent="0.3">
      <c r="A118" s="1014">
        <v>356</v>
      </c>
      <c r="B118" s="1014">
        <v>356</v>
      </c>
      <c r="C118" s="1018">
        <v>356</v>
      </c>
      <c r="D118" s="1019" t="s">
        <v>1637</v>
      </c>
      <c r="E118" s="1020">
        <v>28672689</v>
      </c>
      <c r="F118" s="1021">
        <v>33330000</v>
      </c>
      <c r="G118" s="1021">
        <v>2260656000</v>
      </c>
      <c r="BC118" s="401">
        <v>0</v>
      </c>
      <c r="BD118" s="401">
        <v>0</v>
      </c>
      <c r="BE118" s="401">
        <v>0</v>
      </c>
      <c r="BF118" s="401">
        <v>35732952</v>
      </c>
      <c r="BG118" s="401">
        <v>0</v>
      </c>
      <c r="BH118" s="401">
        <v>0</v>
      </c>
      <c r="BI118" s="401">
        <v>0</v>
      </c>
      <c r="BJ118" s="401">
        <v>0</v>
      </c>
      <c r="BK118" s="401">
        <v>0</v>
      </c>
      <c r="BL118" s="401">
        <v>6765833</v>
      </c>
      <c r="BM118" s="401">
        <v>0</v>
      </c>
      <c r="BN118" s="401">
        <v>0</v>
      </c>
      <c r="BO118" s="401">
        <v>0</v>
      </c>
      <c r="BP118" s="401">
        <v>0</v>
      </c>
      <c r="BQ118" s="401">
        <v>0</v>
      </c>
      <c r="BR118" s="401">
        <v>0</v>
      </c>
      <c r="BS118" s="401">
        <v>0</v>
      </c>
      <c r="BT118" s="401">
        <v>0</v>
      </c>
      <c r="BU118" s="401">
        <v>0</v>
      </c>
      <c r="BV118" s="401">
        <v>0</v>
      </c>
      <c r="BW118" s="401">
        <v>0</v>
      </c>
      <c r="BX118" s="401">
        <v>0</v>
      </c>
      <c r="BY118" s="401">
        <v>0</v>
      </c>
      <c r="BZ118" s="401">
        <v>0</v>
      </c>
      <c r="CA118" s="401">
        <v>0</v>
      </c>
      <c r="CB118" s="401">
        <v>0</v>
      </c>
    </row>
    <row r="119" spans="1:80" s="401" customFormat="1" x14ac:dyDescent="0.3">
      <c r="A119" s="1014">
        <v>357</v>
      </c>
      <c r="B119" s="1014">
        <v>357</v>
      </c>
      <c r="C119" s="1018">
        <v>357</v>
      </c>
      <c r="D119" s="1019" t="s">
        <v>1638</v>
      </c>
      <c r="E119" s="1020">
        <v>14003866</v>
      </c>
      <c r="F119" s="1021">
        <v>6409000</v>
      </c>
      <c r="G119" s="1021">
        <v>1160694000</v>
      </c>
      <c r="BC119" s="401">
        <v>0</v>
      </c>
      <c r="BD119" s="401">
        <v>0</v>
      </c>
      <c r="BE119" s="401">
        <v>0</v>
      </c>
      <c r="BF119" s="401">
        <v>23101162</v>
      </c>
      <c r="BG119" s="401">
        <v>0</v>
      </c>
      <c r="BH119" s="401">
        <v>0</v>
      </c>
      <c r="BI119" s="401">
        <v>0</v>
      </c>
      <c r="BJ119" s="401">
        <v>0</v>
      </c>
      <c r="BK119" s="401">
        <v>0</v>
      </c>
      <c r="BL119" s="401">
        <v>4499353</v>
      </c>
      <c r="BM119" s="401">
        <v>0</v>
      </c>
      <c r="BN119" s="401">
        <v>0</v>
      </c>
      <c r="BO119" s="401">
        <v>0</v>
      </c>
      <c r="BP119" s="401">
        <v>0</v>
      </c>
      <c r="BQ119" s="401">
        <v>0</v>
      </c>
      <c r="BR119" s="401">
        <v>0</v>
      </c>
      <c r="BS119" s="401">
        <v>0</v>
      </c>
      <c r="BT119" s="401">
        <v>0</v>
      </c>
      <c r="BU119" s="401">
        <v>0</v>
      </c>
      <c r="BV119" s="401">
        <v>0</v>
      </c>
      <c r="BW119" s="401">
        <v>0</v>
      </c>
      <c r="BX119" s="401">
        <v>0</v>
      </c>
      <c r="BY119" s="401">
        <v>0</v>
      </c>
      <c r="BZ119" s="401">
        <v>0</v>
      </c>
      <c r="CA119" s="401">
        <v>0</v>
      </c>
      <c r="CB119" s="401">
        <v>0</v>
      </c>
    </row>
    <row r="120" spans="1:80" s="401" customFormat="1" ht="28.8" x14ac:dyDescent="0.3">
      <c r="A120" s="1014">
        <v>359</v>
      </c>
      <c r="B120" s="1014"/>
      <c r="C120" s="1018">
        <v>359</v>
      </c>
      <c r="D120" s="1019" t="s">
        <v>1639</v>
      </c>
      <c r="E120" s="1020" t="s">
        <v>1682</v>
      </c>
      <c r="F120" s="1021" t="s">
        <v>1683</v>
      </c>
      <c r="G120" s="1021" t="s">
        <v>1684</v>
      </c>
      <c r="BC120" s="401">
        <v>0</v>
      </c>
      <c r="BD120" s="401">
        <v>0</v>
      </c>
      <c r="BE120" s="401">
        <v>0</v>
      </c>
      <c r="BF120" s="401">
        <v>0</v>
      </c>
      <c r="BG120" s="401">
        <v>0</v>
      </c>
      <c r="BH120" s="401">
        <v>0</v>
      </c>
      <c r="BI120" s="401">
        <v>0</v>
      </c>
      <c r="BJ120" s="401">
        <v>0</v>
      </c>
      <c r="BK120" s="401">
        <v>0</v>
      </c>
      <c r="BL120" s="401">
        <v>0</v>
      </c>
      <c r="BM120" s="401">
        <v>0</v>
      </c>
      <c r="BN120" s="401">
        <v>0</v>
      </c>
      <c r="BO120" s="401">
        <v>0</v>
      </c>
      <c r="BP120" s="401">
        <v>0</v>
      </c>
      <c r="BQ120" s="401">
        <v>0</v>
      </c>
      <c r="BR120" s="401">
        <v>0</v>
      </c>
      <c r="BS120" s="401">
        <v>0</v>
      </c>
      <c r="BT120" s="401">
        <v>0</v>
      </c>
      <c r="BU120" s="401">
        <v>0</v>
      </c>
      <c r="BV120" s="401">
        <v>0</v>
      </c>
      <c r="BW120" s="401">
        <v>0</v>
      </c>
      <c r="BX120" s="401">
        <v>0</v>
      </c>
      <c r="BY120" s="401">
        <v>0</v>
      </c>
      <c r="BZ120" s="401">
        <v>0</v>
      </c>
      <c r="CA120" s="401">
        <v>0</v>
      </c>
      <c r="CB120" s="401">
        <v>0</v>
      </c>
    </row>
    <row r="121" spans="1:80" s="401" customFormat="1" x14ac:dyDescent="0.3">
      <c r="A121" s="1014">
        <v>360</v>
      </c>
      <c r="B121" s="1014">
        <v>360</v>
      </c>
      <c r="C121" s="1018">
        <v>360</v>
      </c>
      <c r="D121" s="1019" t="s">
        <v>125</v>
      </c>
      <c r="E121" s="1020">
        <v>2513499</v>
      </c>
      <c r="F121" s="1021">
        <v>325168000</v>
      </c>
      <c r="G121" s="1021">
        <v>2038316000</v>
      </c>
      <c r="BC121" s="401">
        <v>0</v>
      </c>
      <c r="BD121" s="401">
        <v>0</v>
      </c>
      <c r="BE121" s="401">
        <v>0</v>
      </c>
      <c r="BF121" s="401">
        <v>9694508</v>
      </c>
      <c r="BG121" s="401">
        <v>0</v>
      </c>
      <c r="BH121" s="401">
        <v>0</v>
      </c>
      <c r="BI121" s="401">
        <v>0</v>
      </c>
      <c r="BJ121" s="401">
        <v>0</v>
      </c>
      <c r="BK121" s="401">
        <v>0</v>
      </c>
      <c r="BL121" s="401">
        <v>315641</v>
      </c>
      <c r="BM121" s="401">
        <v>0</v>
      </c>
      <c r="BN121" s="401">
        <v>0</v>
      </c>
      <c r="BO121" s="401">
        <v>0</v>
      </c>
      <c r="BP121" s="401">
        <v>0</v>
      </c>
      <c r="BQ121" s="401">
        <v>0</v>
      </c>
      <c r="BR121" s="401">
        <v>0</v>
      </c>
      <c r="BS121" s="401">
        <v>0</v>
      </c>
      <c r="BT121" s="401">
        <v>0</v>
      </c>
      <c r="BU121" s="401">
        <v>0</v>
      </c>
      <c r="BV121" s="401">
        <v>0</v>
      </c>
      <c r="BW121" s="401">
        <v>0</v>
      </c>
      <c r="BX121" s="401">
        <v>0</v>
      </c>
      <c r="BY121" s="401">
        <v>0</v>
      </c>
      <c r="BZ121" s="401">
        <v>0</v>
      </c>
      <c r="CA121" s="401">
        <v>0</v>
      </c>
      <c r="CB121" s="401">
        <v>0</v>
      </c>
    </row>
    <row r="122" spans="1:80" s="401" customFormat="1" x14ac:dyDescent="0.3">
      <c r="A122" s="1014">
        <v>361</v>
      </c>
      <c r="B122" s="1014">
        <v>361</v>
      </c>
      <c r="C122" s="1018">
        <v>361</v>
      </c>
      <c r="D122" s="1019" t="s">
        <v>106</v>
      </c>
      <c r="E122" s="1020">
        <v>3314913</v>
      </c>
      <c r="F122" s="1021">
        <v>73650000</v>
      </c>
      <c r="G122" s="1021">
        <v>-652888000</v>
      </c>
      <c r="BC122" s="401">
        <v>0</v>
      </c>
      <c r="BD122" s="401">
        <v>0</v>
      </c>
      <c r="BE122" s="401">
        <v>0</v>
      </c>
      <c r="BF122" s="401">
        <v>7137581</v>
      </c>
      <c r="BG122" s="401">
        <v>0</v>
      </c>
      <c r="BH122" s="401">
        <v>0</v>
      </c>
      <c r="BI122" s="401">
        <v>0</v>
      </c>
      <c r="BJ122" s="401">
        <v>0</v>
      </c>
      <c r="BK122" s="401">
        <v>0</v>
      </c>
      <c r="BL122" s="401">
        <v>3323193</v>
      </c>
      <c r="BM122" s="401">
        <v>0</v>
      </c>
      <c r="BN122" s="401">
        <v>0</v>
      </c>
      <c r="BO122" s="401">
        <v>0</v>
      </c>
      <c r="BP122" s="401">
        <v>0</v>
      </c>
      <c r="BQ122" s="401">
        <v>0</v>
      </c>
      <c r="BR122" s="401">
        <v>0</v>
      </c>
      <c r="BS122" s="401">
        <v>0</v>
      </c>
      <c r="BT122" s="401">
        <v>0</v>
      </c>
      <c r="BU122" s="401">
        <v>0</v>
      </c>
      <c r="BV122" s="401">
        <v>0</v>
      </c>
      <c r="BW122" s="401">
        <v>0</v>
      </c>
      <c r="BX122" s="401">
        <v>0</v>
      </c>
      <c r="BY122" s="401">
        <v>0</v>
      </c>
      <c r="BZ122" s="401">
        <v>0</v>
      </c>
      <c r="CA122" s="401">
        <v>0</v>
      </c>
      <c r="CB122" s="401">
        <v>0</v>
      </c>
    </row>
    <row r="123" spans="1:80" s="401" customFormat="1" x14ac:dyDescent="0.3">
      <c r="A123" s="1014">
        <v>362</v>
      </c>
      <c r="B123" s="1014">
        <v>362</v>
      </c>
      <c r="C123" s="1018">
        <v>362</v>
      </c>
      <c r="D123" s="1019" t="s">
        <v>107</v>
      </c>
      <c r="E123" s="1020">
        <v>18586946</v>
      </c>
      <c r="F123" s="1021">
        <v>104993000</v>
      </c>
      <c r="G123" s="1021">
        <v>213808000</v>
      </c>
      <c r="BC123" s="401">
        <v>0</v>
      </c>
      <c r="BD123" s="401">
        <v>0</v>
      </c>
      <c r="BE123" s="401">
        <v>0</v>
      </c>
      <c r="BF123" s="401">
        <v>20395826</v>
      </c>
      <c r="BG123" s="401">
        <v>0</v>
      </c>
      <c r="BH123" s="401">
        <v>0</v>
      </c>
      <c r="BI123" s="401">
        <v>0</v>
      </c>
      <c r="BJ123" s="401">
        <v>0</v>
      </c>
      <c r="BK123" s="401">
        <v>0</v>
      </c>
      <c r="BL123" s="401">
        <v>5609473</v>
      </c>
      <c r="BM123" s="401">
        <v>0</v>
      </c>
      <c r="BN123" s="401">
        <v>0</v>
      </c>
      <c r="BO123" s="401">
        <v>0</v>
      </c>
      <c r="BP123" s="401">
        <v>0</v>
      </c>
      <c r="BQ123" s="401">
        <v>0</v>
      </c>
      <c r="BR123" s="401">
        <v>0</v>
      </c>
      <c r="BS123" s="401">
        <v>0</v>
      </c>
      <c r="BT123" s="401">
        <v>0</v>
      </c>
      <c r="BU123" s="401">
        <v>0</v>
      </c>
      <c r="BV123" s="401">
        <v>0</v>
      </c>
      <c r="BW123" s="401">
        <v>0</v>
      </c>
      <c r="BX123" s="401">
        <v>0</v>
      </c>
      <c r="BY123" s="401">
        <v>0</v>
      </c>
      <c r="BZ123" s="401">
        <v>0</v>
      </c>
      <c r="CA123" s="401">
        <v>0</v>
      </c>
      <c r="CB123" s="401">
        <v>0</v>
      </c>
    </row>
    <row r="124" spans="1:80" s="401" customFormat="1" ht="28.8" x14ac:dyDescent="0.3">
      <c r="A124" s="1014">
        <v>363</v>
      </c>
      <c r="B124" s="1014">
        <v>363</v>
      </c>
      <c r="C124" s="1018">
        <v>363</v>
      </c>
      <c r="D124" s="1019" t="s">
        <v>1640</v>
      </c>
      <c r="E124" s="1020">
        <v>4416</v>
      </c>
      <c r="F124" s="1021">
        <v>1825000</v>
      </c>
      <c r="G124" s="1021">
        <v>53275000</v>
      </c>
      <c r="BC124" s="401">
        <v>0</v>
      </c>
      <c r="BD124" s="401">
        <v>0</v>
      </c>
      <c r="BE124" s="401">
        <v>0</v>
      </c>
      <c r="BF124" s="401">
        <v>98435</v>
      </c>
      <c r="BG124" s="401">
        <v>0</v>
      </c>
      <c r="BH124" s="401">
        <v>0</v>
      </c>
      <c r="BI124" s="401">
        <v>0</v>
      </c>
      <c r="BJ124" s="401">
        <v>0</v>
      </c>
      <c r="BK124" s="401">
        <v>0</v>
      </c>
      <c r="BL124" s="401">
        <v>8698</v>
      </c>
      <c r="BM124" s="401">
        <v>0</v>
      </c>
      <c r="BN124" s="401">
        <v>0</v>
      </c>
      <c r="BO124" s="401">
        <v>0</v>
      </c>
      <c r="BP124" s="401">
        <v>0</v>
      </c>
      <c r="BQ124" s="401">
        <v>0</v>
      </c>
      <c r="BR124" s="401">
        <v>0</v>
      </c>
      <c r="BS124" s="401">
        <v>0</v>
      </c>
      <c r="BT124" s="401">
        <v>0</v>
      </c>
      <c r="BU124" s="401">
        <v>0</v>
      </c>
      <c r="BV124" s="401">
        <v>0</v>
      </c>
      <c r="BW124" s="401">
        <v>0</v>
      </c>
      <c r="BX124" s="401">
        <v>0</v>
      </c>
      <c r="BY124" s="401">
        <v>0</v>
      </c>
      <c r="BZ124" s="401">
        <v>0</v>
      </c>
      <c r="CA124" s="401">
        <v>0</v>
      </c>
      <c r="CB124" s="401">
        <v>0</v>
      </c>
    </row>
    <row r="125" spans="1:80" s="401" customFormat="1" x14ac:dyDescent="0.3">
      <c r="A125" s="1014">
        <v>364</v>
      </c>
      <c r="B125" s="1014">
        <v>364</v>
      </c>
      <c r="C125" s="1018">
        <v>364</v>
      </c>
      <c r="D125" s="1019" t="s">
        <v>1641</v>
      </c>
      <c r="E125" s="1020" t="s">
        <v>1682</v>
      </c>
      <c r="F125" s="1021">
        <v>51559000</v>
      </c>
      <c r="G125" s="1021">
        <v>215097000</v>
      </c>
      <c r="BC125" s="401">
        <v>0</v>
      </c>
      <c r="BD125" s="401">
        <v>0</v>
      </c>
      <c r="BE125" s="401">
        <v>0</v>
      </c>
      <c r="BF125" s="401">
        <v>6030</v>
      </c>
      <c r="BG125" s="401">
        <v>0</v>
      </c>
      <c r="BH125" s="401">
        <v>0</v>
      </c>
      <c r="BI125" s="401">
        <v>0</v>
      </c>
      <c r="BJ125" s="401">
        <v>0</v>
      </c>
      <c r="BK125" s="401">
        <v>0</v>
      </c>
      <c r="BL125" s="401">
        <v>0</v>
      </c>
      <c r="BM125" s="401">
        <v>0</v>
      </c>
      <c r="BN125" s="401">
        <v>0</v>
      </c>
      <c r="BO125" s="401">
        <v>0</v>
      </c>
      <c r="BP125" s="401">
        <v>0</v>
      </c>
      <c r="BQ125" s="401">
        <v>0</v>
      </c>
      <c r="BR125" s="401">
        <v>0</v>
      </c>
      <c r="BS125" s="401">
        <v>0</v>
      </c>
      <c r="BT125" s="401">
        <v>0</v>
      </c>
      <c r="BU125" s="401">
        <v>0</v>
      </c>
      <c r="BV125" s="401">
        <v>0</v>
      </c>
      <c r="BW125" s="401">
        <v>0</v>
      </c>
      <c r="BX125" s="401">
        <v>0</v>
      </c>
      <c r="BY125" s="401">
        <v>0</v>
      </c>
      <c r="BZ125" s="401">
        <v>0</v>
      </c>
      <c r="CA125" s="401">
        <v>0</v>
      </c>
      <c r="CB125" s="401">
        <v>0</v>
      </c>
    </row>
    <row r="126" spans="1:80" s="401" customFormat="1" x14ac:dyDescent="0.3">
      <c r="A126" s="1014">
        <v>365</v>
      </c>
      <c r="B126" s="1014">
        <v>365</v>
      </c>
      <c r="C126" s="1018">
        <v>365</v>
      </c>
      <c r="D126" s="1019" t="s">
        <v>1642</v>
      </c>
      <c r="E126" s="1020" t="s">
        <v>1682</v>
      </c>
      <c r="F126" s="1021" t="s">
        <v>1683</v>
      </c>
      <c r="G126" s="1021" t="s">
        <v>1684</v>
      </c>
      <c r="BC126" s="401">
        <v>0</v>
      </c>
      <c r="BD126" s="401">
        <v>0</v>
      </c>
      <c r="BE126" s="401">
        <v>0</v>
      </c>
      <c r="BF126" s="401">
        <v>0</v>
      </c>
      <c r="BG126" s="401">
        <v>0</v>
      </c>
      <c r="BH126" s="401">
        <v>0</v>
      </c>
      <c r="BI126" s="401">
        <v>0</v>
      </c>
      <c r="BJ126" s="401">
        <v>0</v>
      </c>
      <c r="BK126" s="401">
        <v>0</v>
      </c>
      <c r="BL126" s="401">
        <v>0</v>
      </c>
      <c r="BM126" s="401">
        <v>0</v>
      </c>
      <c r="BN126" s="401">
        <v>0</v>
      </c>
      <c r="BO126" s="401">
        <v>0</v>
      </c>
      <c r="BP126" s="401">
        <v>0</v>
      </c>
      <c r="BQ126" s="401">
        <v>0</v>
      </c>
      <c r="BR126" s="401">
        <v>0</v>
      </c>
      <c r="BS126" s="401">
        <v>0</v>
      </c>
      <c r="BT126" s="401">
        <v>0</v>
      </c>
      <c r="BU126" s="401">
        <v>0</v>
      </c>
      <c r="BV126" s="401">
        <v>0</v>
      </c>
      <c r="BW126" s="401">
        <v>0</v>
      </c>
      <c r="BX126" s="401">
        <v>0</v>
      </c>
      <c r="BY126" s="401">
        <v>0</v>
      </c>
      <c r="BZ126" s="401">
        <v>0</v>
      </c>
      <c r="CA126" s="401">
        <v>0</v>
      </c>
      <c r="CB126" s="401">
        <v>0</v>
      </c>
    </row>
    <row r="127" spans="1:80" s="401" customFormat="1" x14ac:dyDescent="0.3">
      <c r="A127" s="1014">
        <v>366</v>
      </c>
      <c r="B127" s="1014">
        <v>366</v>
      </c>
      <c r="C127" s="1018">
        <v>366</v>
      </c>
      <c r="D127" s="1019" t="s">
        <v>1643</v>
      </c>
      <c r="E127" s="1020" t="s">
        <v>1682</v>
      </c>
      <c r="F127" s="1021" t="s">
        <v>1683</v>
      </c>
      <c r="G127" s="1021" t="s">
        <v>1684</v>
      </c>
      <c r="BC127" s="401">
        <v>0</v>
      </c>
      <c r="BD127" s="401">
        <v>0</v>
      </c>
      <c r="BE127" s="401">
        <v>0</v>
      </c>
      <c r="BF127" s="401">
        <v>762245</v>
      </c>
      <c r="BG127" s="401">
        <v>0</v>
      </c>
      <c r="BH127" s="401">
        <v>0</v>
      </c>
      <c r="BI127" s="401">
        <v>0</v>
      </c>
      <c r="BJ127" s="401">
        <v>0</v>
      </c>
      <c r="BK127" s="401">
        <v>0</v>
      </c>
      <c r="BL127" s="401">
        <v>0</v>
      </c>
      <c r="BM127" s="401">
        <v>0</v>
      </c>
      <c r="BN127" s="401">
        <v>0</v>
      </c>
      <c r="BO127" s="401">
        <v>0</v>
      </c>
      <c r="BP127" s="401">
        <v>0</v>
      </c>
      <c r="BQ127" s="401">
        <v>0</v>
      </c>
      <c r="BR127" s="401">
        <v>0</v>
      </c>
      <c r="BS127" s="401">
        <v>0</v>
      </c>
      <c r="BT127" s="401">
        <v>0</v>
      </c>
      <c r="BU127" s="401">
        <v>0</v>
      </c>
      <c r="BV127" s="401">
        <v>0</v>
      </c>
      <c r="BW127" s="401">
        <v>0</v>
      </c>
      <c r="BX127" s="401">
        <v>0</v>
      </c>
      <c r="BY127" s="401">
        <v>0</v>
      </c>
      <c r="BZ127" s="401">
        <v>0</v>
      </c>
      <c r="CA127" s="401">
        <v>0</v>
      </c>
      <c r="CB127" s="401">
        <v>0</v>
      </c>
    </row>
    <row r="128" spans="1:80" s="401" customFormat="1" x14ac:dyDescent="0.3">
      <c r="A128" s="1014">
        <v>367</v>
      </c>
      <c r="B128" s="1014"/>
      <c r="C128" s="1018">
        <v>367</v>
      </c>
      <c r="D128" s="1019" t="s">
        <v>603</v>
      </c>
      <c r="E128" s="1020" t="s">
        <v>1682</v>
      </c>
      <c r="F128" s="1021" t="s">
        <v>1683</v>
      </c>
      <c r="G128" s="1021" t="s">
        <v>1684</v>
      </c>
    </row>
    <row r="129" spans="1:80" s="401" customFormat="1" x14ac:dyDescent="0.3">
      <c r="A129" s="1014">
        <v>368</v>
      </c>
      <c r="B129" s="1014"/>
      <c r="C129" s="1018">
        <v>368</v>
      </c>
      <c r="D129" s="1019" t="s">
        <v>1644</v>
      </c>
      <c r="E129" s="1020" t="s">
        <v>1682</v>
      </c>
      <c r="F129" s="1021" t="s">
        <v>1683</v>
      </c>
      <c r="G129" s="1021" t="s">
        <v>1684</v>
      </c>
      <c r="BC129" s="401">
        <v>0</v>
      </c>
      <c r="BD129" s="401">
        <v>0</v>
      </c>
      <c r="BE129" s="401">
        <v>0</v>
      </c>
      <c r="BF129" s="401">
        <v>0</v>
      </c>
      <c r="BG129" s="401">
        <v>0</v>
      </c>
      <c r="BH129" s="401">
        <v>0</v>
      </c>
      <c r="BI129" s="401">
        <v>0</v>
      </c>
      <c r="BJ129" s="401">
        <v>22090</v>
      </c>
      <c r="BK129" s="401">
        <v>0</v>
      </c>
      <c r="BL129" s="401">
        <v>155</v>
      </c>
      <c r="BM129" s="401">
        <v>0</v>
      </c>
      <c r="BN129" s="401">
        <v>0</v>
      </c>
      <c r="BO129" s="401">
        <v>7637</v>
      </c>
      <c r="BP129" s="401">
        <v>0</v>
      </c>
      <c r="BQ129" s="401">
        <v>0</v>
      </c>
      <c r="BR129" s="401">
        <v>0</v>
      </c>
      <c r="BS129" s="401">
        <v>33020</v>
      </c>
      <c r="BT129" s="401">
        <v>0</v>
      </c>
      <c r="BU129" s="401">
        <v>0</v>
      </c>
      <c r="BV129" s="401">
        <v>0</v>
      </c>
      <c r="BW129" s="401">
        <v>0</v>
      </c>
      <c r="BX129" s="401">
        <v>0</v>
      </c>
      <c r="BY129" s="401">
        <v>0</v>
      </c>
      <c r="BZ129" s="401">
        <v>0</v>
      </c>
      <c r="CA129" s="401">
        <v>863078</v>
      </c>
      <c r="CB129" s="401">
        <v>0</v>
      </c>
    </row>
    <row r="130" spans="1:80" s="401" customFormat="1" ht="28.8" x14ac:dyDescent="0.3">
      <c r="A130" s="1014">
        <v>369</v>
      </c>
      <c r="B130" s="1014"/>
      <c r="C130" s="1018">
        <v>369</v>
      </c>
      <c r="D130" s="1019" t="s">
        <v>1645</v>
      </c>
      <c r="E130" s="1020" t="s">
        <v>1682</v>
      </c>
      <c r="F130" s="1021" t="s">
        <v>1683</v>
      </c>
      <c r="G130" s="1021" t="s">
        <v>1684</v>
      </c>
      <c r="BC130" s="401">
        <v>857101</v>
      </c>
      <c r="BD130" s="401">
        <v>0</v>
      </c>
      <c r="BE130" s="401">
        <v>42866</v>
      </c>
      <c r="BF130" s="401">
        <v>3210244</v>
      </c>
      <c r="BG130" s="401">
        <v>0</v>
      </c>
      <c r="BH130" s="401">
        <v>49771</v>
      </c>
      <c r="BI130" s="401">
        <v>1399197</v>
      </c>
      <c r="BJ130" s="401">
        <v>138984</v>
      </c>
      <c r="BK130" s="401">
        <v>0</v>
      </c>
      <c r="BL130" s="401">
        <v>1970496</v>
      </c>
      <c r="BM130" s="401">
        <v>2005501</v>
      </c>
      <c r="BN130" s="401">
        <v>49869</v>
      </c>
      <c r="BO130" s="401">
        <v>1516479</v>
      </c>
      <c r="BP130" s="401">
        <v>818748</v>
      </c>
      <c r="BQ130" s="401">
        <v>551419</v>
      </c>
      <c r="BR130" s="401">
        <v>612233</v>
      </c>
      <c r="BS130" s="401">
        <v>673590</v>
      </c>
      <c r="BT130" s="401">
        <v>1363487</v>
      </c>
      <c r="BU130" s="401">
        <v>914547</v>
      </c>
      <c r="BV130" s="401">
        <v>444054</v>
      </c>
      <c r="BW130" s="401">
        <v>224595</v>
      </c>
      <c r="BX130" s="401">
        <v>468182</v>
      </c>
      <c r="BY130" s="401">
        <v>36662</v>
      </c>
      <c r="BZ130" s="401">
        <v>35011</v>
      </c>
      <c r="CA130" s="401">
        <v>6695775</v>
      </c>
      <c r="CB130" s="401">
        <v>27563</v>
      </c>
    </row>
    <row r="131" spans="1:80" s="401" customFormat="1" x14ac:dyDescent="0.3">
      <c r="A131" s="1014">
        <v>370</v>
      </c>
      <c r="B131" s="1014"/>
      <c r="C131" s="1018">
        <v>370</v>
      </c>
      <c r="D131" s="1019" t="s">
        <v>1646</v>
      </c>
      <c r="E131" s="1020" t="s">
        <v>1682</v>
      </c>
      <c r="F131" s="1021" t="s">
        <v>1683</v>
      </c>
      <c r="G131" s="1021" t="s">
        <v>1684</v>
      </c>
      <c r="BC131" s="401">
        <v>60429</v>
      </c>
      <c r="BD131" s="401">
        <v>0</v>
      </c>
      <c r="BE131" s="401">
        <v>0</v>
      </c>
      <c r="BF131" s="401">
        <v>1539320</v>
      </c>
      <c r="BG131" s="401">
        <v>0</v>
      </c>
      <c r="BH131" s="401">
        <v>0</v>
      </c>
      <c r="BI131" s="401">
        <v>23467</v>
      </c>
      <c r="BJ131" s="401">
        <v>61184</v>
      </c>
      <c r="BK131" s="401">
        <v>0</v>
      </c>
      <c r="BL131" s="401">
        <v>271196</v>
      </c>
      <c r="BM131" s="401">
        <v>0</v>
      </c>
      <c r="BN131" s="401">
        <v>0</v>
      </c>
      <c r="BO131" s="401">
        <v>220529</v>
      </c>
      <c r="BP131" s="401">
        <v>0</v>
      </c>
      <c r="BQ131" s="401">
        <v>12288</v>
      </c>
      <c r="BR131" s="401">
        <v>0</v>
      </c>
      <c r="BS131" s="401">
        <v>0</v>
      </c>
      <c r="BT131" s="401">
        <v>1090674</v>
      </c>
      <c r="BU131" s="401">
        <v>59295</v>
      </c>
      <c r="BV131" s="401">
        <v>76999</v>
      </c>
      <c r="BW131" s="401">
        <v>82104</v>
      </c>
      <c r="BX131" s="401">
        <v>0</v>
      </c>
      <c r="BY131" s="401">
        <v>0</v>
      </c>
      <c r="BZ131" s="401">
        <v>0</v>
      </c>
      <c r="CA131" s="401">
        <v>1536937</v>
      </c>
      <c r="CB131" s="401">
        <v>4956</v>
      </c>
    </row>
    <row r="132" spans="1:80" s="401" customFormat="1" x14ac:dyDescent="0.3">
      <c r="A132" s="1014">
        <v>371</v>
      </c>
      <c r="B132" s="1014"/>
      <c r="C132" s="1018">
        <v>371</v>
      </c>
      <c r="D132" s="1019" t="s">
        <v>1647</v>
      </c>
      <c r="E132" s="1020" t="s">
        <v>1682</v>
      </c>
      <c r="F132" s="1021" t="s">
        <v>1683</v>
      </c>
      <c r="G132" s="1021" t="s">
        <v>1684</v>
      </c>
      <c r="BC132" s="401">
        <v>0</v>
      </c>
      <c r="BD132" s="401">
        <v>0</v>
      </c>
      <c r="BE132" s="401">
        <v>0</v>
      </c>
      <c r="BF132" s="401">
        <v>0</v>
      </c>
      <c r="BG132" s="401">
        <v>0</v>
      </c>
      <c r="BH132" s="401">
        <v>0</v>
      </c>
      <c r="BI132" s="401">
        <v>0</v>
      </c>
      <c r="BJ132" s="401">
        <v>0</v>
      </c>
      <c r="BK132" s="401">
        <v>0</v>
      </c>
      <c r="BL132" s="401">
        <v>0</v>
      </c>
      <c r="BM132" s="401">
        <v>0</v>
      </c>
      <c r="BN132" s="401">
        <v>0</v>
      </c>
      <c r="BO132" s="401">
        <v>0</v>
      </c>
      <c r="BP132" s="401">
        <v>0</v>
      </c>
      <c r="BQ132" s="401">
        <v>0</v>
      </c>
      <c r="BR132" s="401">
        <v>0</v>
      </c>
      <c r="BS132" s="401">
        <v>0</v>
      </c>
      <c r="BT132" s="401">
        <v>0</v>
      </c>
      <c r="BU132" s="401">
        <v>0</v>
      </c>
      <c r="BV132" s="401">
        <v>0</v>
      </c>
      <c r="BW132" s="401">
        <v>0</v>
      </c>
      <c r="BX132" s="401">
        <v>0</v>
      </c>
      <c r="BY132" s="401">
        <v>0</v>
      </c>
      <c r="BZ132" s="401">
        <v>0</v>
      </c>
      <c r="CA132" s="401">
        <v>0</v>
      </c>
      <c r="CB132" s="401">
        <v>0</v>
      </c>
    </row>
    <row r="133" spans="1:80" s="401" customFormat="1" x14ac:dyDescent="0.3">
      <c r="A133" s="1014">
        <v>373</v>
      </c>
      <c r="B133" s="1014"/>
      <c r="C133" s="1018">
        <v>373</v>
      </c>
      <c r="D133" s="1019" t="s">
        <v>1648</v>
      </c>
      <c r="E133" s="1020" t="s">
        <v>1682</v>
      </c>
      <c r="F133" s="1021" t="s">
        <v>1683</v>
      </c>
      <c r="G133" s="1021" t="s">
        <v>1684</v>
      </c>
      <c r="BC133" s="401">
        <v>3773069</v>
      </c>
      <c r="BD133" s="401">
        <v>0</v>
      </c>
      <c r="BE133" s="401">
        <v>87916</v>
      </c>
      <c r="BF133" s="401">
        <v>25810710</v>
      </c>
      <c r="BG133" s="401">
        <v>0</v>
      </c>
      <c r="BH133" s="401">
        <v>98178</v>
      </c>
      <c r="BI133" s="401">
        <v>4498730</v>
      </c>
      <c r="BJ133" s="401">
        <v>3740345</v>
      </c>
      <c r="BK133" s="401">
        <v>0</v>
      </c>
      <c r="BL133" s="401">
        <v>9713890</v>
      </c>
      <c r="BM133" s="401">
        <v>4181121</v>
      </c>
      <c r="BN133" s="401">
        <v>113773</v>
      </c>
      <c r="BO133" s="401">
        <v>10048026</v>
      </c>
      <c r="BP133" s="401">
        <v>5921092</v>
      </c>
      <c r="BQ133" s="401">
        <v>744819</v>
      </c>
      <c r="BR133" s="401">
        <v>1952720</v>
      </c>
      <c r="BS133" s="401">
        <v>363062</v>
      </c>
      <c r="BT133" s="401">
        <v>119622405</v>
      </c>
      <c r="BU133" s="401">
        <v>2819623</v>
      </c>
      <c r="BV133" s="401">
        <v>3956837</v>
      </c>
      <c r="BW133" s="401">
        <v>754399</v>
      </c>
      <c r="BX133" s="401">
        <v>876572</v>
      </c>
      <c r="BY133" s="401">
        <v>35477</v>
      </c>
      <c r="BZ133" s="401">
        <v>62604</v>
      </c>
      <c r="CA133" s="401">
        <v>15999429</v>
      </c>
      <c r="CB133" s="401">
        <v>72671</v>
      </c>
    </row>
    <row r="134" spans="1:80" s="401" customFormat="1" x14ac:dyDescent="0.3">
      <c r="A134" s="1014">
        <v>375</v>
      </c>
      <c r="B134" s="1014"/>
      <c r="C134" s="1018">
        <v>375</v>
      </c>
      <c r="D134" s="1019" t="s">
        <v>1649</v>
      </c>
      <c r="E134" s="1020" t="s">
        <v>1682</v>
      </c>
      <c r="F134" s="1021" t="s">
        <v>1683</v>
      </c>
      <c r="G134" s="1021" t="s">
        <v>1684</v>
      </c>
      <c r="BC134" s="401">
        <v>482518</v>
      </c>
      <c r="BD134" s="401">
        <v>0</v>
      </c>
      <c r="BE134" s="401">
        <v>0</v>
      </c>
      <c r="BF134" s="401">
        <v>72167</v>
      </c>
      <c r="BG134" s="401">
        <v>0</v>
      </c>
      <c r="BH134" s="401">
        <v>0</v>
      </c>
      <c r="BI134" s="401">
        <v>2175811</v>
      </c>
      <c r="BJ134" s="401">
        <v>1934549</v>
      </c>
      <c r="BK134" s="401">
        <v>0</v>
      </c>
      <c r="BL134" s="401">
        <v>12787813</v>
      </c>
      <c r="BM134" s="401">
        <v>2220946</v>
      </c>
      <c r="BN134" s="401">
        <v>0</v>
      </c>
      <c r="BO134" s="401">
        <v>2189563</v>
      </c>
      <c r="BP134" s="401">
        <v>3910590</v>
      </c>
      <c r="BQ134" s="401">
        <v>1007395</v>
      </c>
      <c r="BR134" s="401">
        <v>1220077</v>
      </c>
      <c r="BS134" s="401">
        <v>0</v>
      </c>
      <c r="BT134" s="401">
        <v>0</v>
      </c>
      <c r="BU134" s="401">
        <v>1192745</v>
      </c>
      <c r="BV134" s="401">
        <v>-518361</v>
      </c>
      <c r="BW134" s="401">
        <v>199918</v>
      </c>
      <c r="BX134" s="401">
        <v>909649</v>
      </c>
      <c r="BY134" s="401">
        <v>0</v>
      </c>
      <c r="BZ134" s="401">
        <v>0</v>
      </c>
      <c r="CA134" s="401">
        <v>6837732</v>
      </c>
      <c r="CB134" s="401">
        <v>0</v>
      </c>
    </row>
    <row r="135" spans="1:80" s="401" customFormat="1" x14ac:dyDescent="0.3">
      <c r="A135" s="1014">
        <v>376</v>
      </c>
      <c r="B135" s="1014"/>
      <c r="C135" s="1018">
        <v>376</v>
      </c>
      <c r="D135" s="1019" t="s">
        <v>108</v>
      </c>
      <c r="E135" s="1020" t="s">
        <v>1682</v>
      </c>
      <c r="F135" s="1021" t="s">
        <v>1683</v>
      </c>
      <c r="G135" s="1021" t="s">
        <v>1684</v>
      </c>
      <c r="BC135" s="401">
        <v>0</v>
      </c>
      <c r="BD135" s="401">
        <v>0</v>
      </c>
      <c r="BE135" s="401">
        <v>0</v>
      </c>
      <c r="BF135" s="401">
        <v>-4550178</v>
      </c>
      <c r="BG135" s="401">
        <v>0</v>
      </c>
      <c r="BH135" s="401">
        <v>0</v>
      </c>
      <c r="BI135" s="401">
        <v>0</v>
      </c>
      <c r="BJ135" s="401">
        <v>0</v>
      </c>
      <c r="BK135" s="401">
        <v>0</v>
      </c>
      <c r="BL135" s="401">
        <v>0</v>
      </c>
      <c r="BM135" s="401">
        <v>0</v>
      </c>
      <c r="BN135" s="401">
        <v>0</v>
      </c>
      <c r="BO135" s="401">
        <v>0</v>
      </c>
      <c r="BP135" s="401">
        <v>0</v>
      </c>
      <c r="BQ135" s="401">
        <v>0</v>
      </c>
      <c r="BR135" s="401">
        <v>-1</v>
      </c>
      <c r="BS135" s="401">
        <v>0</v>
      </c>
      <c r="BT135" s="401">
        <v>0</v>
      </c>
      <c r="BU135" s="401">
        <v>0</v>
      </c>
      <c r="BV135" s="401">
        <v>0</v>
      </c>
      <c r="BW135" s="401">
        <v>-450000</v>
      </c>
      <c r="BX135" s="401">
        <v>0</v>
      </c>
      <c r="BY135" s="401">
        <v>0</v>
      </c>
      <c r="BZ135" s="401">
        <v>0</v>
      </c>
      <c r="CA135" s="401">
        <v>0</v>
      </c>
      <c r="CB135" s="401">
        <v>1</v>
      </c>
    </row>
    <row r="136" spans="1:80" s="401" customFormat="1" x14ac:dyDescent="0.3">
      <c r="A136" s="1014">
        <v>377</v>
      </c>
      <c r="B136" s="1014"/>
      <c r="C136" s="1018">
        <v>377</v>
      </c>
      <c r="D136" s="1019" t="s">
        <v>109</v>
      </c>
      <c r="E136" s="1020" t="s">
        <v>1682</v>
      </c>
      <c r="F136" s="1021" t="s">
        <v>1683</v>
      </c>
      <c r="G136" s="1021" t="s">
        <v>1684</v>
      </c>
      <c r="BC136" s="401">
        <v>0</v>
      </c>
      <c r="BD136" s="401">
        <v>0</v>
      </c>
      <c r="BE136" s="401">
        <v>0</v>
      </c>
      <c r="BF136" s="401">
        <v>479307</v>
      </c>
      <c r="BG136" s="401">
        <v>0</v>
      </c>
      <c r="BH136" s="401">
        <v>0</v>
      </c>
      <c r="BI136" s="401">
        <v>0</v>
      </c>
      <c r="BJ136" s="401">
        <v>0</v>
      </c>
      <c r="BK136" s="401">
        <v>0</v>
      </c>
      <c r="BL136" s="401">
        <v>0</v>
      </c>
      <c r="BM136" s="401">
        <v>0</v>
      </c>
      <c r="BN136" s="401">
        <v>0</v>
      </c>
      <c r="BO136" s="401">
        <v>0</v>
      </c>
      <c r="BP136" s="401">
        <v>0</v>
      </c>
      <c r="BQ136" s="401">
        <v>0</v>
      </c>
      <c r="BR136" s="401">
        <v>2</v>
      </c>
      <c r="BS136" s="401">
        <v>0</v>
      </c>
      <c r="BT136" s="401">
        <v>0</v>
      </c>
      <c r="BU136" s="401">
        <v>0</v>
      </c>
      <c r="BV136" s="401">
        <v>1</v>
      </c>
      <c r="BW136" s="401">
        <v>-1</v>
      </c>
      <c r="BX136" s="401">
        <v>0</v>
      </c>
      <c r="BY136" s="401">
        <v>0</v>
      </c>
      <c r="BZ136" s="401">
        <v>0</v>
      </c>
      <c r="CA136" s="401">
        <v>0</v>
      </c>
      <c r="CB136" s="401">
        <v>0</v>
      </c>
    </row>
    <row r="137" spans="1:80" s="401" customFormat="1" x14ac:dyDescent="0.3">
      <c r="A137" s="1014">
        <v>378</v>
      </c>
      <c r="B137" s="1014">
        <v>378</v>
      </c>
      <c r="C137" s="1018">
        <v>378</v>
      </c>
      <c r="D137" s="1019" t="s">
        <v>110</v>
      </c>
      <c r="E137" s="1020" t="s">
        <v>1682</v>
      </c>
      <c r="F137" s="1021" t="s">
        <v>1683</v>
      </c>
      <c r="G137" s="1021" t="s">
        <v>1684</v>
      </c>
      <c r="BC137" s="401">
        <v>0</v>
      </c>
      <c r="BD137" s="401">
        <v>0</v>
      </c>
      <c r="BE137" s="401">
        <v>0</v>
      </c>
      <c r="BF137" s="401">
        <v>2226188</v>
      </c>
      <c r="BG137" s="401">
        <v>0</v>
      </c>
      <c r="BH137" s="401">
        <v>0</v>
      </c>
      <c r="BI137" s="401">
        <v>0</v>
      </c>
      <c r="BJ137" s="401">
        <v>0</v>
      </c>
      <c r="BK137" s="401">
        <v>0</v>
      </c>
      <c r="BL137" s="401">
        <v>0</v>
      </c>
      <c r="BM137" s="401">
        <v>0</v>
      </c>
      <c r="BN137" s="401">
        <v>0</v>
      </c>
      <c r="BO137" s="401">
        <v>0</v>
      </c>
      <c r="BP137" s="401">
        <v>0</v>
      </c>
      <c r="BQ137" s="401">
        <v>0</v>
      </c>
      <c r="BR137" s="401">
        <v>0</v>
      </c>
      <c r="BS137" s="401">
        <v>0</v>
      </c>
      <c r="BT137" s="401">
        <v>0</v>
      </c>
      <c r="BU137" s="401">
        <v>0</v>
      </c>
      <c r="BV137" s="401">
        <v>0</v>
      </c>
      <c r="BW137" s="401">
        <v>0</v>
      </c>
      <c r="BX137" s="401">
        <v>0</v>
      </c>
      <c r="BY137" s="401">
        <v>0</v>
      </c>
      <c r="BZ137" s="401">
        <v>0</v>
      </c>
      <c r="CA137" s="401">
        <v>0</v>
      </c>
      <c r="CB137" s="401">
        <v>0</v>
      </c>
    </row>
    <row r="138" spans="1:80" s="401" customFormat="1" x14ac:dyDescent="0.3">
      <c r="A138" s="1014">
        <v>379</v>
      </c>
      <c r="B138" s="1014"/>
      <c r="C138" s="1018">
        <v>379</v>
      </c>
      <c r="D138" s="1019" t="s">
        <v>118</v>
      </c>
      <c r="E138" s="1020" t="s">
        <v>1682</v>
      </c>
      <c r="F138" s="1021" t="s">
        <v>1683</v>
      </c>
      <c r="G138" s="1021" t="s">
        <v>1684</v>
      </c>
      <c r="BC138" s="401">
        <v>1947516</v>
      </c>
      <c r="BD138" s="401">
        <v>0</v>
      </c>
      <c r="BE138" s="401">
        <v>404100</v>
      </c>
      <c r="BF138" s="401">
        <v>7507234</v>
      </c>
      <c r="BG138" s="401">
        <v>0</v>
      </c>
      <c r="BH138" s="401">
        <v>185339</v>
      </c>
      <c r="BI138" s="401">
        <v>3037385</v>
      </c>
      <c r="BJ138" s="401">
        <v>3862533</v>
      </c>
      <c r="BK138" s="401">
        <v>0</v>
      </c>
      <c r="BL138" s="401">
        <v>3465457</v>
      </c>
      <c r="BM138" s="401">
        <v>6236100</v>
      </c>
      <c r="BN138" s="401">
        <v>141989</v>
      </c>
      <c r="BO138" s="401">
        <v>4783507</v>
      </c>
      <c r="BP138" s="401">
        <v>3875164</v>
      </c>
      <c r="BQ138" s="401">
        <v>1725155</v>
      </c>
      <c r="BR138" s="401">
        <v>3090698</v>
      </c>
      <c r="BS138" s="401">
        <v>2163436</v>
      </c>
      <c r="BT138" s="401">
        <v>13822058</v>
      </c>
      <c r="BU138" s="401">
        <v>3018789</v>
      </c>
      <c r="BV138" s="401">
        <v>2086608</v>
      </c>
      <c r="BW138" s="401">
        <v>1125269</v>
      </c>
      <c r="BX138" s="401">
        <v>1331772</v>
      </c>
      <c r="BY138" s="401">
        <v>187048</v>
      </c>
      <c r="BZ138" s="401">
        <v>217423</v>
      </c>
      <c r="CA138" s="401">
        <v>16790502</v>
      </c>
      <c r="CB138" s="401">
        <v>114946</v>
      </c>
    </row>
    <row r="139" spans="1:80" s="401" customFormat="1" ht="28.8" x14ac:dyDescent="0.3">
      <c r="A139" s="1014">
        <v>380</v>
      </c>
      <c r="B139" s="1014"/>
      <c r="C139" s="1018">
        <v>380</v>
      </c>
      <c r="D139" s="1019" t="s">
        <v>121</v>
      </c>
      <c r="E139" s="1020" t="s">
        <v>1682</v>
      </c>
      <c r="F139" s="1021" t="s">
        <v>1683</v>
      </c>
      <c r="G139" s="1021" t="s">
        <v>1684</v>
      </c>
      <c r="BC139" s="401">
        <v>36333</v>
      </c>
      <c r="BD139" s="401">
        <v>0</v>
      </c>
      <c r="BE139" s="401">
        <v>4328</v>
      </c>
      <c r="BF139" s="401">
        <v>578807</v>
      </c>
      <c r="BG139" s="401">
        <v>0</v>
      </c>
      <c r="BH139" s="401">
        <v>1622</v>
      </c>
      <c r="BI139" s="401">
        <v>47490</v>
      </c>
      <c r="BJ139" s="401">
        <v>58391</v>
      </c>
      <c r="BK139" s="401">
        <v>0</v>
      </c>
      <c r="BL139" s="401">
        <v>16442</v>
      </c>
      <c r="BM139" s="401">
        <v>44469</v>
      </c>
      <c r="BN139" s="401">
        <v>0</v>
      </c>
      <c r="BO139" s="401">
        <v>78877</v>
      </c>
      <c r="BP139" s="401">
        <v>37727</v>
      </c>
      <c r="BQ139" s="401">
        <v>25299</v>
      </c>
      <c r="BR139" s="401">
        <v>50285</v>
      </c>
      <c r="BS139" s="401">
        <v>3464</v>
      </c>
      <c r="BT139" s="401">
        <v>376628</v>
      </c>
      <c r="BU139" s="401">
        <v>500196</v>
      </c>
      <c r="BV139" s="401">
        <v>30651</v>
      </c>
      <c r="BW139" s="401">
        <v>525325</v>
      </c>
      <c r="BX139" s="401">
        <v>5047</v>
      </c>
      <c r="BY139" s="401">
        <v>420</v>
      </c>
      <c r="BZ139" s="401">
        <v>674</v>
      </c>
      <c r="CA139" s="401">
        <v>110641</v>
      </c>
      <c r="CB139" s="401">
        <v>12064</v>
      </c>
    </row>
    <row r="140" spans="1:80" s="401" customFormat="1" x14ac:dyDescent="0.3">
      <c r="A140" s="1014">
        <v>381</v>
      </c>
      <c r="B140" s="1014"/>
      <c r="C140" s="1018">
        <v>381</v>
      </c>
      <c r="D140" s="1019" t="s">
        <v>113</v>
      </c>
      <c r="E140" s="1020" t="s">
        <v>1682</v>
      </c>
      <c r="F140" s="1021" t="s">
        <v>1683</v>
      </c>
      <c r="G140" s="1021" t="s">
        <v>1684</v>
      </c>
      <c r="BC140" s="401">
        <v>3681026</v>
      </c>
      <c r="BD140" s="401">
        <v>0</v>
      </c>
      <c r="BE140" s="401">
        <v>0</v>
      </c>
      <c r="BF140" s="401">
        <v>61460676</v>
      </c>
      <c r="BG140" s="401">
        <v>0</v>
      </c>
      <c r="BH140" s="401">
        <v>0</v>
      </c>
      <c r="BI140" s="401">
        <v>7677098</v>
      </c>
      <c r="BJ140" s="401">
        <v>7663619</v>
      </c>
      <c r="BK140" s="401">
        <v>0</v>
      </c>
      <c r="BL140" s="401">
        <v>13721558</v>
      </c>
      <c r="BM140" s="401">
        <v>8462815</v>
      </c>
      <c r="BN140" s="401">
        <v>0</v>
      </c>
      <c r="BO140" s="401">
        <v>21355927</v>
      </c>
      <c r="BP140" s="401">
        <v>12624222</v>
      </c>
      <c r="BQ140" s="401">
        <v>8940927</v>
      </c>
      <c r="BR140" s="401">
        <v>7040594</v>
      </c>
      <c r="BS140" s="401">
        <v>0</v>
      </c>
      <c r="BT140" s="401">
        <v>0</v>
      </c>
      <c r="BU140" s="401">
        <v>7030022</v>
      </c>
      <c r="BV140" s="401">
        <v>17529503</v>
      </c>
      <c r="BW140" s="401">
        <v>5670917</v>
      </c>
      <c r="BX140" s="401">
        <v>3214217</v>
      </c>
      <c r="BY140" s="401">
        <v>0</v>
      </c>
      <c r="BZ140" s="401">
        <v>0</v>
      </c>
      <c r="CA140" s="401">
        <v>63410531</v>
      </c>
      <c r="CB140" s="401">
        <v>0</v>
      </c>
    </row>
    <row r="141" spans="1:80" s="401" customFormat="1" x14ac:dyDescent="0.3">
      <c r="A141" s="1014">
        <v>382</v>
      </c>
      <c r="B141" s="1014">
        <v>382</v>
      </c>
      <c r="C141" s="1018">
        <v>382</v>
      </c>
      <c r="D141" s="1019" t="s">
        <v>114</v>
      </c>
      <c r="E141" s="1020">
        <v>21100445</v>
      </c>
      <c r="F141" s="1021">
        <v>430161000</v>
      </c>
      <c r="G141" s="1021">
        <v>2252124000</v>
      </c>
      <c r="BC141" s="401">
        <v>0</v>
      </c>
      <c r="BD141" s="401">
        <v>0</v>
      </c>
      <c r="BE141" s="401">
        <v>0</v>
      </c>
      <c r="BF141" s="401">
        <v>30090334</v>
      </c>
      <c r="BG141" s="401">
        <v>0</v>
      </c>
      <c r="BH141" s="401">
        <v>0</v>
      </c>
      <c r="BI141" s="401">
        <v>0</v>
      </c>
      <c r="BJ141" s="401">
        <v>0</v>
      </c>
      <c r="BK141" s="401">
        <v>0</v>
      </c>
      <c r="BL141" s="401">
        <v>5925114</v>
      </c>
      <c r="BM141" s="401">
        <v>0</v>
      </c>
      <c r="BN141" s="401">
        <v>0</v>
      </c>
      <c r="BO141" s="401">
        <v>0</v>
      </c>
      <c r="BP141" s="401">
        <v>0</v>
      </c>
      <c r="BQ141" s="401">
        <v>0</v>
      </c>
      <c r="BR141" s="401">
        <v>0</v>
      </c>
      <c r="BS141" s="401">
        <v>0</v>
      </c>
      <c r="BT141" s="401">
        <v>0</v>
      </c>
      <c r="BU141" s="401">
        <v>0</v>
      </c>
      <c r="BV141" s="401">
        <v>0</v>
      </c>
      <c r="BW141" s="401">
        <v>0</v>
      </c>
      <c r="BX141" s="401">
        <v>0</v>
      </c>
      <c r="BY141" s="401">
        <v>0</v>
      </c>
      <c r="BZ141" s="401">
        <v>0</v>
      </c>
      <c r="CA141" s="401">
        <v>0</v>
      </c>
      <c r="CB141" s="401">
        <v>0</v>
      </c>
    </row>
    <row r="142" spans="1:80" s="401" customFormat="1" x14ac:dyDescent="0.3">
      <c r="A142" s="1014">
        <v>383</v>
      </c>
      <c r="B142" s="1014"/>
      <c r="C142" s="1018">
        <v>383</v>
      </c>
      <c r="D142" s="1019" t="s">
        <v>1650</v>
      </c>
      <c r="E142" s="1020" t="s">
        <v>1682</v>
      </c>
      <c r="F142" s="1021" t="s">
        <v>1683</v>
      </c>
      <c r="G142" s="1021" t="s">
        <v>1684</v>
      </c>
      <c r="BC142" s="401">
        <v>0</v>
      </c>
      <c r="BD142" s="401">
        <v>0</v>
      </c>
      <c r="BE142" s="401">
        <v>0</v>
      </c>
      <c r="BF142" s="401">
        <v>0</v>
      </c>
      <c r="BG142" s="401">
        <v>0</v>
      </c>
      <c r="BH142" s="401">
        <v>0</v>
      </c>
      <c r="BI142" s="401">
        <v>0</v>
      </c>
      <c r="BJ142" s="401">
        <v>0</v>
      </c>
      <c r="BK142" s="401">
        <v>0</v>
      </c>
      <c r="BL142" s="401">
        <v>0</v>
      </c>
      <c r="BM142" s="401">
        <v>0</v>
      </c>
      <c r="BN142" s="401">
        <v>0</v>
      </c>
      <c r="BO142" s="401">
        <v>0</v>
      </c>
      <c r="BP142" s="401">
        <v>6921</v>
      </c>
      <c r="BQ142" s="401">
        <v>0</v>
      </c>
      <c r="BR142" s="401">
        <v>0</v>
      </c>
      <c r="BS142" s="401">
        <v>0</v>
      </c>
      <c r="BT142" s="401">
        <v>0</v>
      </c>
      <c r="BU142" s="401">
        <v>0</v>
      </c>
      <c r="BV142" s="401">
        <v>0</v>
      </c>
      <c r="BW142" s="401">
        <v>25000</v>
      </c>
      <c r="BX142" s="401">
        <v>0</v>
      </c>
      <c r="BY142" s="401">
        <v>0</v>
      </c>
      <c r="BZ142" s="401">
        <v>0</v>
      </c>
      <c r="CA142" s="401">
        <v>0</v>
      </c>
      <c r="CB142" s="401">
        <v>0</v>
      </c>
    </row>
    <row r="143" spans="1:80" s="401" customFormat="1" ht="28.8" x14ac:dyDescent="0.3">
      <c r="A143" s="1014">
        <v>384</v>
      </c>
      <c r="B143" s="1014">
        <v>384</v>
      </c>
      <c r="C143" s="1018">
        <v>384</v>
      </c>
      <c r="D143" s="1019" t="s">
        <v>124</v>
      </c>
      <c r="E143" s="1020" t="s">
        <v>1682</v>
      </c>
      <c r="F143" s="1021" t="s">
        <v>1683</v>
      </c>
      <c r="G143" s="1021" t="s">
        <v>1684</v>
      </c>
      <c r="BC143" s="401">
        <v>0</v>
      </c>
      <c r="BD143" s="401">
        <v>0</v>
      </c>
      <c r="BE143" s="401">
        <v>0</v>
      </c>
      <c r="BF143" s="401">
        <v>0</v>
      </c>
      <c r="BG143" s="401">
        <v>0</v>
      </c>
      <c r="BH143" s="401">
        <v>0</v>
      </c>
      <c r="BI143" s="401">
        <v>0</v>
      </c>
      <c r="BJ143" s="401">
        <v>0</v>
      </c>
      <c r="BK143" s="401">
        <v>0</v>
      </c>
      <c r="BL143" s="401">
        <v>0</v>
      </c>
      <c r="BM143" s="401">
        <v>0</v>
      </c>
      <c r="BN143" s="401">
        <v>0</v>
      </c>
      <c r="BO143" s="401">
        <v>0</v>
      </c>
      <c r="BP143" s="401">
        <v>0</v>
      </c>
      <c r="BQ143" s="401">
        <v>0</v>
      </c>
      <c r="BR143" s="401">
        <v>0</v>
      </c>
      <c r="BS143" s="401">
        <v>0</v>
      </c>
      <c r="BT143" s="401">
        <v>0</v>
      </c>
      <c r="BU143" s="401">
        <v>0</v>
      </c>
      <c r="BV143" s="401">
        <v>0</v>
      </c>
      <c r="BW143" s="401">
        <v>0</v>
      </c>
      <c r="BX143" s="401">
        <v>0</v>
      </c>
      <c r="BY143" s="401">
        <v>0</v>
      </c>
      <c r="BZ143" s="401">
        <v>0</v>
      </c>
      <c r="CA143" s="401">
        <v>0</v>
      </c>
      <c r="CB143" s="401">
        <v>0</v>
      </c>
    </row>
    <row r="144" spans="1:80" s="401" customFormat="1" x14ac:dyDescent="0.3">
      <c r="A144" s="1014">
        <v>385</v>
      </c>
      <c r="B144" s="1014"/>
      <c r="C144" s="1018">
        <v>385</v>
      </c>
      <c r="D144" s="1019" t="s">
        <v>115</v>
      </c>
      <c r="E144" s="1020" t="s">
        <v>1682</v>
      </c>
      <c r="F144" s="1021" t="s">
        <v>1683</v>
      </c>
      <c r="G144" s="1021" t="s">
        <v>1684</v>
      </c>
      <c r="BC144" s="401">
        <v>3773154</v>
      </c>
      <c r="BD144" s="401">
        <v>0</v>
      </c>
      <c r="BE144" s="401">
        <v>422501</v>
      </c>
      <c r="BF144" s="401">
        <v>57771185</v>
      </c>
      <c r="BG144" s="401">
        <v>0</v>
      </c>
      <c r="BH144" s="401">
        <v>236755</v>
      </c>
      <c r="BI144" s="401">
        <v>6523811</v>
      </c>
      <c r="BJ144" s="401">
        <v>11712869</v>
      </c>
      <c r="BK144" s="401">
        <v>0</v>
      </c>
      <c r="BL144" s="401">
        <v>15137769</v>
      </c>
      <c r="BM144" s="401">
        <v>14441091</v>
      </c>
      <c r="BN144" s="401">
        <v>189429</v>
      </c>
      <c r="BO144" s="401">
        <v>15653783</v>
      </c>
      <c r="BP144" s="401">
        <v>8379262</v>
      </c>
      <c r="BQ144" s="401">
        <v>2394194</v>
      </c>
      <c r="BR144" s="401">
        <v>4749806</v>
      </c>
      <c r="BS144" s="401">
        <v>11886705</v>
      </c>
      <c r="BT144" s="401">
        <v>277792914</v>
      </c>
      <c r="BU144" s="401">
        <v>5491723</v>
      </c>
      <c r="BV144" s="401">
        <v>5349198</v>
      </c>
      <c r="BW144" s="401">
        <v>2523357</v>
      </c>
      <c r="BX144" s="401">
        <v>4774260</v>
      </c>
      <c r="BY144" s="401">
        <v>194841</v>
      </c>
      <c r="BZ144" s="401">
        <v>223162</v>
      </c>
      <c r="CA144" s="401">
        <v>80045301</v>
      </c>
      <c r="CB144" s="401">
        <v>365922</v>
      </c>
    </row>
    <row r="145" spans="1:80" s="401" customFormat="1" x14ac:dyDescent="0.3">
      <c r="A145" s="1014">
        <v>386</v>
      </c>
      <c r="B145" s="1014"/>
      <c r="C145" s="1018">
        <v>386</v>
      </c>
      <c r="D145" s="1019" t="s">
        <v>1651</v>
      </c>
      <c r="E145" s="1020" t="s">
        <v>1682</v>
      </c>
      <c r="F145" s="1021" t="s">
        <v>1683</v>
      </c>
      <c r="G145" s="1021" t="s">
        <v>1684</v>
      </c>
      <c r="BC145" s="401">
        <v>0</v>
      </c>
      <c r="BD145" s="401">
        <v>0</v>
      </c>
      <c r="BE145" s="401">
        <v>0</v>
      </c>
      <c r="BF145" s="401">
        <v>788145</v>
      </c>
      <c r="BG145" s="401">
        <v>0</v>
      </c>
      <c r="BH145" s="401">
        <v>0</v>
      </c>
      <c r="BI145" s="401">
        <v>0</v>
      </c>
      <c r="BJ145" s="401">
        <v>0</v>
      </c>
      <c r="BK145" s="401">
        <v>0</v>
      </c>
      <c r="BL145" s="401">
        <v>0</v>
      </c>
      <c r="BM145" s="401">
        <v>0</v>
      </c>
      <c r="BN145" s="401">
        <v>0</v>
      </c>
      <c r="BO145" s="401">
        <v>173000</v>
      </c>
      <c r="BP145" s="401">
        <v>0</v>
      </c>
      <c r="BQ145" s="401">
        <v>0</v>
      </c>
      <c r="BR145" s="401">
        <v>1495868</v>
      </c>
      <c r="BS145" s="401">
        <v>0</v>
      </c>
      <c r="BT145" s="401">
        <v>0</v>
      </c>
      <c r="BU145" s="401">
        <v>0</v>
      </c>
      <c r="BV145" s="401">
        <v>0</v>
      </c>
      <c r="BW145" s="401">
        <v>0</v>
      </c>
      <c r="BX145" s="401">
        <v>0</v>
      </c>
      <c r="BY145" s="401">
        <v>0</v>
      </c>
      <c r="BZ145" s="401">
        <v>0</v>
      </c>
      <c r="CA145" s="401">
        <v>0</v>
      </c>
      <c r="CB145" s="401">
        <v>0</v>
      </c>
    </row>
    <row r="146" spans="1:80" s="401" customFormat="1" x14ac:dyDescent="0.3">
      <c r="A146" s="1014">
        <v>387</v>
      </c>
      <c r="B146" s="1014"/>
      <c r="C146" s="1018">
        <v>387</v>
      </c>
      <c r="D146" s="1019" t="s">
        <v>1652</v>
      </c>
      <c r="E146" s="1020" t="s">
        <v>1682</v>
      </c>
      <c r="F146" s="1021" t="s">
        <v>1683</v>
      </c>
      <c r="G146" s="1021" t="s">
        <v>1684</v>
      </c>
      <c r="BC146" s="401">
        <v>0</v>
      </c>
      <c r="BD146" s="401">
        <v>0</v>
      </c>
      <c r="BE146" s="401">
        <v>0</v>
      </c>
      <c r="BF146" s="401">
        <v>25900</v>
      </c>
      <c r="BG146" s="401">
        <v>0</v>
      </c>
      <c r="BH146" s="401">
        <v>0</v>
      </c>
      <c r="BI146" s="401">
        <v>0</v>
      </c>
      <c r="BJ146" s="401">
        <v>0</v>
      </c>
      <c r="BK146" s="401">
        <v>0</v>
      </c>
      <c r="BL146" s="401">
        <v>0</v>
      </c>
      <c r="BM146" s="401">
        <v>0</v>
      </c>
      <c r="BN146" s="401">
        <v>0</v>
      </c>
      <c r="BO146" s="401">
        <v>0</v>
      </c>
      <c r="BP146" s="401">
        <v>0</v>
      </c>
      <c r="BQ146" s="401">
        <v>0</v>
      </c>
      <c r="BR146" s="401">
        <v>0</v>
      </c>
      <c r="BS146" s="401">
        <v>0</v>
      </c>
      <c r="BT146" s="401">
        <v>0</v>
      </c>
      <c r="BU146" s="401">
        <v>6211</v>
      </c>
      <c r="BV146" s="401">
        <v>21072</v>
      </c>
      <c r="BW146" s="401">
        <v>129596</v>
      </c>
      <c r="BX146" s="401">
        <v>0</v>
      </c>
      <c r="BY146" s="401">
        <v>0</v>
      </c>
      <c r="BZ146" s="401">
        <v>0</v>
      </c>
      <c r="CA146" s="401">
        <v>1395</v>
      </c>
      <c r="CB146" s="401">
        <v>0</v>
      </c>
    </row>
    <row r="147" spans="1:80" s="401" customFormat="1" x14ac:dyDescent="0.3">
      <c r="A147" s="1014">
        <v>388</v>
      </c>
      <c r="B147" s="1014"/>
      <c r="C147" s="1018">
        <v>388</v>
      </c>
      <c r="D147" s="1019" t="s">
        <v>1653</v>
      </c>
      <c r="E147" s="1020" t="s">
        <v>1682</v>
      </c>
      <c r="F147" s="1021" t="s">
        <v>1683</v>
      </c>
      <c r="G147" s="1021" t="s">
        <v>1684</v>
      </c>
      <c r="BC147" s="401">
        <v>2593760</v>
      </c>
      <c r="BD147" s="401">
        <v>0</v>
      </c>
      <c r="BE147" s="401">
        <v>69217</v>
      </c>
      <c r="BF147" s="401">
        <v>31996497</v>
      </c>
      <c r="BG147" s="401">
        <v>0</v>
      </c>
      <c r="BH147" s="401">
        <v>54089</v>
      </c>
      <c r="BI147" s="401">
        <v>3829487</v>
      </c>
      <c r="BJ147" s="401">
        <v>2497138</v>
      </c>
      <c r="BK147" s="401">
        <v>0</v>
      </c>
      <c r="BL147" s="401">
        <v>9055035</v>
      </c>
      <c r="BM147" s="401">
        <v>4718111</v>
      </c>
      <c r="BN147" s="401">
        <v>44587</v>
      </c>
      <c r="BO147" s="401">
        <v>8753077</v>
      </c>
      <c r="BP147" s="401">
        <v>1843615</v>
      </c>
      <c r="BQ147" s="401">
        <v>1128251</v>
      </c>
      <c r="BR147" s="401">
        <v>2097243</v>
      </c>
      <c r="BS147" s="401">
        <v>1255505</v>
      </c>
      <c r="BT147" s="401">
        <v>26250443</v>
      </c>
      <c r="BU147" s="401">
        <v>2117639</v>
      </c>
      <c r="BV147" s="401">
        <v>2761065</v>
      </c>
      <c r="BW147" s="401">
        <v>1254934</v>
      </c>
      <c r="BX147" s="401">
        <v>920300</v>
      </c>
      <c r="BY147" s="401">
        <v>32146</v>
      </c>
      <c r="BZ147" s="401">
        <v>41461</v>
      </c>
      <c r="CA147" s="401">
        <v>19434064</v>
      </c>
      <c r="CB147" s="401">
        <v>76600</v>
      </c>
    </row>
    <row r="148" spans="1:80" s="401" customFormat="1" x14ac:dyDescent="0.3">
      <c r="A148" s="1014">
        <v>389</v>
      </c>
      <c r="B148" s="1014"/>
      <c r="C148" s="1018">
        <v>389</v>
      </c>
      <c r="D148" s="1019" t="s">
        <v>1654</v>
      </c>
      <c r="E148" s="1020" t="s">
        <v>1682</v>
      </c>
      <c r="F148" s="1021" t="s">
        <v>1683</v>
      </c>
      <c r="G148" s="1021" t="s">
        <v>1684</v>
      </c>
      <c r="BC148" s="401">
        <v>0</v>
      </c>
      <c r="BD148" s="401">
        <v>0</v>
      </c>
      <c r="BE148" s="401">
        <v>0</v>
      </c>
      <c r="BF148" s="401">
        <v>0</v>
      </c>
      <c r="BG148" s="401">
        <v>0</v>
      </c>
      <c r="BH148" s="401">
        <v>0</v>
      </c>
      <c r="BI148" s="401">
        <v>0</v>
      </c>
      <c r="BJ148" s="401">
        <v>0</v>
      </c>
      <c r="BK148" s="401">
        <v>0</v>
      </c>
      <c r="BL148" s="401">
        <v>0</v>
      </c>
      <c r="BM148" s="401">
        <v>0</v>
      </c>
      <c r="BN148" s="401">
        <v>0</v>
      </c>
      <c r="BO148" s="401">
        <v>0</v>
      </c>
      <c r="BP148" s="401">
        <v>0</v>
      </c>
      <c r="BQ148" s="401">
        <v>0</v>
      </c>
      <c r="BR148" s="401">
        <v>0</v>
      </c>
      <c r="BS148" s="401">
        <v>0</v>
      </c>
      <c r="BT148" s="401">
        <v>0</v>
      </c>
      <c r="BU148" s="401">
        <v>0</v>
      </c>
      <c r="BV148" s="401">
        <v>0</v>
      </c>
      <c r="BW148" s="401">
        <v>0</v>
      </c>
      <c r="BX148" s="401">
        <v>0</v>
      </c>
      <c r="BY148" s="401">
        <v>0</v>
      </c>
      <c r="BZ148" s="401">
        <v>0</v>
      </c>
      <c r="CA148" s="401">
        <v>0</v>
      </c>
      <c r="CB148" s="401">
        <v>0</v>
      </c>
    </row>
    <row r="149" spans="1:80" s="401" customFormat="1" x14ac:dyDescent="0.3">
      <c r="A149" s="1014">
        <v>391</v>
      </c>
      <c r="B149" s="1014"/>
      <c r="C149" s="1018">
        <v>391</v>
      </c>
      <c r="D149" s="1019" t="s">
        <v>1655</v>
      </c>
      <c r="E149" s="1020" t="s">
        <v>1682</v>
      </c>
      <c r="F149" s="1021" t="s">
        <v>1683</v>
      </c>
      <c r="G149" s="1021" t="s">
        <v>1684</v>
      </c>
      <c r="BC149" s="401">
        <v>135873</v>
      </c>
      <c r="BD149" s="401">
        <v>0</v>
      </c>
      <c r="BE149" s="401">
        <v>7378</v>
      </c>
      <c r="BF149" s="401">
        <v>2644342</v>
      </c>
      <c r="BG149" s="401">
        <v>0</v>
      </c>
      <c r="BH149" s="401">
        <v>5911</v>
      </c>
      <c r="BI149" s="401">
        <v>256323</v>
      </c>
      <c r="BJ149" s="401">
        <v>329696</v>
      </c>
      <c r="BK149" s="401">
        <v>0</v>
      </c>
      <c r="BL149" s="401">
        <v>689755</v>
      </c>
      <c r="BM149" s="401">
        <v>364769</v>
      </c>
      <c r="BN149" s="401">
        <v>5800</v>
      </c>
      <c r="BO149" s="401">
        <v>928658</v>
      </c>
      <c r="BP149" s="401">
        <v>200207</v>
      </c>
      <c r="BQ149" s="401">
        <v>78564</v>
      </c>
      <c r="BR149" s="401">
        <v>326850</v>
      </c>
      <c r="BS149" s="401">
        <v>61635</v>
      </c>
      <c r="BT149" s="401">
        <v>1529483</v>
      </c>
      <c r="BU149" s="401">
        <v>305666</v>
      </c>
      <c r="BV149" s="401">
        <v>208288</v>
      </c>
      <c r="BW149" s="401">
        <v>104263</v>
      </c>
      <c r="BX149" s="401">
        <v>454037</v>
      </c>
      <c r="BY149" s="401">
        <v>966</v>
      </c>
      <c r="BZ149" s="401">
        <v>5323</v>
      </c>
      <c r="CA149" s="401">
        <v>2422768</v>
      </c>
      <c r="CB149" s="401">
        <v>3541</v>
      </c>
    </row>
    <row r="150" spans="1:80" s="401" customFormat="1" ht="28.8" x14ac:dyDescent="0.3">
      <c r="A150" s="1014">
        <v>500</v>
      </c>
      <c r="B150" s="1014"/>
      <c r="C150" s="1018">
        <v>500</v>
      </c>
      <c r="D150" s="1019" t="s">
        <v>1656</v>
      </c>
      <c r="E150" s="1020" t="s">
        <v>1682</v>
      </c>
      <c r="F150" s="1021" t="s">
        <v>1683</v>
      </c>
      <c r="G150" s="1021" t="s">
        <v>1684</v>
      </c>
      <c r="BC150" s="401">
        <v>526464</v>
      </c>
      <c r="BD150" s="401">
        <v>0</v>
      </c>
      <c r="BE150" s="401">
        <v>8482</v>
      </c>
      <c r="BF150" s="401">
        <v>1193288</v>
      </c>
      <c r="BG150" s="401">
        <v>0</v>
      </c>
      <c r="BH150" s="401">
        <v>23601</v>
      </c>
      <c r="BI150" s="401">
        <v>7771</v>
      </c>
      <c r="BJ150" s="401">
        <v>145974</v>
      </c>
      <c r="BK150" s="401">
        <v>0</v>
      </c>
      <c r="BL150" s="401">
        <v>263304</v>
      </c>
      <c r="BM150" s="401">
        <v>67699</v>
      </c>
      <c r="BN150" s="401">
        <v>0</v>
      </c>
      <c r="BO150" s="401">
        <v>597559</v>
      </c>
      <c r="BP150" s="401">
        <v>141279</v>
      </c>
      <c r="BQ150" s="401">
        <v>147781</v>
      </c>
      <c r="BR150" s="401">
        <v>179396</v>
      </c>
      <c r="BS150" s="401">
        <v>51361</v>
      </c>
      <c r="BT150" s="401">
        <v>4808620</v>
      </c>
      <c r="BU150" s="401">
        <v>28016</v>
      </c>
      <c r="BV150" s="401">
        <v>248609</v>
      </c>
      <c r="BW150" s="401">
        <v>38075</v>
      </c>
      <c r="BX150" s="401">
        <v>99456</v>
      </c>
      <c r="BY150" s="401">
        <v>20509</v>
      </c>
      <c r="BZ150" s="401">
        <v>18656</v>
      </c>
      <c r="CA150" s="401">
        <v>1170936</v>
      </c>
      <c r="CB150" s="401">
        <v>5028</v>
      </c>
    </row>
    <row r="151" spans="1:80" s="401" customFormat="1" x14ac:dyDescent="0.3">
      <c r="A151" s="1014">
        <v>501</v>
      </c>
      <c r="B151" s="1014"/>
      <c r="C151" s="1018">
        <v>501</v>
      </c>
      <c r="D151" s="1019" t="s">
        <v>185</v>
      </c>
      <c r="E151" s="1020" t="s">
        <v>1682</v>
      </c>
      <c r="F151" s="1021" t="s">
        <v>1683</v>
      </c>
      <c r="G151" s="1021" t="s">
        <v>1684</v>
      </c>
      <c r="BC151" s="401">
        <v>0</v>
      </c>
      <c r="BD151" s="401">
        <v>0</v>
      </c>
      <c r="BE151" s="401">
        <v>0</v>
      </c>
      <c r="BF151" s="401">
        <v>0</v>
      </c>
      <c r="BG151" s="401">
        <v>0</v>
      </c>
      <c r="BH151" s="401">
        <v>0</v>
      </c>
      <c r="BI151" s="401">
        <v>0</v>
      </c>
      <c r="BJ151" s="401">
        <v>0</v>
      </c>
      <c r="BK151" s="401">
        <v>0</v>
      </c>
      <c r="BL151" s="401">
        <v>0</v>
      </c>
      <c r="BM151" s="401">
        <v>0</v>
      </c>
      <c r="BN151" s="401">
        <v>0</v>
      </c>
      <c r="BO151" s="401">
        <v>0</v>
      </c>
      <c r="BP151" s="401">
        <v>0</v>
      </c>
      <c r="BQ151" s="401">
        <v>0</v>
      </c>
      <c r="BR151" s="401">
        <v>0</v>
      </c>
      <c r="BS151" s="401">
        <v>0</v>
      </c>
      <c r="BT151" s="401">
        <v>0</v>
      </c>
      <c r="BU151" s="401">
        <v>0</v>
      </c>
      <c r="BV151" s="401">
        <v>0</v>
      </c>
      <c r="BW151" s="401">
        <v>0</v>
      </c>
      <c r="BX151" s="401">
        <v>0</v>
      </c>
      <c r="BY151" s="401">
        <v>0</v>
      </c>
      <c r="BZ151" s="401">
        <v>0</v>
      </c>
      <c r="CA151" s="401">
        <v>0</v>
      </c>
      <c r="CB151" s="401">
        <v>0</v>
      </c>
    </row>
    <row r="152" spans="1:80" s="401" customFormat="1" x14ac:dyDescent="0.3">
      <c r="A152" s="1014">
        <v>502</v>
      </c>
      <c r="B152" s="1014">
        <v>502</v>
      </c>
      <c r="C152" s="1018">
        <v>502</v>
      </c>
      <c r="D152" s="1019" t="s">
        <v>186</v>
      </c>
      <c r="E152" s="1020">
        <v>2719096</v>
      </c>
      <c r="F152" s="1021">
        <v>109566000</v>
      </c>
      <c r="G152" s="1021">
        <v>379726000</v>
      </c>
      <c r="BC152" s="401">
        <v>592119</v>
      </c>
      <c r="BD152" s="401">
        <v>0</v>
      </c>
      <c r="BE152" s="401">
        <v>0</v>
      </c>
      <c r="BF152" s="401">
        <v>6697683</v>
      </c>
      <c r="BG152" s="401">
        <v>0</v>
      </c>
      <c r="BH152" s="401">
        <v>0</v>
      </c>
      <c r="BI152" s="401">
        <v>629957</v>
      </c>
      <c r="BJ152" s="401">
        <v>1950576</v>
      </c>
      <c r="BK152" s="401">
        <v>0</v>
      </c>
      <c r="BL152" s="401">
        <v>7223410</v>
      </c>
      <c r="BM152" s="401">
        <v>2736585</v>
      </c>
      <c r="BN152" s="401">
        <v>0</v>
      </c>
      <c r="BO152" s="401">
        <v>1676370</v>
      </c>
      <c r="BP152" s="401">
        <v>3215759</v>
      </c>
      <c r="BQ152" s="401">
        <v>997878</v>
      </c>
      <c r="BR152" s="401">
        <v>1748084</v>
      </c>
      <c r="BS152" s="401">
        <v>0</v>
      </c>
      <c r="BT152" s="401">
        <v>0</v>
      </c>
      <c r="BU152" s="401">
        <v>1039729</v>
      </c>
      <c r="BV152" s="401">
        <v>1684666</v>
      </c>
      <c r="BW152" s="401">
        <v>170669</v>
      </c>
      <c r="BX152" s="401">
        <v>1208339</v>
      </c>
      <c r="BY152" s="401">
        <v>0</v>
      </c>
      <c r="BZ152" s="401">
        <v>0</v>
      </c>
      <c r="CA152" s="401">
        <v>7586901</v>
      </c>
      <c r="CB152" s="401">
        <v>0</v>
      </c>
    </row>
    <row r="153" spans="1:80" s="401" customFormat="1" x14ac:dyDescent="0.3">
      <c r="A153" s="1014">
        <v>503</v>
      </c>
      <c r="B153" s="1014">
        <v>503</v>
      </c>
      <c r="C153" s="1018">
        <v>503</v>
      </c>
      <c r="D153" s="1019" t="s">
        <v>187</v>
      </c>
      <c r="E153" s="1020">
        <v>664252</v>
      </c>
      <c r="F153" s="1021">
        <v>47061000</v>
      </c>
      <c r="G153" s="1021">
        <v>569582000</v>
      </c>
      <c r="BC153" s="401">
        <v>89518</v>
      </c>
      <c r="BD153" s="401">
        <v>0</v>
      </c>
      <c r="BE153" s="401">
        <v>0</v>
      </c>
      <c r="BF153" s="401">
        <v>1660930</v>
      </c>
      <c r="BG153" s="401">
        <v>0</v>
      </c>
      <c r="BH153" s="401">
        <v>0</v>
      </c>
      <c r="BI153" s="401">
        <v>41630</v>
      </c>
      <c r="BJ153" s="401">
        <v>0</v>
      </c>
      <c r="BK153" s="401">
        <v>0</v>
      </c>
      <c r="BL153" s="401">
        <v>165493</v>
      </c>
      <c r="BM153" s="401">
        <v>183172</v>
      </c>
      <c r="BN153" s="401">
        <v>0</v>
      </c>
      <c r="BO153" s="401">
        <v>248740</v>
      </c>
      <c r="BP153" s="401">
        <v>320529</v>
      </c>
      <c r="BQ153" s="401">
        <v>39450</v>
      </c>
      <c r="BR153" s="401">
        <v>64381</v>
      </c>
      <c r="BS153" s="401">
        <v>0</v>
      </c>
      <c r="BT153" s="401">
        <v>0</v>
      </c>
      <c r="BU153" s="401">
        <v>0</v>
      </c>
      <c r="BV153" s="401">
        <v>79520</v>
      </c>
      <c r="BW153" s="401">
        <v>42761</v>
      </c>
      <c r="BX153" s="401">
        <v>26655</v>
      </c>
      <c r="BY153" s="401">
        <v>0</v>
      </c>
      <c r="BZ153" s="401">
        <v>0</v>
      </c>
      <c r="CA153" s="401">
        <v>1573791</v>
      </c>
      <c r="CB153" s="401">
        <v>0</v>
      </c>
    </row>
    <row r="154" spans="1:80" s="401" customFormat="1" x14ac:dyDescent="0.3">
      <c r="A154" s="1014">
        <v>504</v>
      </c>
      <c r="B154" s="1014"/>
      <c r="C154" s="1018">
        <v>504</v>
      </c>
      <c r="D154" s="1019" t="s">
        <v>191</v>
      </c>
      <c r="E154" s="1020" t="s">
        <v>1682</v>
      </c>
      <c r="F154" s="1021" t="s">
        <v>1683</v>
      </c>
      <c r="G154" s="1021" t="s">
        <v>1684</v>
      </c>
      <c r="BC154" s="401">
        <v>180688</v>
      </c>
      <c r="BD154" s="401">
        <v>0</v>
      </c>
      <c r="BE154" s="401">
        <v>3889</v>
      </c>
      <c r="BF154" s="401">
        <v>1435006</v>
      </c>
      <c r="BG154" s="401">
        <v>0</v>
      </c>
      <c r="BH154" s="401">
        <v>4659</v>
      </c>
      <c r="BI154" s="401">
        <v>184214</v>
      </c>
      <c r="BJ154" s="401">
        <v>241030</v>
      </c>
      <c r="BK154" s="401">
        <v>0</v>
      </c>
      <c r="BL154" s="401">
        <v>529202</v>
      </c>
      <c r="BM154" s="401">
        <v>148850</v>
      </c>
      <c r="BN154" s="401">
        <v>0</v>
      </c>
      <c r="BO154" s="401">
        <v>985998</v>
      </c>
      <c r="BP154" s="401">
        <v>131344</v>
      </c>
      <c r="BQ154" s="401">
        <v>126074</v>
      </c>
      <c r="BR154" s="401">
        <v>68368</v>
      </c>
      <c r="BS154" s="401">
        <v>141345</v>
      </c>
      <c r="BT154" s="401">
        <v>1272607</v>
      </c>
      <c r="BU154" s="401">
        <v>137163</v>
      </c>
      <c r="BV154" s="401">
        <v>192159</v>
      </c>
      <c r="BW154" s="401">
        <v>702723</v>
      </c>
      <c r="BX154" s="401">
        <v>19153</v>
      </c>
      <c r="BY154" s="401">
        <v>3681</v>
      </c>
      <c r="BZ154" s="401">
        <v>4502</v>
      </c>
      <c r="CA154" s="401">
        <v>957002</v>
      </c>
      <c r="CB154" s="401">
        <v>6359</v>
      </c>
    </row>
    <row r="155" spans="1:80" s="401" customFormat="1" x14ac:dyDescent="0.3">
      <c r="A155" s="1014">
        <v>505</v>
      </c>
      <c r="B155" s="1014"/>
      <c r="C155" s="1018">
        <v>505</v>
      </c>
      <c r="D155" s="1019" t="s">
        <v>192</v>
      </c>
      <c r="E155" s="1020" t="s">
        <v>1682</v>
      </c>
      <c r="F155" s="1021" t="s">
        <v>1683</v>
      </c>
      <c r="G155" s="1021" t="s">
        <v>1684</v>
      </c>
      <c r="BC155" s="401">
        <v>0</v>
      </c>
      <c r="BD155" s="401">
        <v>0</v>
      </c>
      <c r="BE155" s="401">
        <v>0</v>
      </c>
      <c r="BF155" s="401">
        <v>3510210</v>
      </c>
      <c r="BG155" s="401">
        <v>0</v>
      </c>
      <c r="BH155" s="401">
        <v>0</v>
      </c>
      <c r="BI155" s="401">
        <v>114250</v>
      </c>
      <c r="BJ155" s="401">
        <v>0</v>
      </c>
      <c r="BK155" s="401">
        <v>0</v>
      </c>
      <c r="BL155" s="401">
        <v>0</v>
      </c>
      <c r="BM155" s="401">
        <v>0</v>
      </c>
      <c r="BN155" s="401">
        <v>0</v>
      </c>
      <c r="BO155" s="401">
        <v>114590</v>
      </c>
      <c r="BP155" s="401">
        <v>0</v>
      </c>
      <c r="BQ155" s="401">
        <v>0</v>
      </c>
      <c r="BR155" s="401">
        <v>0</v>
      </c>
      <c r="BS155" s="401">
        <v>4877606</v>
      </c>
      <c r="BT155" s="401">
        <v>650820</v>
      </c>
      <c r="BU155" s="401">
        <v>0</v>
      </c>
      <c r="BV155" s="401">
        <v>88500</v>
      </c>
      <c r="BW155" s="401">
        <v>0</v>
      </c>
      <c r="BX155" s="401">
        <v>347530</v>
      </c>
      <c r="BY155" s="401">
        <v>0</v>
      </c>
      <c r="BZ155" s="401">
        <v>0</v>
      </c>
      <c r="CA155" s="401">
        <v>3927560</v>
      </c>
      <c r="CB155" s="401">
        <v>0</v>
      </c>
    </row>
    <row r="156" spans="1:80" s="401" customFormat="1" x14ac:dyDescent="0.3">
      <c r="A156" s="1014">
        <v>506</v>
      </c>
      <c r="B156" s="1014"/>
      <c r="C156" s="1018">
        <v>506</v>
      </c>
      <c r="D156" s="1019" t="s">
        <v>198</v>
      </c>
      <c r="E156" s="1020" t="s">
        <v>1682</v>
      </c>
      <c r="F156" s="1021" t="s">
        <v>1683</v>
      </c>
      <c r="G156" s="1021" t="s">
        <v>1684</v>
      </c>
      <c r="BC156" s="401">
        <v>1298800</v>
      </c>
      <c r="BD156" s="401">
        <v>0</v>
      </c>
      <c r="BE156" s="401">
        <v>383912</v>
      </c>
      <c r="BF156" s="401">
        <v>2964871</v>
      </c>
      <c r="BG156" s="401">
        <v>0</v>
      </c>
      <c r="BH156" s="401">
        <v>154205</v>
      </c>
      <c r="BI156" s="401">
        <v>2725801</v>
      </c>
      <c r="BJ156" s="401">
        <v>3433068</v>
      </c>
      <c r="BK156" s="401">
        <v>0</v>
      </c>
      <c r="BL156" s="401">
        <v>2696052</v>
      </c>
      <c r="BM156" s="401">
        <v>5760391</v>
      </c>
      <c r="BN156" s="401">
        <v>136189</v>
      </c>
      <c r="BO156" s="401">
        <v>3443225</v>
      </c>
      <c r="BP156" s="401">
        <v>3495951</v>
      </c>
      <c r="BQ156" s="401">
        <v>1469511</v>
      </c>
      <c r="BR156" s="401">
        <v>2534166</v>
      </c>
      <c r="BS156" s="401">
        <v>2046076</v>
      </c>
      <c r="BT156" s="401">
        <v>11231747</v>
      </c>
      <c r="BU156" s="401">
        <v>2184911</v>
      </c>
      <c r="BV156" s="401">
        <v>1570453</v>
      </c>
      <c r="BW156" s="401">
        <v>957606</v>
      </c>
      <c r="BX156" s="401">
        <v>1108232</v>
      </c>
      <c r="BY156" s="401">
        <v>165153</v>
      </c>
      <c r="BZ156" s="401">
        <v>192770</v>
      </c>
      <c r="CA156" s="401">
        <v>13311576</v>
      </c>
      <c r="CB156" s="401">
        <v>89620</v>
      </c>
    </row>
    <row r="157" spans="1:80" s="401" customFormat="1" x14ac:dyDescent="0.3">
      <c r="A157" s="1014">
        <v>507</v>
      </c>
      <c r="B157" s="1014"/>
      <c r="C157" s="1018">
        <v>507</v>
      </c>
      <c r="D157" s="1019" t="s">
        <v>216</v>
      </c>
      <c r="E157" s="1020" t="s">
        <v>1682</v>
      </c>
      <c r="F157" s="1021" t="s">
        <v>1683</v>
      </c>
      <c r="G157" s="1021" t="s">
        <v>1684</v>
      </c>
      <c r="BC157" s="401">
        <v>0</v>
      </c>
      <c r="BD157" s="401">
        <v>0</v>
      </c>
      <c r="BE157" s="401">
        <v>0</v>
      </c>
      <c r="BF157" s="401">
        <v>26222</v>
      </c>
      <c r="BG157" s="401">
        <v>0</v>
      </c>
      <c r="BH157" s="401">
        <v>0</v>
      </c>
      <c r="BI157" s="401">
        <v>0</v>
      </c>
      <c r="BJ157" s="401">
        <v>0</v>
      </c>
      <c r="BK157" s="401">
        <v>0</v>
      </c>
      <c r="BL157" s="401">
        <v>0</v>
      </c>
      <c r="BM157" s="401">
        <v>0</v>
      </c>
      <c r="BN157" s="401">
        <v>0</v>
      </c>
      <c r="BO157" s="401">
        <v>0</v>
      </c>
      <c r="BP157" s="401">
        <v>0</v>
      </c>
      <c r="BQ157" s="401">
        <v>0</v>
      </c>
      <c r="BR157" s="401">
        <v>1</v>
      </c>
      <c r="BS157" s="401">
        <v>0</v>
      </c>
      <c r="BT157" s="401">
        <v>0</v>
      </c>
      <c r="BU157" s="401">
        <v>0</v>
      </c>
      <c r="BV157" s="401">
        <v>0</v>
      </c>
      <c r="BW157" s="401">
        <v>-450000</v>
      </c>
      <c r="BX157" s="401">
        <v>0</v>
      </c>
      <c r="BY157" s="401">
        <v>0</v>
      </c>
      <c r="BZ157" s="401">
        <v>0</v>
      </c>
      <c r="CA157" s="401">
        <v>0</v>
      </c>
      <c r="CB157" s="401">
        <v>0</v>
      </c>
    </row>
    <row r="158" spans="1:80" s="401" customFormat="1" x14ac:dyDescent="0.3">
      <c r="A158" s="1014">
        <v>508</v>
      </c>
      <c r="B158" s="1014"/>
      <c r="C158" s="1018">
        <v>508</v>
      </c>
      <c r="D158" s="1019" t="s">
        <v>213</v>
      </c>
      <c r="E158" s="1020" t="s">
        <v>1682</v>
      </c>
      <c r="F158" s="1021" t="s">
        <v>1683</v>
      </c>
      <c r="G158" s="1021" t="s">
        <v>1684</v>
      </c>
      <c r="BC158" s="401">
        <v>0</v>
      </c>
      <c r="BD158" s="401">
        <v>0</v>
      </c>
      <c r="BE158" s="401">
        <v>0</v>
      </c>
      <c r="BF158" s="401">
        <v>0</v>
      </c>
      <c r="BG158" s="401">
        <v>0</v>
      </c>
      <c r="BH158" s="401">
        <v>0</v>
      </c>
      <c r="BI158" s="401">
        <v>0</v>
      </c>
      <c r="BJ158" s="401">
        <v>0</v>
      </c>
      <c r="BK158" s="401">
        <v>0</v>
      </c>
      <c r="BL158" s="401">
        <v>0</v>
      </c>
      <c r="BM158" s="401">
        <v>0</v>
      </c>
      <c r="BN158" s="401">
        <v>0</v>
      </c>
      <c r="BO158" s="401">
        <v>0</v>
      </c>
      <c r="BP158" s="401">
        <v>0</v>
      </c>
      <c r="BQ158" s="401">
        <v>0</v>
      </c>
      <c r="BR158" s="401">
        <v>0</v>
      </c>
      <c r="BS158" s="401">
        <v>0</v>
      </c>
      <c r="BT158" s="401">
        <v>0</v>
      </c>
      <c r="BU158" s="401">
        <v>0</v>
      </c>
      <c r="BV158" s="401">
        <v>0</v>
      </c>
      <c r="BW158" s="401">
        <v>0</v>
      </c>
      <c r="BX158" s="401">
        <v>0</v>
      </c>
      <c r="BY158" s="401">
        <v>0</v>
      </c>
      <c r="BZ158" s="401">
        <v>0</v>
      </c>
      <c r="CA158" s="401">
        <v>0</v>
      </c>
      <c r="CB158" s="401">
        <v>0</v>
      </c>
    </row>
    <row r="159" spans="1:80" s="401" customFormat="1" x14ac:dyDescent="0.3">
      <c r="A159" s="1014">
        <v>509</v>
      </c>
      <c r="B159" s="1014"/>
      <c r="C159" s="1018">
        <v>509</v>
      </c>
      <c r="D159" s="1019" t="s">
        <v>214</v>
      </c>
      <c r="E159" s="1020" t="s">
        <v>1682</v>
      </c>
      <c r="F159" s="1021" t="s">
        <v>1683</v>
      </c>
      <c r="G159" s="1021" t="s">
        <v>1684</v>
      </c>
      <c r="BC159" s="401">
        <v>0</v>
      </c>
      <c r="BD159" s="401">
        <v>0</v>
      </c>
      <c r="BE159" s="401">
        <v>0</v>
      </c>
      <c r="BF159" s="401">
        <v>0</v>
      </c>
      <c r="BG159" s="401">
        <v>0</v>
      </c>
      <c r="BH159" s="401">
        <v>0</v>
      </c>
      <c r="BI159" s="401">
        <v>0</v>
      </c>
      <c r="BJ159" s="401">
        <v>0</v>
      </c>
      <c r="BK159" s="401">
        <v>0</v>
      </c>
      <c r="BL159" s="401">
        <v>0</v>
      </c>
      <c r="BM159" s="401">
        <v>0</v>
      </c>
      <c r="BN159" s="401">
        <v>0</v>
      </c>
      <c r="BO159" s="401">
        <v>0</v>
      </c>
      <c r="BP159" s="401">
        <v>0</v>
      </c>
      <c r="BQ159" s="401">
        <v>0</v>
      </c>
      <c r="BR159" s="401">
        <v>0</v>
      </c>
      <c r="BS159" s="401">
        <v>0</v>
      </c>
      <c r="BT159" s="401">
        <v>0</v>
      </c>
      <c r="BU159" s="401">
        <v>0</v>
      </c>
      <c r="BV159" s="401">
        <v>0</v>
      </c>
      <c r="BW159" s="401">
        <v>0</v>
      </c>
      <c r="BX159" s="401">
        <v>0</v>
      </c>
      <c r="BY159" s="401">
        <v>0</v>
      </c>
      <c r="BZ159" s="401">
        <v>0</v>
      </c>
      <c r="CA159" s="401">
        <v>0</v>
      </c>
      <c r="CB159" s="401">
        <v>0</v>
      </c>
    </row>
    <row r="160" spans="1:80" s="401" customFormat="1" x14ac:dyDescent="0.3">
      <c r="A160" s="1014">
        <v>510</v>
      </c>
      <c r="B160" s="1014"/>
      <c r="C160" s="1018">
        <v>510</v>
      </c>
      <c r="D160" s="1019" t="s">
        <v>220</v>
      </c>
      <c r="E160" s="1020" t="s">
        <v>1682</v>
      </c>
      <c r="F160" s="1021" t="s">
        <v>1683</v>
      </c>
      <c r="G160" s="1021" t="s">
        <v>1684</v>
      </c>
      <c r="BC160" s="401">
        <v>28871</v>
      </c>
      <c r="BD160" s="401">
        <v>0</v>
      </c>
      <c r="BE160" s="401">
        <v>0</v>
      </c>
      <c r="BF160" s="401">
        <v>807856</v>
      </c>
      <c r="BG160" s="401">
        <v>0</v>
      </c>
      <c r="BH160" s="401">
        <v>0</v>
      </c>
      <c r="BI160" s="401">
        <v>127752</v>
      </c>
      <c r="BJ160" s="401">
        <v>1595</v>
      </c>
      <c r="BK160" s="401">
        <v>0</v>
      </c>
      <c r="BL160" s="401">
        <v>224738</v>
      </c>
      <c r="BM160" s="401">
        <v>0</v>
      </c>
      <c r="BN160" s="401">
        <v>0</v>
      </c>
      <c r="BO160" s="401">
        <v>68959</v>
      </c>
      <c r="BP160" s="401">
        <v>72653</v>
      </c>
      <c r="BQ160" s="401">
        <v>0</v>
      </c>
      <c r="BR160" s="401">
        <v>72805</v>
      </c>
      <c r="BS160" s="401">
        <v>0</v>
      </c>
      <c r="BT160" s="401">
        <v>0</v>
      </c>
      <c r="BU160" s="401">
        <v>49591</v>
      </c>
      <c r="BV160" s="401">
        <v>87736</v>
      </c>
      <c r="BW160" s="401">
        <v>3747</v>
      </c>
      <c r="BX160" s="401">
        <v>189</v>
      </c>
      <c r="BY160" s="401">
        <v>0</v>
      </c>
      <c r="BZ160" s="401">
        <v>0</v>
      </c>
      <c r="CA160" s="401">
        <v>0</v>
      </c>
      <c r="CB160" s="401">
        <v>0</v>
      </c>
    </row>
    <row r="161" spans="1:80" s="401" customFormat="1" x14ac:dyDescent="0.3">
      <c r="A161" s="1014">
        <v>511</v>
      </c>
      <c r="B161" s="1014">
        <v>511</v>
      </c>
      <c r="C161" s="1018">
        <v>511</v>
      </c>
      <c r="D161" s="1019" t="s">
        <v>225</v>
      </c>
      <c r="E161" s="1020">
        <v>577359</v>
      </c>
      <c r="F161" s="1021">
        <v>15926000</v>
      </c>
      <c r="G161" s="1021">
        <v>69400000</v>
      </c>
      <c r="BC161" s="401">
        <v>0</v>
      </c>
      <c r="BD161" s="401">
        <v>0</v>
      </c>
      <c r="BE161" s="401">
        <v>0</v>
      </c>
      <c r="BF161" s="401">
        <v>560324</v>
      </c>
      <c r="BG161" s="401">
        <v>0</v>
      </c>
      <c r="BH161" s="401">
        <v>0</v>
      </c>
      <c r="BI161" s="401">
        <v>0</v>
      </c>
      <c r="BJ161" s="401">
        <v>0</v>
      </c>
      <c r="BK161" s="401">
        <v>0</v>
      </c>
      <c r="BL161" s="401">
        <v>441073</v>
      </c>
      <c r="BM161" s="401">
        <v>0</v>
      </c>
      <c r="BN161" s="401">
        <v>0</v>
      </c>
      <c r="BO161" s="401">
        <v>0</v>
      </c>
      <c r="BP161" s="401">
        <v>0</v>
      </c>
      <c r="BQ161" s="401">
        <v>0</v>
      </c>
      <c r="BR161" s="401">
        <v>0</v>
      </c>
      <c r="BS161" s="401">
        <v>0</v>
      </c>
      <c r="BT161" s="401">
        <v>0</v>
      </c>
      <c r="BU161" s="401">
        <v>0</v>
      </c>
      <c r="BV161" s="401">
        <v>0</v>
      </c>
      <c r="BW161" s="401">
        <v>0</v>
      </c>
      <c r="BX161" s="401">
        <v>0</v>
      </c>
      <c r="BY161" s="401">
        <v>0</v>
      </c>
      <c r="BZ161" s="401">
        <v>0</v>
      </c>
      <c r="CA161" s="401">
        <v>0</v>
      </c>
      <c r="CB161" s="401">
        <v>0</v>
      </c>
    </row>
    <row r="162" spans="1:80" s="401" customFormat="1" x14ac:dyDescent="0.3">
      <c r="A162" s="1014">
        <v>512</v>
      </c>
      <c r="B162" s="1014"/>
      <c r="C162" s="1018">
        <v>512</v>
      </c>
      <c r="D162" s="1019" t="s">
        <v>252</v>
      </c>
      <c r="E162" s="1020" t="s">
        <v>1682</v>
      </c>
      <c r="F162" s="1021" t="s">
        <v>1683</v>
      </c>
      <c r="G162" s="1021" t="s">
        <v>1684</v>
      </c>
      <c r="BC162" s="401">
        <v>0</v>
      </c>
      <c r="BD162" s="401">
        <v>0</v>
      </c>
      <c r="BE162" s="401">
        <v>0</v>
      </c>
      <c r="BF162" s="401">
        <v>0</v>
      </c>
      <c r="BG162" s="401">
        <v>0</v>
      </c>
      <c r="BH162" s="401">
        <v>0</v>
      </c>
      <c r="BI162" s="401">
        <v>122190</v>
      </c>
      <c r="BJ162" s="401">
        <v>0</v>
      </c>
      <c r="BK162" s="401">
        <v>0</v>
      </c>
      <c r="BL162" s="401">
        <v>0</v>
      </c>
      <c r="BM162" s="401">
        <v>0</v>
      </c>
      <c r="BN162" s="401">
        <v>0</v>
      </c>
      <c r="BO162" s="401">
        <v>0</v>
      </c>
      <c r="BP162" s="401">
        <v>0</v>
      </c>
      <c r="BQ162" s="401">
        <v>0</v>
      </c>
      <c r="BR162" s="401">
        <v>0</v>
      </c>
      <c r="BS162" s="401">
        <v>0</v>
      </c>
      <c r="BT162" s="401">
        <v>0</v>
      </c>
      <c r="BU162" s="401">
        <v>0</v>
      </c>
      <c r="BV162" s="401">
        <v>0</v>
      </c>
      <c r="BW162" s="401">
        <v>0</v>
      </c>
      <c r="BX162" s="401">
        <v>0</v>
      </c>
      <c r="BY162" s="401">
        <v>0</v>
      </c>
      <c r="BZ162" s="401">
        <v>0</v>
      </c>
      <c r="CA162" s="401">
        <v>0</v>
      </c>
      <c r="CB162" s="401">
        <v>0</v>
      </c>
    </row>
    <row r="163" spans="1:80" s="401" customFormat="1" x14ac:dyDescent="0.3">
      <c r="A163" s="1014">
        <v>513</v>
      </c>
      <c r="B163" s="1014"/>
      <c r="C163" s="1018">
        <v>513</v>
      </c>
      <c r="D163" s="1019" t="s">
        <v>259</v>
      </c>
      <c r="E163" s="1020" t="s">
        <v>1682</v>
      </c>
      <c r="F163" s="1021" t="s">
        <v>1683</v>
      </c>
      <c r="G163" s="1021" t="s">
        <v>1684</v>
      </c>
      <c r="BC163" s="401">
        <v>0</v>
      </c>
      <c r="BD163" s="401">
        <v>0</v>
      </c>
      <c r="BE163" s="401">
        <v>0</v>
      </c>
      <c r="BF163" s="401">
        <v>0</v>
      </c>
      <c r="BG163" s="401">
        <v>0</v>
      </c>
      <c r="BH163" s="401">
        <v>0</v>
      </c>
      <c r="BI163" s="401">
        <v>0</v>
      </c>
      <c r="BJ163" s="401">
        <v>0</v>
      </c>
      <c r="BK163" s="401">
        <v>0</v>
      </c>
      <c r="BL163" s="401">
        <v>0</v>
      </c>
      <c r="BM163" s="401">
        <v>0</v>
      </c>
      <c r="BN163" s="401">
        <v>0</v>
      </c>
      <c r="BO163" s="401">
        <v>0</v>
      </c>
      <c r="BP163" s="401">
        <v>0</v>
      </c>
      <c r="BQ163" s="401">
        <v>0</v>
      </c>
      <c r="BR163" s="401">
        <v>0</v>
      </c>
      <c r="BS163" s="401">
        <v>0</v>
      </c>
      <c r="BT163" s="401">
        <v>0</v>
      </c>
      <c r="BU163" s="401">
        <v>0</v>
      </c>
      <c r="BV163" s="401">
        <v>0</v>
      </c>
      <c r="BW163" s="401">
        <v>0</v>
      </c>
      <c r="BX163" s="401">
        <v>0</v>
      </c>
      <c r="BY163" s="401">
        <v>0</v>
      </c>
      <c r="BZ163" s="401">
        <v>0</v>
      </c>
      <c r="CA163" s="401">
        <v>0</v>
      </c>
      <c r="CB163" s="401">
        <v>0</v>
      </c>
    </row>
    <row r="164" spans="1:80" s="401" customFormat="1" x14ac:dyDescent="0.3">
      <c r="A164" s="1014">
        <v>514</v>
      </c>
      <c r="B164" s="1014"/>
      <c r="C164" s="1018">
        <v>514</v>
      </c>
      <c r="D164" s="1019" t="s">
        <v>260</v>
      </c>
      <c r="E164" s="1020" t="s">
        <v>1682</v>
      </c>
      <c r="F164" s="1021" t="s">
        <v>1683</v>
      </c>
      <c r="G164" s="1021" t="s">
        <v>1684</v>
      </c>
      <c r="BC164" s="401">
        <v>0</v>
      </c>
      <c r="BD164" s="401">
        <v>0</v>
      </c>
      <c r="BE164" s="401">
        <v>0</v>
      </c>
      <c r="BF164" s="401">
        <v>662245</v>
      </c>
      <c r="BG164" s="401">
        <v>0</v>
      </c>
      <c r="BH164" s="401">
        <v>0</v>
      </c>
      <c r="BI164" s="401">
        <v>0</v>
      </c>
      <c r="BJ164" s="401">
        <v>0</v>
      </c>
      <c r="BK164" s="401">
        <v>0</v>
      </c>
      <c r="BL164" s="401">
        <v>0</v>
      </c>
      <c r="BM164" s="401">
        <v>0</v>
      </c>
      <c r="BN164" s="401">
        <v>0</v>
      </c>
      <c r="BO164" s="401">
        <v>0</v>
      </c>
      <c r="BP164" s="401">
        <v>0</v>
      </c>
      <c r="BQ164" s="401">
        <v>0</v>
      </c>
      <c r="BR164" s="401">
        <v>0</v>
      </c>
      <c r="BS164" s="401">
        <v>0</v>
      </c>
      <c r="BT164" s="401">
        <v>0</v>
      </c>
      <c r="BU164" s="401">
        <v>0</v>
      </c>
      <c r="BV164" s="401">
        <v>0</v>
      </c>
      <c r="BW164" s="401">
        <v>0</v>
      </c>
      <c r="BX164" s="401">
        <v>0</v>
      </c>
      <c r="BY164" s="401">
        <v>0</v>
      </c>
      <c r="BZ164" s="401">
        <v>0</v>
      </c>
      <c r="CA164" s="401">
        <v>0</v>
      </c>
      <c r="CB164" s="401">
        <v>0</v>
      </c>
    </row>
    <row r="165" spans="1:80" s="401" customFormat="1" x14ac:dyDescent="0.3">
      <c r="A165" s="1014">
        <v>515</v>
      </c>
      <c r="B165" s="1014"/>
      <c r="C165" s="1018">
        <v>515</v>
      </c>
      <c r="D165" s="1019" t="s">
        <v>273</v>
      </c>
      <c r="E165" s="1020" t="s">
        <v>1682</v>
      </c>
      <c r="F165" s="1021" t="s">
        <v>1683</v>
      </c>
      <c r="G165" s="1021" t="s">
        <v>1684</v>
      </c>
      <c r="BC165" s="401">
        <v>16683</v>
      </c>
      <c r="BD165" s="401">
        <v>0</v>
      </c>
      <c r="BE165" s="401">
        <v>0</v>
      </c>
      <c r="BF165" s="401">
        <v>18580814</v>
      </c>
      <c r="BG165" s="401">
        <v>0</v>
      </c>
      <c r="BH165" s="401">
        <v>0</v>
      </c>
      <c r="BI165" s="401">
        <v>0</v>
      </c>
      <c r="BJ165" s="401">
        <v>0</v>
      </c>
      <c r="BK165" s="401">
        <v>0</v>
      </c>
      <c r="BL165" s="401">
        <v>124260</v>
      </c>
      <c r="BM165" s="401">
        <v>0</v>
      </c>
      <c r="BN165" s="401">
        <v>0</v>
      </c>
      <c r="BO165" s="401">
        <v>7521010</v>
      </c>
      <c r="BP165" s="401">
        <v>671860</v>
      </c>
      <c r="BQ165" s="401">
        <v>0</v>
      </c>
      <c r="BR165" s="401">
        <v>364151</v>
      </c>
      <c r="BS165" s="401">
        <v>0</v>
      </c>
      <c r="BT165" s="401">
        <v>0</v>
      </c>
      <c r="BU165" s="401">
        <v>2483050</v>
      </c>
      <c r="BV165" s="401">
        <v>0</v>
      </c>
      <c r="BW165" s="401">
        <v>0</v>
      </c>
      <c r="BX165" s="401">
        <v>0</v>
      </c>
      <c r="BY165" s="401">
        <v>0</v>
      </c>
      <c r="BZ165" s="401">
        <v>0</v>
      </c>
      <c r="CA165" s="401">
        <v>9136888</v>
      </c>
      <c r="CB165" s="401">
        <v>0</v>
      </c>
    </row>
    <row r="166" spans="1:80" s="401" customFormat="1" x14ac:dyDescent="0.3">
      <c r="A166" s="1014">
        <v>516</v>
      </c>
      <c r="B166" s="1014"/>
      <c r="C166" s="1018">
        <v>516</v>
      </c>
      <c r="D166" s="1019" t="s">
        <v>274</v>
      </c>
      <c r="E166" s="1020" t="s">
        <v>1682</v>
      </c>
      <c r="F166" s="1021" t="s">
        <v>1683</v>
      </c>
      <c r="G166" s="1021" t="s">
        <v>1684</v>
      </c>
      <c r="BC166" s="401">
        <v>790666</v>
      </c>
      <c r="BD166" s="401">
        <v>0</v>
      </c>
      <c r="BE166" s="401">
        <v>0</v>
      </c>
      <c r="BF166" s="401">
        <v>68558904</v>
      </c>
      <c r="BG166" s="401">
        <v>0</v>
      </c>
      <c r="BH166" s="401">
        <v>0</v>
      </c>
      <c r="BI166" s="401">
        <v>11744116</v>
      </c>
      <c r="BJ166" s="401">
        <v>8234496</v>
      </c>
      <c r="BK166" s="401">
        <v>0</v>
      </c>
      <c r="BL166" s="401">
        <v>16829587</v>
      </c>
      <c r="BM166" s="401">
        <v>10888924</v>
      </c>
      <c r="BN166" s="401">
        <v>0</v>
      </c>
      <c r="BO166" s="401">
        <v>24577966</v>
      </c>
      <c r="BP166" s="401">
        <v>14235973</v>
      </c>
      <c r="BQ166" s="401">
        <v>15049071</v>
      </c>
      <c r="BR166" s="401">
        <v>6316273</v>
      </c>
      <c r="BS166" s="401">
        <v>0</v>
      </c>
      <c r="BT166" s="401">
        <v>0</v>
      </c>
      <c r="BU166" s="401">
        <v>4880718</v>
      </c>
      <c r="BV166" s="401">
        <v>23580566</v>
      </c>
      <c r="BW166" s="401">
        <v>5905822</v>
      </c>
      <c r="BX166" s="401">
        <v>2166959</v>
      </c>
      <c r="BY166" s="401">
        <v>0</v>
      </c>
      <c r="BZ166" s="401">
        <v>0</v>
      </c>
      <c r="CA166" s="401">
        <v>61464767</v>
      </c>
      <c r="CB166" s="401">
        <v>0</v>
      </c>
    </row>
    <row r="167" spans="1:80" s="401" customFormat="1" x14ac:dyDescent="0.3">
      <c r="A167" s="1014">
        <v>517</v>
      </c>
      <c r="B167" s="1014"/>
      <c r="C167" s="1018">
        <v>517</v>
      </c>
      <c r="D167" s="1019" t="s">
        <v>275</v>
      </c>
      <c r="E167" s="1020" t="s">
        <v>1682</v>
      </c>
      <c r="F167" s="1021" t="s">
        <v>1683</v>
      </c>
      <c r="G167" s="1021" t="s">
        <v>1684</v>
      </c>
      <c r="BC167" s="401">
        <v>6390019</v>
      </c>
      <c r="BD167" s="401">
        <v>0</v>
      </c>
      <c r="BE167" s="401">
        <v>0</v>
      </c>
      <c r="BF167" s="401">
        <v>0</v>
      </c>
      <c r="BG167" s="401">
        <v>0</v>
      </c>
      <c r="BH167" s="401">
        <v>0</v>
      </c>
      <c r="BI167" s="401">
        <v>0</v>
      </c>
      <c r="BJ167" s="401">
        <v>0</v>
      </c>
      <c r="BK167" s="401">
        <v>0</v>
      </c>
      <c r="BL167" s="401">
        <v>0</v>
      </c>
      <c r="BM167" s="401">
        <v>0</v>
      </c>
      <c r="BN167" s="401">
        <v>0</v>
      </c>
      <c r="BO167" s="401">
        <v>0</v>
      </c>
      <c r="BP167" s="401">
        <v>0</v>
      </c>
      <c r="BQ167" s="401">
        <v>0</v>
      </c>
      <c r="BR167" s="401">
        <v>0</v>
      </c>
      <c r="BS167" s="401">
        <v>0</v>
      </c>
      <c r="BT167" s="401">
        <v>0</v>
      </c>
      <c r="BU167" s="401">
        <v>0</v>
      </c>
      <c r="BV167" s="401">
        <v>0</v>
      </c>
      <c r="BW167" s="401">
        <v>0</v>
      </c>
      <c r="BX167" s="401">
        <v>0</v>
      </c>
      <c r="BY167" s="401">
        <v>0</v>
      </c>
      <c r="BZ167" s="401">
        <v>0</v>
      </c>
      <c r="CA167" s="401">
        <v>0</v>
      </c>
      <c r="CB167" s="401">
        <v>0</v>
      </c>
    </row>
    <row r="168" spans="1:80" s="401" customFormat="1" x14ac:dyDescent="0.3">
      <c r="A168" s="1014">
        <v>518</v>
      </c>
      <c r="B168" s="1014"/>
      <c r="C168" s="1018">
        <v>518</v>
      </c>
      <c r="D168" s="1019" t="s">
        <v>276</v>
      </c>
      <c r="E168" s="1020" t="s">
        <v>1682</v>
      </c>
      <c r="F168" s="1021" t="s">
        <v>1683</v>
      </c>
      <c r="G168" s="1021" t="s">
        <v>1684</v>
      </c>
      <c r="BC168" s="401">
        <v>561112</v>
      </c>
      <c r="BD168" s="401">
        <v>0</v>
      </c>
      <c r="BE168" s="401">
        <v>0</v>
      </c>
      <c r="BF168" s="401">
        <v>16054287</v>
      </c>
      <c r="BG168" s="401">
        <v>0</v>
      </c>
      <c r="BH168" s="401">
        <v>0</v>
      </c>
      <c r="BI168" s="401">
        <v>1048774</v>
      </c>
      <c r="BJ168" s="401">
        <v>460765</v>
      </c>
      <c r="BK168" s="401">
        <v>0</v>
      </c>
      <c r="BL168" s="401">
        <v>1972861</v>
      </c>
      <c r="BM168" s="401">
        <v>568233</v>
      </c>
      <c r="BN168" s="401">
        <v>0</v>
      </c>
      <c r="BO168" s="401">
        <v>4516818</v>
      </c>
      <c r="BP168" s="401">
        <v>491489</v>
      </c>
      <c r="BQ168" s="401">
        <v>183278</v>
      </c>
      <c r="BR168" s="401">
        <v>720898</v>
      </c>
      <c r="BS168" s="401">
        <v>0</v>
      </c>
      <c r="BT168" s="401">
        <v>0</v>
      </c>
      <c r="BU168" s="401">
        <v>1918580</v>
      </c>
      <c r="BV168" s="401">
        <v>1128535</v>
      </c>
      <c r="BW168" s="401">
        <v>414954</v>
      </c>
      <c r="BX168" s="401">
        <v>0</v>
      </c>
      <c r="BY168" s="401">
        <v>0</v>
      </c>
      <c r="BZ168" s="401">
        <v>0</v>
      </c>
      <c r="CA168" s="401">
        <v>2376306</v>
      </c>
      <c r="CB168" s="401">
        <v>0</v>
      </c>
    </row>
    <row r="169" spans="1:80" s="401" customFormat="1" x14ac:dyDescent="0.3">
      <c r="A169" s="1014">
        <v>519</v>
      </c>
      <c r="B169" s="1014"/>
      <c r="C169" s="1018">
        <v>519</v>
      </c>
      <c r="D169" s="1019" t="s">
        <v>277</v>
      </c>
      <c r="E169" s="1020" t="s">
        <v>1682</v>
      </c>
      <c r="F169" s="1021" t="s">
        <v>1683</v>
      </c>
      <c r="G169" s="1021" t="s">
        <v>1684</v>
      </c>
      <c r="BC169" s="401">
        <v>0</v>
      </c>
      <c r="BD169" s="401">
        <v>0</v>
      </c>
      <c r="BE169" s="401">
        <v>0</v>
      </c>
      <c r="BF169" s="401">
        <v>263474</v>
      </c>
      <c r="BG169" s="401">
        <v>0</v>
      </c>
      <c r="BH169" s="401">
        <v>0</v>
      </c>
      <c r="BI169" s="401">
        <v>0</v>
      </c>
      <c r="BJ169" s="401">
        <v>0</v>
      </c>
      <c r="BK169" s="401">
        <v>0</v>
      </c>
      <c r="BL169" s="401">
        <v>2255</v>
      </c>
      <c r="BM169" s="401">
        <v>0</v>
      </c>
      <c r="BN169" s="401">
        <v>0</v>
      </c>
      <c r="BO169" s="401">
        <v>133423</v>
      </c>
      <c r="BP169" s="401">
        <v>16590</v>
      </c>
      <c r="BQ169" s="401">
        <v>0</v>
      </c>
      <c r="BR169" s="401">
        <v>9546</v>
      </c>
      <c r="BS169" s="401">
        <v>0</v>
      </c>
      <c r="BT169" s="401">
        <v>0</v>
      </c>
      <c r="BU169" s="401">
        <v>111269</v>
      </c>
      <c r="BV169" s="401">
        <v>0</v>
      </c>
      <c r="BW169" s="401">
        <v>0</v>
      </c>
      <c r="BX169" s="401">
        <v>0</v>
      </c>
      <c r="BY169" s="401">
        <v>0</v>
      </c>
      <c r="BZ169" s="401">
        <v>0</v>
      </c>
      <c r="CA169" s="401">
        <v>197886</v>
      </c>
      <c r="CB169" s="401">
        <v>0</v>
      </c>
    </row>
    <row r="170" spans="1:80" s="401" customFormat="1" x14ac:dyDescent="0.3">
      <c r="A170" s="1014">
        <v>520</v>
      </c>
      <c r="B170" s="1014"/>
      <c r="C170" s="1018">
        <v>520</v>
      </c>
      <c r="D170" s="1019" t="s">
        <v>278</v>
      </c>
      <c r="E170" s="1020" t="s">
        <v>1682</v>
      </c>
      <c r="F170" s="1021" t="s">
        <v>1683</v>
      </c>
      <c r="G170" s="1021" t="s">
        <v>1684</v>
      </c>
      <c r="BC170" s="401">
        <v>41169</v>
      </c>
      <c r="BD170" s="401">
        <v>0</v>
      </c>
      <c r="BE170" s="401">
        <v>0</v>
      </c>
      <c r="BF170" s="401">
        <v>1171956</v>
      </c>
      <c r="BG170" s="401">
        <v>0</v>
      </c>
      <c r="BH170" s="401">
        <v>0</v>
      </c>
      <c r="BI170" s="401">
        <v>228834</v>
      </c>
      <c r="BJ170" s="401">
        <v>168715</v>
      </c>
      <c r="BK170" s="401">
        <v>0</v>
      </c>
      <c r="BL170" s="401">
        <v>316154</v>
      </c>
      <c r="BM170" s="401">
        <v>286842</v>
      </c>
      <c r="BN170" s="401">
        <v>0</v>
      </c>
      <c r="BO170" s="401">
        <v>565284</v>
      </c>
      <c r="BP170" s="401">
        <v>243838</v>
      </c>
      <c r="BQ170" s="401">
        <v>305096</v>
      </c>
      <c r="BR170" s="401">
        <v>104558</v>
      </c>
      <c r="BS170" s="401">
        <v>0</v>
      </c>
      <c r="BT170" s="401">
        <v>0</v>
      </c>
      <c r="BU170" s="401">
        <v>60509</v>
      </c>
      <c r="BV170" s="401">
        <v>109500</v>
      </c>
      <c r="BW170" s="401">
        <v>133785</v>
      </c>
      <c r="BX170" s="401">
        <v>42547</v>
      </c>
      <c r="BY170" s="401">
        <v>0</v>
      </c>
      <c r="BZ170" s="401">
        <v>0</v>
      </c>
      <c r="CA170" s="401">
        <v>1237946</v>
      </c>
      <c r="CB170" s="401">
        <v>0</v>
      </c>
    </row>
    <row r="171" spans="1:80" s="401" customFormat="1" x14ac:dyDescent="0.3">
      <c r="A171" s="1014">
        <v>521</v>
      </c>
      <c r="B171" s="1014"/>
      <c r="C171" s="1018">
        <v>521</v>
      </c>
      <c r="D171" s="1019" t="s">
        <v>279</v>
      </c>
      <c r="E171" s="1020" t="s">
        <v>1682</v>
      </c>
      <c r="F171" s="1021" t="s">
        <v>1683</v>
      </c>
      <c r="G171" s="1021" t="s">
        <v>1684</v>
      </c>
      <c r="BC171" s="401">
        <v>93755</v>
      </c>
      <c r="BD171" s="401">
        <v>0</v>
      </c>
      <c r="BE171" s="401">
        <v>0</v>
      </c>
      <c r="BF171" s="401">
        <v>0</v>
      </c>
      <c r="BG171" s="401">
        <v>0</v>
      </c>
      <c r="BH171" s="401">
        <v>0</v>
      </c>
      <c r="BI171" s="401">
        <v>0</v>
      </c>
      <c r="BJ171" s="401">
        <v>0</v>
      </c>
      <c r="BK171" s="401">
        <v>0</v>
      </c>
      <c r="BL171" s="401">
        <v>0</v>
      </c>
      <c r="BM171" s="401">
        <v>0</v>
      </c>
      <c r="BN171" s="401">
        <v>0</v>
      </c>
      <c r="BO171" s="401">
        <v>0</v>
      </c>
      <c r="BP171" s="401">
        <v>0</v>
      </c>
      <c r="BQ171" s="401">
        <v>0</v>
      </c>
      <c r="BR171" s="401">
        <v>0</v>
      </c>
      <c r="BS171" s="401">
        <v>0</v>
      </c>
      <c r="BT171" s="401">
        <v>0</v>
      </c>
      <c r="BU171" s="401">
        <v>0</v>
      </c>
      <c r="BV171" s="401">
        <v>0</v>
      </c>
      <c r="BW171" s="401">
        <v>0</v>
      </c>
      <c r="BX171" s="401">
        <v>0</v>
      </c>
      <c r="BY171" s="401">
        <v>0</v>
      </c>
      <c r="BZ171" s="401">
        <v>0</v>
      </c>
      <c r="CA171" s="401">
        <v>0</v>
      </c>
      <c r="CB171" s="401">
        <v>0</v>
      </c>
    </row>
    <row r="172" spans="1:80" s="401" customFormat="1" x14ac:dyDescent="0.3">
      <c r="A172" s="1014">
        <v>522</v>
      </c>
      <c r="B172" s="1014"/>
      <c r="C172" s="1018">
        <v>522</v>
      </c>
      <c r="D172" s="1019" t="s">
        <v>280</v>
      </c>
      <c r="E172" s="1020" t="s">
        <v>1682</v>
      </c>
      <c r="F172" s="1021" t="s">
        <v>1683</v>
      </c>
      <c r="G172" s="1021" t="s">
        <v>1684</v>
      </c>
      <c r="BC172" s="401">
        <v>7650</v>
      </c>
      <c r="BD172" s="401">
        <v>0</v>
      </c>
      <c r="BE172" s="401">
        <v>0</v>
      </c>
      <c r="BF172" s="401">
        <v>537278</v>
      </c>
      <c r="BG172" s="401">
        <v>0</v>
      </c>
      <c r="BH172" s="401">
        <v>0</v>
      </c>
      <c r="BI172" s="401">
        <v>8312</v>
      </c>
      <c r="BJ172" s="401">
        <v>21155</v>
      </c>
      <c r="BK172" s="401">
        <v>0</v>
      </c>
      <c r="BL172" s="401">
        <v>47398</v>
      </c>
      <c r="BM172" s="401">
        <v>37328</v>
      </c>
      <c r="BN172" s="401">
        <v>0</v>
      </c>
      <c r="BO172" s="401">
        <v>210784</v>
      </c>
      <c r="BP172" s="401">
        <v>16211</v>
      </c>
      <c r="BQ172" s="401">
        <v>14539</v>
      </c>
      <c r="BR172" s="401">
        <v>62608</v>
      </c>
      <c r="BS172" s="401">
        <v>0</v>
      </c>
      <c r="BT172" s="401">
        <v>0</v>
      </c>
      <c r="BU172" s="401">
        <v>81296</v>
      </c>
      <c r="BV172" s="401">
        <v>56598</v>
      </c>
      <c r="BW172" s="401">
        <v>15381</v>
      </c>
      <c r="BX172" s="401">
        <v>0</v>
      </c>
      <c r="BY172" s="401">
        <v>0</v>
      </c>
      <c r="BZ172" s="401">
        <v>0</v>
      </c>
      <c r="CA172" s="401">
        <v>128484</v>
      </c>
      <c r="CB172" s="401">
        <v>0</v>
      </c>
    </row>
    <row r="173" spans="1:80" s="401" customFormat="1" x14ac:dyDescent="0.3">
      <c r="A173" s="1014">
        <v>523</v>
      </c>
      <c r="B173" s="1014"/>
      <c r="C173" s="1018">
        <v>523</v>
      </c>
      <c r="D173" s="1019" t="s">
        <v>281</v>
      </c>
      <c r="E173" s="1020" t="s">
        <v>1682</v>
      </c>
      <c r="F173" s="1021" t="s">
        <v>1683</v>
      </c>
      <c r="G173" s="1021" t="s">
        <v>1684</v>
      </c>
      <c r="BC173" s="401">
        <v>16683</v>
      </c>
      <c r="BD173" s="401">
        <v>0</v>
      </c>
      <c r="BE173" s="401">
        <v>0</v>
      </c>
      <c r="BF173" s="401">
        <v>8792857</v>
      </c>
      <c r="BG173" s="401">
        <v>0</v>
      </c>
      <c r="BH173" s="401">
        <v>0</v>
      </c>
      <c r="BI173" s="401">
        <v>0</v>
      </c>
      <c r="BJ173" s="401">
        <v>0</v>
      </c>
      <c r="BK173" s="401">
        <v>0</v>
      </c>
      <c r="BL173" s="401">
        <v>2550</v>
      </c>
      <c r="BM173" s="401">
        <v>0</v>
      </c>
      <c r="BN173" s="401">
        <v>0</v>
      </c>
      <c r="BO173" s="401">
        <v>5233733</v>
      </c>
      <c r="BP173" s="401">
        <v>192327</v>
      </c>
      <c r="BQ173" s="401">
        <v>0</v>
      </c>
      <c r="BR173" s="401">
        <v>237354</v>
      </c>
      <c r="BS173" s="401">
        <v>0</v>
      </c>
      <c r="BT173" s="401">
        <v>0</v>
      </c>
      <c r="BU173" s="401">
        <v>250288</v>
      </c>
      <c r="BV173" s="401">
        <v>0</v>
      </c>
      <c r="BW173" s="401">
        <v>0</v>
      </c>
      <c r="BX173" s="401">
        <v>0</v>
      </c>
      <c r="BY173" s="401">
        <v>0</v>
      </c>
      <c r="BZ173" s="401">
        <v>0</v>
      </c>
      <c r="CA173" s="401">
        <v>3647356</v>
      </c>
      <c r="CB173" s="401">
        <v>0</v>
      </c>
    </row>
    <row r="174" spans="1:80" s="401" customFormat="1" x14ac:dyDescent="0.3">
      <c r="A174" s="1014">
        <v>524</v>
      </c>
      <c r="B174" s="1014"/>
      <c r="C174" s="1018">
        <v>524</v>
      </c>
      <c r="D174" s="1019" t="s">
        <v>282</v>
      </c>
      <c r="E174" s="1020" t="s">
        <v>1682</v>
      </c>
      <c r="F174" s="1021" t="s">
        <v>1683</v>
      </c>
      <c r="G174" s="1021" t="s">
        <v>1684</v>
      </c>
      <c r="BC174" s="401">
        <v>477405</v>
      </c>
      <c r="BD174" s="401">
        <v>0</v>
      </c>
      <c r="BE174" s="401">
        <v>0</v>
      </c>
      <c r="BF174" s="401">
        <v>29876512</v>
      </c>
      <c r="BG174" s="401">
        <v>0</v>
      </c>
      <c r="BH174" s="401">
        <v>0</v>
      </c>
      <c r="BI174" s="401">
        <v>7203144</v>
      </c>
      <c r="BJ174" s="401">
        <v>3107743</v>
      </c>
      <c r="BK174" s="401">
        <v>0</v>
      </c>
      <c r="BL174" s="401">
        <v>10000991</v>
      </c>
      <c r="BM174" s="401">
        <v>6170262</v>
      </c>
      <c r="BN174" s="401">
        <v>0</v>
      </c>
      <c r="BO174" s="401">
        <v>9803220</v>
      </c>
      <c r="BP174" s="401">
        <v>7247171</v>
      </c>
      <c r="BQ174" s="401">
        <v>7394576</v>
      </c>
      <c r="BR174" s="401">
        <v>2117287</v>
      </c>
      <c r="BS174" s="401">
        <v>0</v>
      </c>
      <c r="BT174" s="401">
        <v>0</v>
      </c>
      <c r="BU174" s="401">
        <v>1482933</v>
      </c>
      <c r="BV174" s="401">
        <v>23580566</v>
      </c>
      <c r="BW174" s="401">
        <v>2221094</v>
      </c>
      <c r="BX174" s="401">
        <v>467650</v>
      </c>
      <c r="BY174" s="401">
        <v>0</v>
      </c>
      <c r="BZ174" s="401">
        <v>0</v>
      </c>
      <c r="CA174" s="401">
        <v>16203596</v>
      </c>
      <c r="CB174" s="401">
        <v>0</v>
      </c>
    </row>
    <row r="175" spans="1:80" s="401" customFormat="1" x14ac:dyDescent="0.3">
      <c r="A175" s="1014">
        <v>525</v>
      </c>
      <c r="B175" s="1014"/>
      <c r="C175" s="1018">
        <v>525</v>
      </c>
      <c r="D175" s="1019" t="s">
        <v>283</v>
      </c>
      <c r="E175" s="1020" t="s">
        <v>1682</v>
      </c>
      <c r="F175" s="1021" t="s">
        <v>1683</v>
      </c>
      <c r="G175" s="1021" t="s">
        <v>1684</v>
      </c>
      <c r="BC175" s="401">
        <v>4012633</v>
      </c>
      <c r="BD175" s="401">
        <v>0</v>
      </c>
      <c r="BE175" s="401">
        <v>0</v>
      </c>
      <c r="BF175" s="401">
        <v>0</v>
      </c>
      <c r="BG175" s="401">
        <v>0</v>
      </c>
      <c r="BH175" s="401">
        <v>0</v>
      </c>
      <c r="BI175" s="401">
        <v>0</v>
      </c>
      <c r="BJ175" s="401">
        <v>0</v>
      </c>
      <c r="BK175" s="401">
        <v>0</v>
      </c>
      <c r="BL175" s="401">
        <v>0</v>
      </c>
      <c r="BM175" s="401">
        <v>0</v>
      </c>
      <c r="BN175" s="401">
        <v>0</v>
      </c>
      <c r="BO175" s="401">
        <v>0</v>
      </c>
      <c r="BP175" s="401">
        <v>0</v>
      </c>
      <c r="BQ175" s="401">
        <v>0</v>
      </c>
      <c r="BR175" s="401">
        <v>0</v>
      </c>
      <c r="BS175" s="401">
        <v>0</v>
      </c>
      <c r="BT175" s="401">
        <v>0</v>
      </c>
      <c r="BU175" s="401">
        <v>0</v>
      </c>
      <c r="BV175" s="401">
        <v>0</v>
      </c>
      <c r="BW175" s="401">
        <v>0</v>
      </c>
      <c r="BX175" s="401">
        <v>0</v>
      </c>
      <c r="BY175" s="401">
        <v>0</v>
      </c>
      <c r="BZ175" s="401">
        <v>0</v>
      </c>
      <c r="CA175" s="401">
        <v>0</v>
      </c>
      <c r="CB175" s="401">
        <v>0</v>
      </c>
    </row>
    <row r="176" spans="1:80" s="401" customFormat="1" x14ac:dyDescent="0.3">
      <c r="A176" s="1014">
        <v>526</v>
      </c>
      <c r="B176" s="1014"/>
      <c r="C176" s="1018">
        <v>526</v>
      </c>
      <c r="D176" s="1019" t="s">
        <v>284</v>
      </c>
      <c r="E176" s="1020" t="s">
        <v>1682</v>
      </c>
      <c r="F176" s="1021" t="s">
        <v>1683</v>
      </c>
      <c r="G176" s="1021" t="s">
        <v>1684</v>
      </c>
      <c r="BC176" s="401">
        <v>501344</v>
      </c>
      <c r="BD176" s="401">
        <v>0</v>
      </c>
      <c r="BE176" s="401">
        <v>0</v>
      </c>
      <c r="BF176" s="401">
        <v>14346498</v>
      </c>
      <c r="BG176" s="401">
        <v>0</v>
      </c>
      <c r="BH176" s="401">
        <v>0</v>
      </c>
      <c r="BI176" s="401">
        <v>1013057</v>
      </c>
      <c r="BJ176" s="401">
        <v>209403</v>
      </c>
      <c r="BK176" s="401">
        <v>0</v>
      </c>
      <c r="BL176" s="401">
        <v>1663736</v>
      </c>
      <c r="BM176" s="401">
        <v>397690</v>
      </c>
      <c r="BN176" s="401">
        <v>0</v>
      </c>
      <c r="BO176" s="401">
        <v>3246377</v>
      </c>
      <c r="BP176" s="401">
        <v>402165</v>
      </c>
      <c r="BQ176" s="401">
        <v>101742</v>
      </c>
      <c r="BR176" s="401">
        <v>610640</v>
      </c>
      <c r="BS176" s="401">
        <v>0</v>
      </c>
      <c r="BT176" s="401">
        <v>0</v>
      </c>
      <c r="BU176" s="401">
        <v>2191496</v>
      </c>
      <c r="BV176" s="401">
        <v>1128575</v>
      </c>
      <c r="BW176" s="401">
        <v>318173</v>
      </c>
      <c r="BX176" s="401">
        <v>0</v>
      </c>
      <c r="BY176" s="401">
        <v>0</v>
      </c>
      <c r="BZ176" s="401">
        <v>0</v>
      </c>
      <c r="CA176" s="401">
        <v>1283656</v>
      </c>
      <c r="CB176" s="401">
        <v>0</v>
      </c>
    </row>
    <row r="177" spans="1:80" s="401" customFormat="1" ht="28.8" x14ac:dyDescent="0.3">
      <c r="A177" s="1014">
        <v>527</v>
      </c>
      <c r="B177" s="1014">
        <v>527</v>
      </c>
      <c r="C177" s="1018">
        <v>527</v>
      </c>
      <c r="D177" s="1019" t="s">
        <v>285</v>
      </c>
      <c r="E177" s="1020">
        <v>603210</v>
      </c>
      <c r="F177" s="1021" t="s">
        <v>1683</v>
      </c>
      <c r="G177" s="1021">
        <v>70740000</v>
      </c>
      <c r="BC177" s="401">
        <v>0</v>
      </c>
      <c r="BD177" s="401">
        <v>0</v>
      </c>
      <c r="BE177" s="401">
        <v>0</v>
      </c>
      <c r="BF177" s="401">
        <v>830073</v>
      </c>
      <c r="BG177" s="401">
        <v>0</v>
      </c>
      <c r="BH177" s="401">
        <v>0</v>
      </c>
      <c r="BI177" s="401">
        <v>0</v>
      </c>
      <c r="BJ177" s="401">
        <v>0</v>
      </c>
      <c r="BK177" s="401">
        <v>0</v>
      </c>
      <c r="BL177" s="401">
        <v>19800</v>
      </c>
      <c r="BM177" s="401">
        <v>0</v>
      </c>
      <c r="BN177" s="401">
        <v>0</v>
      </c>
      <c r="BO177" s="401">
        <v>0</v>
      </c>
      <c r="BP177" s="401">
        <v>0</v>
      </c>
      <c r="BQ177" s="401">
        <v>0</v>
      </c>
      <c r="BR177" s="401">
        <v>0</v>
      </c>
      <c r="BS177" s="401">
        <v>0</v>
      </c>
      <c r="BT177" s="401">
        <v>0</v>
      </c>
      <c r="BU177" s="401">
        <v>0</v>
      </c>
      <c r="BV177" s="401">
        <v>0</v>
      </c>
      <c r="BW177" s="401">
        <v>0</v>
      </c>
      <c r="BX177" s="401">
        <v>0</v>
      </c>
      <c r="BY177" s="401">
        <v>0</v>
      </c>
      <c r="BZ177" s="401">
        <v>0</v>
      </c>
      <c r="CA177" s="401">
        <v>0</v>
      </c>
      <c r="CB177" s="401">
        <v>0</v>
      </c>
    </row>
    <row r="178" spans="1:80" s="401" customFormat="1" x14ac:dyDescent="0.3">
      <c r="A178" s="1014">
        <v>528</v>
      </c>
      <c r="B178" s="1014"/>
      <c r="C178" s="1018">
        <v>528</v>
      </c>
      <c r="D178" s="1019" t="s">
        <v>267</v>
      </c>
      <c r="E178" s="1020" t="s">
        <v>1682</v>
      </c>
      <c r="F178" s="1021" t="s">
        <v>1683</v>
      </c>
      <c r="G178" s="1021" t="s">
        <v>1684</v>
      </c>
      <c r="BC178" s="401">
        <v>1322320</v>
      </c>
      <c r="BD178" s="401">
        <v>0</v>
      </c>
      <c r="BE178" s="401">
        <v>30348</v>
      </c>
      <c r="BF178" s="401">
        <v>9530207</v>
      </c>
      <c r="BG178" s="401">
        <v>0</v>
      </c>
      <c r="BH178" s="401">
        <v>13390</v>
      </c>
      <c r="BI178" s="401">
        <v>1637937</v>
      </c>
      <c r="BJ178" s="401">
        <v>1678928</v>
      </c>
      <c r="BK178" s="401">
        <v>0</v>
      </c>
      <c r="BL178" s="401">
        <v>6390125</v>
      </c>
      <c r="BM178" s="401">
        <v>2109279</v>
      </c>
      <c r="BN178" s="401">
        <v>0</v>
      </c>
      <c r="BO178" s="401">
        <v>2624171</v>
      </c>
      <c r="BP178" s="401">
        <v>524932</v>
      </c>
      <c r="BQ178" s="401">
        <v>443148</v>
      </c>
      <c r="BR178" s="401">
        <v>923138</v>
      </c>
      <c r="BS178" s="401">
        <v>562689</v>
      </c>
      <c r="BT178" s="401">
        <v>13106529</v>
      </c>
      <c r="BU178" s="401">
        <v>684893</v>
      </c>
      <c r="BV178" s="401">
        <v>1440331</v>
      </c>
      <c r="BW178" s="401">
        <v>225204</v>
      </c>
      <c r="BX178" s="401">
        <v>463274</v>
      </c>
      <c r="BY178" s="401">
        <v>1812</v>
      </c>
      <c r="BZ178" s="401">
        <v>8252</v>
      </c>
      <c r="CA178" s="401">
        <v>10133364</v>
      </c>
      <c r="CB178" s="401">
        <v>26674</v>
      </c>
    </row>
    <row r="179" spans="1:80" s="401" customFormat="1" x14ac:dyDescent="0.3">
      <c r="A179" s="1014">
        <v>529</v>
      </c>
      <c r="B179" s="1014"/>
      <c r="C179" s="1018">
        <v>529</v>
      </c>
      <c r="D179" s="1019" t="s">
        <v>268</v>
      </c>
      <c r="E179" s="1020" t="s">
        <v>1682</v>
      </c>
      <c r="F179" s="1021" t="s">
        <v>1683</v>
      </c>
      <c r="G179" s="1021" t="s">
        <v>1684</v>
      </c>
      <c r="BC179" s="401">
        <v>128903</v>
      </c>
      <c r="BD179" s="401">
        <v>0</v>
      </c>
      <c r="BE179" s="401">
        <v>3194</v>
      </c>
      <c r="BF179" s="401">
        <v>892457</v>
      </c>
      <c r="BG179" s="401">
        <v>0</v>
      </c>
      <c r="BH179" s="401">
        <v>1925</v>
      </c>
      <c r="BI179" s="401">
        <v>118829</v>
      </c>
      <c r="BJ179" s="401">
        <v>97882</v>
      </c>
      <c r="BK179" s="401">
        <v>0</v>
      </c>
      <c r="BL179" s="401">
        <v>114048</v>
      </c>
      <c r="BM179" s="401">
        <v>85031</v>
      </c>
      <c r="BN179" s="401">
        <v>0</v>
      </c>
      <c r="BO179" s="401">
        <v>209162</v>
      </c>
      <c r="BP179" s="401">
        <v>52930</v>
      </c>
      <c r="BQ179" s="401">
        <v>25608</v>
      </c>
      <c r="BR179" s="401">
        <v>95350</v>
      </c>
      <c r="BS179" s="401">
        <v>51314</v>
      </c>
      <c r="BT179" s="401">
        <v>1460724</v>
      </c>
      <c r="BU179" s="401">
        <v>107808</v>
      </c>
      <c r="BV179" s="401">
        <v>94810</v>
      </c>
      <c r="BW179" s="401">
        <v>36879</v>
      </c>
      <c r="BX179" s="401">
        <v>33616</v>
      </c>
      <c r="BY179" s="401">
        <v>185</v>
      </c>
      <c r="BZ179" s="401">
        <v>1490</v>
      </c>
      <c r="CA179" s="401">
        <v>721200</v>
      </c>
      <c r="CB179" s="401">
        <v>6200</v>
      </c>
    </row>
    <row r="180" spans="1:80" s="401" customFormat="1" ht="28.8" x14ac:dyDescent="0.3">
      <c r="A180" s="1014">
        <v>530</v>
      </c>
      <c r="B180" s="1014"/>
      <c r="C180" s="1018">
        <v>530</v>
      </c>
      <c r="D180" s="1019" t="s">
        <v>269</v>
      </c>
      <c r="E180" s="1020" t="s">
        <v>1682</v>
      </c>
      <c r="F180" s="1021" t="s">
        <v>1683</v>
      </c>
      <c r="G180" s="1021" t="s">
        <v>1684</v>
      </c>
      <c r="BC180" s="401">
        <v>15494</v>
      </c>
      <c r="BD180" s="401">
        <v>0</v>
      </c>
      <c r="BE180" s="401">
        <v>1043</v>
      </c>
      <c r="BF180" s="401">
        <v>575623</v>
      </c>
      <c r="BG180" s="401">
        <v>0</v>
      </c>
      <c r="BH180" s="401">
        <v>1230</v>
      </c>
      <c r="BI180" s="401">
        <v>15570</v>
      </c>
      <c r="BJ180" s="401">
        <v>45384</v>
      </c>
      <c r="BK180" s="401">
        <v>0</v>
      </c>
      <c r="BL180" s="401">
        <v>15672</v>
      </c>
      <c r="BM180" s="401">
        <v>27591</v>
      </c>
      <c r="BN180" s="401">
        <v>0</v>
      </c>
      <c r="BO180" s="401">
        <v>30098</v>
      </c>
      <c r="BP180" s="401">
        <v>17132</v>
      </c>
      <c r="BQ180" s="401">
        <v>13808</v>
      </c>
      <c r="BR180" s="401">
        <v>13808</v>
      </c>
      <c r="BS180" s="401">
        <v>2464</v>
      </c>
      <c r="BT180" s="401">
        <v>125395</v>
      </c>
      <c r="BU180" s="401">
        <v>110786</v>
      </c>
      <c r="BV180" s="401">
        <v>11809</v>
      </c>
      <c r="BW180" s="401">
        <v>13347</v>
      </c>
      <c r="BX180" s="401">
        <v>2860</v>
      </c>
      <c r="BY180" s="401">
        <v>90</v>
      </c>
      <c r="BZ180" s="401">
        <v>211</v>
      </c>
      <c r="CA180" s="401">
        <v>33910</v>
      </c>
      <c r="CB180" s="401">
        <v>3002</v>
      </c>
    </row>
    <row r="181" spans="1:80" s="401" customFormat="1" ht="28.8" x14ac:dyDescent="0.3">
      <c r="A181" s="1014">
        <v>531</v>
      </c>
      <c r="B181" s="1014"/>
      <c r="C181" s="1018">
        <v>531</v>
      </c>
      <c r="D181" s="1019" t="s">
        <v>270</v>
      </c>
      <c r="E181" s="1020" t="s">
        <v>1682</v>
      </c>
      <c r="F181" s="1021" t="s">
        <v>1683</v>
      </c>
      <c r="G181" s="1021" t="s">
        <v>1684</v>
      </c>
      <c r="BC181" s="401">
        <v>0</v>
      </c>
      <c r="BD181" s="401">
        <v>0</v>
      </c>
      <c r="BE181" s="401">
        <v>0</v>
      </c>
      <c r="BF181" s="401">
        <v>0</v>
      </c>
      <c r="BG181" s="401">
        <v>0</v>
      </c>
      <c r="BH181" s="401">
        <v>0</v>
      </c>
      <c r="BI181" s="401">
        <v>0</v>
      </c>
      <c r="BJ181" s="401">
        <v>1183</v>
      </c>
      <c r="BK181" s="401">
        <v>0</v>
      </c>
      <c r="BL181" s="401">
        <v>0</v>
      </c>
      <c r="BM181" s="401">
        <v>0</v>
      </c>
      <c r="BN181" s="401">
        <v>0</v>
      </c>
      <c r="BO181" s="401">
        <v>0</v>
      </c>
      <c r="BP181" s="401">
        <v>0</v>
      </c>
      <c r="BQ181" s="401">
        <v>0</v>
      </c>
      <c r="BR181" s="401">
        <v>0</v>
      </c>
      <c r="BS181" s="401">
        <v>0</v>
      </c>
      <c r="BT181" s="401">
        <v>0</v>
      </c>
      <c r="BU181" s="401">
        <v>894</v>
      </c>
      <c r="BV181" s="401">
        <v>0</v>
      </c>
      <c r="BW181" s="401">
        <v>0</v>
      </c>
      <c r="BX181" s="401">
        <v>0</v>
      </c>
      <c r="BY181" s="401">
        <v>0</v>
      </c>
      <c r="BZ181" s="401">
        <v>0</v>
      </c>
      <c r="CA181" s="401">
        <v>2810</v>
      </c>
      <c r="CB181" s="401">
        <v>0</v>
      </c>
    </row>
    <row r="182" spans="1:80" s="401" customFormat="1" ht="28.8" x14ac:dyDescent="0.3">
      <c r="A182" s="1014">
        <v>532</v>
      </c>
      <c r="B182" s="1014"/>
      <c r="C182" s="1018">
        <v>532</v>
      </c>
      <c r="D182" s="1019" t="s">
        <v>1657</v>
      </c>
      <c r="E182" s="1020" t="s">
        <v>1682</v>
      </c>
      <c r="F182" s="1021" t="s">
        <v>1683</v>
      </c>
      <c r="G182" s="1021" t="s">
        <v>1684</v>
      </c>
      <c r="BC182" s="401">
        <v>2494601</v>
      </c>
      <c r="BD182" s="401">
        <v>0</v>
      </c>
      <c r="BE182" s="401">
        <v>67554</v>
      </c>
      <c r="BF182" s="401">
        <v>28872002</v>
      </c>
      <c r="BG182" s="401">
        <v>0</v>
      </c>
      <c r="BH182" s="401">
        <v>47685</v>
      </c>
      <c r="BI182" s="401">
        <v>3009729</v>
      </c>
      <c r="BJ182" s="401">
        <v>2485704</v>
      </c>
      <c r="BK182" s="401">
        <v>0</v>
      </c>
      <c r="BL182" s="401">
        <v>9454369</v>
      </c>
      <c r="BM182" s="401">
        <v>3969664</v>
      </c>
      <c r="BN182" s="401">
        <v>40551</v>
      </c>
      <c r="BO182" s="401">
        <v>6810370</v>
      </c>
      <c r="BP182" s="401">
        <v>1565361</v>
      </c>
      <c r="BQ182" s="401">
        <v>1043552</v>
      </c>
      <c r="BR182" s="401">
        <v>1983298</v>
      </c>
      <c r="BS182" s="401">
        <v>1093978</v>
      </c>
      <c r="BT182" s="401">
        <v>24836255</v>
      </c>
      <c r="BU182" s="401">
        <v>2013876</v>
      </c>
      <c r="BV182" s="401">
        <v>2720361</v>
      </c>
      <c r="BW182" s="401">
        <v>1305887</v>
      </c>
      <c r="BX182" s="401">
        <v>782442</v>
      </c>
      <c r="BY182" s="401">
        <v>31281</v>
      </c>
      <c r="BZ182" s="401">
        <v>40519</v>
      </c>
      <c r="CA182" s="401">
        <v>17009885</v>
      </c>
      <c r="CB182" s="401">
        <v>157054</v>
      </c>
    </row>
    <row r="183" spans="1:80" s="401" customFormat="1" ht="28.8" x14ac:dyDescent="0.3">
      <c r="A183" s="1014">
        <v>533</v>
      </c>
      <c r="B183" s="1014"/>
      <c r="C183" s="1018">
        <v>533</v>
      </c>
      <c r="D183" s="1019" t="s">
        <v>1658</v>
      </c>
      <c r="E183" s="1020" t="s">
        <v>1682</v>
      </c>
      <c r="F183" s="1021" t="s">
        <v>1683</v>
      </c>
      <c r="G183" s="1021" t="s">
        <v>1684</v>
      </c>
      <c r="BC183" s="401">
        <v>0</v>
      </c>
      <c r="BD183" s="401">
        <v>0</v>
      </c>
      <c r="BE183" s="401">
        <v>0</v>
      </c>
      <c r="BF183" s="401">
        <v>1163660</v>
      </c>
      <c r="BG183" s="401">
        <v>0</v>
      </c>
      <c r="BH183" s="401">
        <v>0</v>
      </c>
      <c r="BI183" s="401">
        <v>0</v>
      </c>
      <c r="BJ183" s="401">
        <v>0</v>
      </c>
      <c r="BK183" s="401">
        <v>0</v>
      </c>
      <c r="BL183" s="401">
        <v>0</v>
      </c>
      <c r="BM183" s="401">
        <v>0</v>
      </c>
      <c r="BN183" s="401">
        <v>0</v>
      </c>
      <c r="BO183" s="401">
        <v>0</v>
      </c>
      <c r="BP183" s="401">
        <v>0</v>
      </c>
      <c r="BQ183" s="401">
        <v>0</v>
      </c>
      <c r="BR183" s="401">
        <v>0</v>
      </c>
      <c r="BS183" s="401">
        <v>0</v>
      </c>
      <c r="BT183" s="401">
        <v>370723</v>
      </c>
      <c r="BU183" s="401">
        <v>0</v>
      </c>
      <c r="BV183" s="401">
        <v>0</v>
      </c>
      <c r="BW183" s="401">
        <v>0</v>
      </c>
      <c r="BX183" s="401">
        <v>0</v>
      </c>
      <c r="BY183" s="401">
        <v>0</v>
      </c>
      <c r="BZ183" s="401">
        <v>0</v>
      </c>
      <c r="CA183" s="401">
        <v>0</v>
      </c>
      <c r="CB183" s="401">
        <v>0</v>
      </c>
    </row>
    <row r="184" spans="1:80" s="401" customFormat="1" ht="28.8" x14ac:dyDescent="0.3">
      <c r="A184" s="1014">
        <v>534</v>
      </c>
      <c r="B184" s="1014"/>
      <c r="C184" s="1018">
        <v>534</v>
      </c>
      <c r="D184" s="1019" t="s">
        <v>271</v>
      </c>
      <c r="E184" s="1020" t="s">
        <v>1682</v>
      </c>
      <c r="F184" s="1021" t="s">
        <v>1683</v>
      </c>
      <c r="G184" s="1021" t="s">
        <v>1684</v>
      </c>
    </row>
    <row r="185" spans="1:80" s="401" customFormat="1" x14ac:dyDescent="0.3">
      <c r="A185" s="1014">
        <v>535</v>
      </c>
      <c r="B185" s="1014"/>
      <c r="C185" s="1018">
        <v>535</v>
      </c>
      <c r="D185" s="1019" t="s">
        <v>1659</v>
      </c>
      <c r="E185" s="1020" t="s">
        <v>1682</v>
      </c>
      <c r="F185" s="1021" t="s">
        <v>1683</v>
      </c>
      <c r="G185" s="1021" t="s">
        <v>1684</v>
      </c>
      <c r="BC185" s="401">
        <v>0</v>
      </c>
      <c r="BD185" s="401">
        <v>0</v>
      </c>
      <c r="BE185" s="401">
        <v>0</v>
      </c>
      <c r="BF185" s="401">
        <v>1240992</v>
      </c>
      <c r="BG185" s="401">
        <v>0</v>
      </c>
      <c r="BH185" s="401">
        <v>0</v>
      </c>
      <c r="BI185" s="401">
        <v>0</v>
      </c>
      <c r="BJ185" s="401">
        <v>0</v>
      </c>
      <c r="BK185" s="401">
        <v>0</v>
      </c>
      <c r="BL185" s="401">
        <v>0</v>
      </c>
      <c r="BM185" s="401">
        <v>0</v>
      </c>
      <c r="BN185" s="401">
        <v>0</v>
      </c>
      <c r="BO185" s="401">
        <v>0</v>
      </c>
      <c r="BP185" s="401">
        <v>0</v>
      </c>
      <c r="BQ185" s="401">
        <v>0</v>
      </c>
      <c r="BR185" s="401">
        <v>0</v>
      </c>
      <c r="BS185" s="401">
        <v>0</v>
      </c>
      <c r="BT185" s="401">
        <v>0</v>
      </c>
      <c r="BU185" s="401">
        <v>1</v>
      </c>
      <c r="BV185" s="401">
        <v>0</v>
      </c>
      <c r="BW185" s="401">
        <v>0</v>
      </c>
      <c r="BX185" s="401">
        <v>0</v>
      </c>
      <c r="BY185" s="401">
        <v>1</v>
      </c>
      <c r="BZ185" s="401">
        <v>0</v>
      </c>
      <c r="CA185" s="401">
        <v>0</v>
      </c>
      <c r="CB185" s="401">
        <v>0</v>
      </c>
    </row>
    <row r="186" spans="1:80" s="401" customFormat="1" x14ac:dyDescent="0.3">
      <c r="A186" s="1014">
        <v>536</v>
      </c>
      <c r="B186" s="1014"/>
      <c r="C186" s="1018">
        <v>536</v>
      </c>
      <c r="D186" s="1019" t="s">
        <v>1660</v>
      </c>
      <c r="E186" s="1020" t="s">
        <v>1682</v>
      </c>
      <c r="F186" s="1021" t="s">
        <v>1683</v>
      </c>
      <c r="G186" s="1021" t="s">
        <v>1684</v>
      </c>
      <c r="BC186" s="401">
        <v>476510</v>
      </c>
      <c r="BD186" s="401">
        <v>0</v>
      </c>
      <c r="BE186" s="401">
        <v>8482</v>
      </c>
      <c r="BF186" s="401">
        <v>1193288</v>
      </c>
      <c r="BG186" s="401">
        <v>0</v>
      </c>
      <c r="BH186" s="401">
        <v>23601</v>
      </c>
      <c r="BI186" s="401">
        <v>7771</v>
      </c>
      <c r="BJ186" s="401">
        <v>145974</v>
      </c>
      <c r="BK186" s="401">
        <v>0</v>
      </c>
      <c r="BL186" s="401">
        <v>199376</v>
      </c>
      <c r="BM186" s="401">
        <v>67699</v>
      </c>
      <c r="BN186" s="401">
        <v>0</v>
      </c>
      <c r="BO186" s="401">
        <v>304084</v>
      </c>
      <c r="BP186" s="401">
        <v>141279</v>
      </c>
      <c r="BQ186" s="401">
        <v>147781</v>
      </c>
      <c r="BR186" s="401">
        <v>179396</v>
      </c>
      <c r="BS186" s="401">
        <v>51361</v>
      </c>
      <c r="BT186" s="401">
        <v>569220</v>
      </c>
      <c r="BU186" s="401">
        <v>28016</v>
      </c>
      <c r="BV186" s="401">
        <v>248609</v>
      </c>
      <c r="BW186" s="401">
        <v>38075</v>
      </c>
      <c r="BX186" s="401">
        <v>99456</v>
      </c>
      <c r="BY186" s="401">
        <v>20509</v>
      </c>
      <c r="BZ186" s="401">
        <v>18656</v>
      </c>
      <c r="CA186" s="401">
        <v>1057778</v>
      </c>
      <c r="CB186" s="401">
        <v>9721</v>
      </c>
    </row>
    <row r="187" spans="1:80" s="401" customFormat="1" ht="28.8" x14ac:dyDescent="0.3">
      <c r="A187" s="1014">
        <v>537</v>
      </c>
      <c r="B187" s="1014"/>
      <c r="C187" s="1031">
        <v>537</v>
      </c>
      <c r="D187" s="1032" t="s">
        <v>792</v>
      </c>
      <c r="E187" s="1020" t="s">
        <v>1682</v>
      </c>
      <c r="F187" s="1021" t="s">
        <v>1683</v>
      </c>
      <c r="G187" s="1021" t="s">
        <v>1684</v>
      </c>
      <c r="BC187" s="401">
        <v>1</v>
      </c>
      <c r="BD187" s="401">
        <v>0</v>
      </c>
      <c r="BE187" s="401">
        <v>2</v>
      </c>
      <c r="BF187" s="401">
        <v>1</v>
      </c>
      <c r="BG187" s="401">
        <v>0</v>
      </c>
      <c r="BH187" s="401">
        <v>2</v>
      </c>
      <c r="BI187" s="401">
        <v>2</v>
      </c>
      <c r="BJ187" s="401">
        <v>2</v>
      </c>
      <c r="BK187" s="401">
        <v>0</v>
      </c>
      <c r="BL187" s="401">
        <v>1</v>
      </c>
      <c r="BM187" s="401">
        <v>2</v>
      </c>
      <c r="BN187" s="401">
        <v>2</v>
      </c>
      <c r="BO187" s="401">
        <v>1</v>
      </c>
      <c r="BP187" s="401">
        <v>1</v>
      </c>
      <c r="BQ187" s="401">
        <v>1</v>
      </c>
      <c r="BR187" s="401">
        <v>2</v>
      </c>
      <c r="BS187" s="401">
        <v>2</v>
      </c>
      <c r="BT187" s="401">
        <v>2</v>
      </c>
      <c r="BU187" s="401">
        <v>2</v>
      </c>
      <c r="BV187" s="401">
        <v>1</v>
      </c>
      <c r="BW187" s="401">
        <v>2</v>
      </c>
      <c r="BX187" s="401">
        <v>2</v>
      </c>
      <c r="BY187" s="401">
        <v>2</v>
      </c>
      <c r="BZ187" s="401">
        <v>2</v>
      </c>
      <c r="CA187" s="401">
        <v>2</v>
      </c>
      <c r="CB187" s="401">
        <v>2</v>
      </c>
    </row>
    <row r="188" spans="1:80" s="401" customFormat="1" ht="43.2" x14ac:dyDescent="0.3">
      <c r="A188" s="1014">
        <v>538</v>
      </c>
      <c r="B188" s="1014"/>
      <c r="C188" s="1031">
        <v>538</v>
      </c>
      <c r="D188" s="1032" t="s">
        <v>793</v>
      </c>
      <c r="E188" s="1020" t="s">
        <v>1682</v>
      </c>
      <c r="F188" s="1021" t="s">
        <v>1683</v>
      </c>
      <c r="G188" s="1021" t="s">
        <v>1684</v>
      </c>
      <c r="BC188" s="401">
        <v>1</v>
      </c>
      <c r="BD188" s="401">
        <v>0</v>
      </c>
      <c r="BE188" s="401">
        <v>2</v>
      </c>
      <c r="BF188" s="401">
        <v>2</v>
      </c>
      <c r="BG188" s="401">
        <v>0</v>
      </c>
      <c r="BH188" s="401">
        <v>2</v>
      </c>
      <c r="BI188" s="401">
        <v>2</v>
      </c>
      <c r="BJ188" s="401">
        <v>2</v>
      </c>
      <c r="BK188" s="401">
        <v>0</v>
      </c>
      <c r="BL188" s="401">
        <v>2</v>
      </c>
      <c r="BM188" s="401">
        <v>2</v>
      </c>
      <c r="BN188" s="401">
        <v>2</v>
      </c>
      <c r="BO188" s="401">
        <v>1</v>
      </c>
      <c r="BP188" s="401">
        <v>1</v>
      </c>
      <c r="BQ188" s="401">
        <v>1</v>
      </c>
      <c r="BR188" s="401">
        <v>2</v>
      </c>
      <c r="BS188" s="401">
        <v>2</v>
      </c>
      <c r="BT188" s="401">
        <v>2</v>
      </c>
      <c r="BU188" s="401">
        <v>2</v>
      </c>
      <c r="BV188" s="401">
        <v>1</v>
      </c>
      <c r="BW188" s="401">
        <v>2</v>
      </c>
      <c r="BX188" s="401">
        <v>2</v>
      </c>
      <c r="BY188" s="401">
        <v>2</v>
      </c>
      <c r="BZ188" s="401">
        <v>2</v>
      </c>
      <c r="CA188" s="401">
        <v>2</v>
      </c>
      <c r="CB188" s="401">
        <v>2</v>
      </c>
    </row>
    <row r="189" spans="1:80" s="401" customFormat="1" ht="28.8" x14ac:dyDescent="0.3">
      <c r="A189" s="1025">
        <v>539</v>
      </c>
      <c r="B189" s="1014"/>
      <c r="C189" s="1033">
        <v>539</v>
      </c>
      <c r="D189" s="1034" t="s">
        <v>794</v>
      </c>
      <c r="E189" s="1028" t="s">
        <v>1682</v>
      </c>
      <c r="F189" s="1029" t="s">
        <v>1683</v>
      </c>
      <c r="G189" s="1029" t="s">
        <v>1684</v>
      </c>
    </row>
    <row r="190" spans="1:80" s="401" customFormat="1" ht="28.8" x14ac:dyDescent="0.3">
      <c r="A190" s="1014">
        <v>540</v>
      </c>
      <c r="B190" s="1014"/>
      <c r="C190" s="1031">
        <v>540</v>
      </c>
      <c r="D190" s="1032" t="s">
        <v>795</v>
      </c>
      <c r="E190" s="1020" t="s">
        <v>1682</v>
      </c>
      <c r="F190" s="1021" t="s">
        <v>1683</v>
      </c>
      <c r="G190" s="1021" t="s">
        <v>1684</v>
      </c>
      <c r="BC190" s="401">
        <v>0</v>
      </c>
      <c r="BD190" s="401">
        <v>0</v>
      </c>
      <c r="BE190" s="401">
        <v>41335</v>
      </c>
      <c r="BF190" s="401">
        <v>2046175</v>
      </c>
      <c r="BG190" s="401">
        <v>0</v>
      </c>
      <c r="BH190" s="401">
        <v>0</v>
      </c>
      <c r="BI190" s="401">
        <v>38000</v>
      </c>
      <c r="BJ190" s="401">
        <v>72552</v>
      </c>
      <c r="BK190" s="401">
        <v>0</v>
      </c>
      <c r="BL190" s="401">
        <v>212392</v>
      </c>
      <c r="BM190" s="401">
        <v>1050907</v>
      </c>
      <c r="BN190" s="401">
        <v>0</v>
      </c>
      <c r="BO190" s="401">
        <v>12534</v>
      </c>
      <c r="BP190" s="401">
        <v>125000</v>
      </c>
      <c r="BQ190" s="401">
        <v>510362</v>
      </c>
      <c r="BR190" s="401">
        <v>297313</v>
      </c>
      <c r="BS190" s="401">
        <v>0</v>
      </c>
      <c r="BT190" s="401">
        <v>0</v>
      </c>
      <c r="BU190" s="401">
        <v>424000</v>
      </c>
      <c r="BV190" s="401">
        <v>0</v>
      </c>
      <c r="BW190" s="401">
        <v>0</v>
      </c>
      <c r="BX190" s="401">
        <v>0</v>
      </c>
      <c r="BY190" s="401">
        <v>0</v>
      </c>
      <c r="BZ190" s="401">
        <v>20000</v>
      </c>
      <c r="CA190" s="401">
        <v>1823718</v>
      </c>
      <c r="CB190" s="401">
        <v>0</v>
      </c>
    </row>
    <row r="191" spans="1:80" s="401" customFormat="1" ht="43.2" x14ac:dyDescent="0.3">
      <c r="A191" s="1014">
        <v>541</v>
      </c>
      <c r="B191" s="1014"/>
      <c r="C191" s="1031">
        <v>541</v>
      </c>
      <c r="D191" s="1032" t="s">
        <v>796</v>
      </c>
      <c r="E191" s="1020" t="s">
        <v>1682</v>
      </c>
      <c r="F191" s="1021" t="s">
        <v>1683</v>
      </c>
      <c r="G191" s="1021" t="s">
        <v>1684</v>
      </c>
      <c r="BC191" s="401">
        <v>87623</v>
      </c>
      <c r="BD191" s="401">
        <v>0</v>
      </c>
      <c r="BE191" s="401">
        <v>0</v>
      </c>
      <c r="BF191" s="401">
        <v>94485</v>
      </c>
      <c r="BG191" s="401">
        <v>0</v>
      </c>
      <c r="BH191" s="401">
        <v>0</v>
      </c>
      <c r="BI191" s="401">
        <v>-90360</v>
      </c>
      <c r="BJ191" s="401">
        <v>117866</v>
      </c>
      <c r="BK191" s="401">
        <v>0</v>
      </c>
      <c r="BL191" s="401">
        <v>119318</v>
      </c>
      <c r="BM191" s="401">
        <v>514211</v>
      </c>
      <c r="BN191" s="401">
        <v>0</v>
      </c>
      <c r="BO191" s="401">
        <v>164909</v>
      </c>
      <c r="BP191" s="401">
        <v>236783</v>
      </c>
      <c r="BQ191" s="401">
        <v>175989</v>
      </c>
      <c r="BR191" s="401">
        <v>40510</v>
      </c>
      <c r="BS191" s="401">
        <v>0</v>
      </c>
      <c r="BT191" s="401">
        <v>0</v>
      </c>
      <c r="BU191" s="401">
        <v>-10142</v>
      </c>
      <c r="BV191" s="401">
        <v>58538</v>
      </c>
      <c r="BW191" s="401">
        <v>73860</v>
      </c>
      <c r="BX191" s="401">
        <v>259060</v>
      </c>
      <c r="BY191" s="401">
        <v>0</v>
      </c>
      <c r="BZ191" s="401">
        <v>0</v>
      </c>
      <c r="CA191" s="401">
        <v>146315</v>
      </c>
      <c r="CB191" s="401">
        <v>0</v>
      </c>
    </row>
    <row r="192" spans="1:80" s="401" customFormat="1" ht="28.8" x14ac:dyDescent="0.3">
      <c r="A192" s="1014">
        <v>542</v>
      </c>
      <c r="B192" s="1014"/>
      <c r="C192" s="1031">
        <v>542</v>
      </c>
      <c r="D192" s="1032" t="s">
        <v>797</v>
      </c>
      <c r="E192" s="1020" t="s">
        <v>1682</v>
      </c>
      <c r="F192" s="1021" t="s">
        <v>1683</v>
      </c>
      <c r="G192" s="1021" t="s">
        <v>1684</v>
      </c>
      <c r="BC192" s="401">
        <v>0</v>
      </c>
      <c r="BD192" s="401">
        <v>0</v>
      </c>
      <c r="BE192" s="401">
        <v>0</v>
      </c>
      <c r="BF192" s="401">
        <v>463330</v>
      </c>
      <c r="BG192" s="401">
        <v>0</v>
      </c>
      <c r="BH192" s="401">
        <v>0</v>
      </c>
      <c r="BI192" s="401">
        <v>0</v>
      </c>
      <c r="BJ192" s="401">
        <v>148454</v>
      </c>
      <c r="BK192" s="401">
        <v>0</v>
      </c>
      <c r="BL192" s="401">
        <v>179724</v>
      </c>
      <c r="BM192" s="401">
        <v>299901</v>
      </c>
      <c r="BN192" s="401">
        <v>0</v>
      </c>
      <c r="BO192" s="401">
        <v>196995</v>
      </c>
      <c r="BP192" s="401">
        <v>25000</v>
      </c>
      <c r="BQ192" s="401">
        <v>0</v>
      </c>
      <c r="BR192" s="401">
        <v>0</v>
      </c>
      <c r="BS192" s="401">
        <v>0</v>
      </c>
      <c r="BT192" s="401">
        <v>0</v>
      </c>
      <c r="BU192" s="401">
        <v>0</v>
      </c>
      <c r="BV192" s="401">
        <v>0</v>
      </c>
      <c r="BW192" s="401">
        <v>0</v>
      </c>
      <c r="BX192" s="401">
        <v>0</v>
      </c>
      <c r="BY192" s="401">
        <v>0</v>
      </c>
      <c r="BZ192" s="401">
        <v>0</v>
      </c>
      <c r="CA192" s="401">
        <v>1900315</v>
      </c>
      <c r="CB192" s="401">
        <v>0</v>
      </c>
    </row>
    <row r="193" spans="1:80" s="401" customFormat="1" ht="57.6" x14ac:dyDescent="0.3">
      <c r="A193" s="1014">
        <v>543</v>
      </c>
      <c r="B193" s="1014"/>
      <c r="C193" s="1031">
        <v>543</v>
      </c>
      <c r="D193" s="1035" t="s">
        <v>798</v>
      </c>
      <c r="E193" s="1020" t="s">
        <v>1682</v>
      </c>
      <c r="F193" s="1021" t="s">
        <v>1683</v>
      </c>
      <c r="G193" s="1021" t="s">
        <v>1684</v>
      </c>
      <c r="BC193" s="401">
        <v>0</v>
      </c>
      <c r="BD193" s="401">
        <v>0</v>
      </c>
      <c r="BE193" s="401">
        <v>0</v>
      </c>
      <c r="BF193" s="401">
        <v>0</v>
      </c>
      <c r="BG193" s="401">
        <v>0</v>
      </c>
      <c r="BH193" s="401">
        <v>0</v>
      </c>
      <c r="BI193" s="401">
        <v>0</v>
      </c>
      <c r="BJ193" s="401">
        <v>0</v>
      </c>
      <c r="BK193" s="401">
        <v>0</v>
      </c>
      <c r="BL193" s="401">
        <v>0</v>
      </c>
      <c r="BM193" s="401">
        <v>0</v>
      </c>
      <c r="BN193" s="401">
        <v>0</v>
      </c>
      <c r="BO193" s="401">
        <v>0</v>
      </c>
      <c r="BP193" s="401">
        <v>0</v>
      </c>
      <c r="BQ193" s="401">
        <v>0</v>
      </c>
      <c r="BR193" s="401">
        <v>0</v>
      </c>
      <c r="BS193" s="401">
        <v>0</v>
      </c>
      <c r="BT193" s="401">
        <v>0</v>
      </c>
      <c r="BU193" s="401">
        <v>0</v>
      </c>
      <c r="BV193" s="401">
        <v>0</v>
      </c>
      <c r="BW193" s="401">
        <v>0</v>
      </c>
      <c r="BX193" s="401">
        <v>0</v>
      </c>
      <c r="BY193" s="401">
        <v>0</v>
      </c>
      <c r="BZ193" s="401">
        <v>0</v>
      </c>
      <c r="CA193" s="401">
        <v>0</v>
      </c>
      <c r="CB193" s="401">
        <v>0</v>
      </c>
    </row>
    <row r="194" spans="1:80" s="401" customFormat="1" x14ac:dyDescent="0.3">
      <c r="A194" s="1014">
        <v>544</v>
      </c>
      <c r="B194" s="1014"/>
      <c r="C194" s="1031">
        <v>544</v>
      </c>
      <c r="D194" s="1035" t="s">
        <v>53</v>
      </c>
      <c r="E194" s="1020" t="s">
        <v>1682</v>
      </c>
      <c r="F194" s="1021" t="s">
        <v>1683</v>
      </c>
      <c r="G194" s="1021" t="s">
        <v>1684</v>
      </c>
      <c r="BC194" s="401">
        <v>0</v>
      </c>
      <c r="BD194" s="401">
        <v>0</v>
      </c>
      <c r="BE194" s="401">
        <v>0</v>
      </c>
      <c r="BF194" s="401">
        <v>0</v>
      </c>
      <c r="BG194" s="401">
        <v>0</v>
      </c>
      <c r="BH194" s="401">
        <v>0</v>
      </c>
      <c r="BI194" s="401">
        <v>0</v>
      </c>
      <c r="BJ194" s="401">
        <v>0</v>
      </c>
      <c r="BK194" s="401">
        <v>0</v>
      </c>
      <c r="BL194" s="401">
        <v>0</v>
      </c>
      <c r="BM194" s="401">
        <v>0</v>
      </c>
      <c r="BN194" s="401">
        <v>0</v>
      </c>
      <c r="BO194" s="401">
        <v>0</v>
      </c>
      <c r="BP194" s="401">
        <v>0</v>
      </c>
      <c r="BQ194" s="401">
        <v>0</v>
      </c>
      <c r="BR194" s="401">
        <v>0</v>
      </c>
      <c r="BS194" s="401">
        <v>0</v>
      </c>
      <c r="BT194" s="401">
        <v>0.28000000000000003</v>
      </c>
      <c r="BU194" s="401">
        <v>0</v>
      </c>
      <c r="BV194" s="401">
        <v>0</v>
      </c>
      <c r="BW194" s="401">
        <v>0</v>
      </c>
      <c r="BX194" s="401">
        <v>0</v>
      </c>
      <c r="BY194" s="401">
        <v>0</v>
      </c>
      <c r="BZ194" s="401">
        <v>0</v>
      </c>
      <c r="CA194" s="401">
        <v>0</v>
      </c>
      <c r="CB194" s="401">
        <v>0</v>
      </c>
    </row>
    <row r="195" spans="1:80" s="401" customFormat="1" ht="28.8" x14ac:dyDescent="0.3">
      <c r="A195" s="1014">
        <v>545</v>
      </c>
      <c r="B195" s="1014"/>
      <c r="C195" s="1031">
        <v>545</v>
      </c>
      <c r="D195" s="1035" t="s">
        <v>54</v>
      </c>
      <c r="E195" s="1020" t="s">
        <v>1682</v>
      </c>
      <c r="F195" s="1021" t="s">
        <v>1683</v>
      </c>
      <c r="G195" s="1021" t="s">
        <v>1684</v>
      </c>
      <c r="BC195" s="401">
        <v>0</v>
      </c>
      <c r="BD195" s="401">
        <v>0</v>
      </c>
      <c r="BE195" s="401">
        <v>0</v>
      </c>
      <c r="BF195" s="401">
        <v>0</v>
      </c>
      <c r="BG195" s="401">
        <v>0</v>
      </c>
      <c r="BH195" s="401">
        <v>0</v>
      </c>
      <c r="BI195" s="401">
        <v>0</v>
      </c>
      <c r="BJ195" s="401">
        <v>0</v>
      </c>
      <c r="BK195" s="401">
        <v>0</v>
      </c>
      <c r="BL195" s="401">
        <v>0</v>
      </c>
      <c r="BM195" s="401">
        <v>0</v>
      </c>
      <c r="BN195" s="401">
        <v>0</v>
      </c>
      <c r="BO195" s="401">
        <v>0</v>
      </c>
      <c r="BP195" s="401">
        <v>0</v>
      </c>
      <c r="BQ195" s="401">
        <v>0</v>
      </c>
      <c r="BR195" s="401">
        <v>0</v>
      </c>
      <c r="BS195" s="401">
        <v>0</v>
      </c>
      <c r="BT195" s="401">
        <v>0</v>
      </c>
      <c r="BU195" s="401">
        <v>0</v>
      </c>
      <c r="BV195" s="401">
        <v>0</v>
      </c>
      <c r="BW195" s="401">
        <v>0</v>
      </c>
      <c r="BX195" s="401">
        <v>0</v>
      </c>
      <c r="BY195" s="401">
        <v>0</v>
      </c>
      <c r="BZ195" s="401">
        <v>0</v>
      </c>
      <c r="CA195" s="401">
        <v>0</v>
      </c>
      <c r="CB195" s="401">
        <v>0</v>
      </c>
    </row>
    <row r="196" spans="1:80" s="401" customFormat="1" x14ac:dyDescent="0.3">
      <c r="A196" s="1014">
        <v>546</v>
      </c>
      <c r="B196" s="1014"/>
      <c r="C196" s="1031">
        <v>546</v>
      </c>
      <c r="D196" s="1035" t="s">
        <v>799</v>
      </c>
      <c r="E196" s="1020" t="s">
        <v>1682</v>
      </c>
      <c r="F196" s="1021" t="s">
        <v>1683</v>
      </c>
      <c r="G196" s="1021" t="s">
        <v>1684</v>
      </c>
    </row>
    <row r="197" spans="1:80" s="401" customFormat="1" ht="86.4" x14ac:dyDescent="0.3">
      <c r="A197" s="1014">
        <v>547</v>
      </c>
      <c r="B197" s="1014">
        <v>547</v>
      </c>
      <c r="C197" s="1031">
        <v>547</v>
      </c>
      <c r="D197" s="1035" t="s">
        <v>803</v>
      </c>
      <c r="E197" s="1020">
        <v>2</v>
      </c>
      <c r="F197" s="1021">
        <v>2</v>
      </c>
      <c r="G197" s="1021">
        <v>2</v>
      </c>
      <c r="BC197" s="401">
        <v>3</v>
      </c>
      <c r="BD197" s="401">
        <v>0</v>
      </c>
      <c r="BE197" s="401">
        <v>2</v>
      </c>
      <c r="BF197" s="401">
        <v>3</v>
      </c>
      <c r="BG197" s="401">
        <v>0</v>
      </c>
      <c r="BH197" s="401">
        <v>2</v>
      </c>
      <c r="BI197" s="401">
        <v>3</v>
      </c>
      <c r="BJ197" s="401">
        <v>3</v>
      </c>
      <c r="BK197" s="401">
        <v>0</v>
      </c>
      <c r="BL197" s="401">
        <v>3</v>
      </c>
      <c r="BM197" s="401">
        <v>3</v>
      </c>
      <c r="BN197" s="401">
        <v>2</v>
      </c>
      <c r="BO197" s="401">
        <v>3</v>
      </c>
      <c r="BP197" s="401">
        <v>2</v>
      </c>
      <c r="BQ197" s="401">
        <v>2</v>
      </c>
      <c r="BR197" s="401">
        <v>2</v>
      </c>
      <c r="BS197" s="401">
        <v>2</v>
      </c>
      <c r="BT197" s="401">
        <v>2</v>
      </c>
      <c r="BU197" s="401">
        <v>2</v>
      </c>
      <c r="BV197" s="401">
        <v>3</v>
      </c>
      <c r="BW197" s="401">
        <v>2</v>
      </c>
      <c r="BX197" s="401">
        <v>2</v>
      </c>
      <c r="BY197" s="401">
        <v>2</v>
      </c>
      <c r="BZ197" s="401">
        <v>2</v>
      </c>
      <c r="CA197" s="401">
        <v>3</v>
      </c>
      <c r="CB197" s="401">
        <v>2</v>
      </c>
    </row>
    <row r="198" spans="1:80" s="401" customFormat="1" x14ac:dyDescent="0.3">
      <c r="A198" s="1014">
        <v>548</v>
      </c>
      <c r="B198" s="1014"/>
      <c r="C198" s="1031"/>
      <c r="D198" s="1035"/>
      <c r="E198" s="1020"/>
      <c r="F198" s="1021"/>
      <c r="G198" s="1021"/>
      <c r="BC198" s="401">
        <v>0</v>
      </c>
      <c r="BD198" s="401">
        <v>0</v>
      </c>
      <c r="BE198" s="401">
        <v>0</v>
      </c>
      <c r="BF198" s="401">
        <v>0</v>
      </c>
      <c r="BG198" s="401">
        <v>0</v>
      </c>
      <c r="BH198" s="401">
        <v>0</v>
      </c>
      <c r="BI198" s="401">
        <v>0</v>
      </c>
      <c r="BJ198" s="401">
        <v>0</v>
      </c>
      <c r="BK198" s="401">
        <v>0</v>
      </c>
      <c r="BL198" s="401">
        <v>0</v>
      </c>
      <c r="BM198" s="401">
        <v>0</v>
      </c>
      <c r="BN198" s="401">
        <v>0</v>
      </c>
      <c r="BO198" s="401">
        <v>0</v>
      </c>
      <c r="BP198" s="401">
        <v>0</v>
      </c>
      <c r="BQ198" s="401">
        <v>0</v>
      </c>
      <c r="BR198" s="401">
        <v>0</v>
      </c>
      <c r="BS198" s="401">
        <v>0</v>
      </c>
      <c r="BT198" s="401">
        <v>0</v>
      </c>
      <c r="BU198" s="401">
        <v>0</v>
      </c>
      <c r="BV198" s="401">
        <v>0</v>
      </c>
      <c r="BW198" s="401">
        <v>0</v>
      </c>
      <c r="BX198" s="401">
        <v>0</v>
      </c>
      <c r="BY198" s="401">
        <v>0</v>
      </c>
      <c r="BZ198" s="401">
        <v>0</v>
      </c>
      <c r="CA198" s="401">
        <v>0</v>
      </c>
      <c r="CB198" s="401">
        <v>0</v>
      </c>
    </row>
    <row r="199" spans="1:80" s="401" customFormat="1" x14ac:dyDescent="0.3">
      <c r="A199" s="1014">
        <v>549</v>
      </c>
      <c r="B199" s="1014"/>
      <c r="C199" s="1031"/>
      <c r="D199" s="1035"/>
      <c r="E199" s="1020"/>
      <c r="F199" s="1021"/>
      <c r="G199" s="1021"/>
      <c r="BC199" s="401">
        <v>0</v>
      </c>
      <c r="BD199" s="401">
        <v>0</v>
      </c>
      <c r="BE199" s="401">
        <v>0</v>
      </c>
      <c r="BF199" s="401">
        <v>0</v>
      </c>
      <c r="BG199" s="401">
        <v>0</v>
      </c>
      <c r="BH199" s="401">
        <v>0</v>
      </c>
      <c r="BI199" s="401">
        <v>0</v>
      </c>
      <c r="BJ199" s="401">
        <v>0</v>
      </c>
      <c r="BK199" s="401">
        <v>0</v>
      </c>
      <c r="BL199" s="401">
        <v>0</v>
      </c>
      <c r="BM199" s="401">
        <v>0</v>
      </c>
      <c r="BN199" s="401">
        <v>0</v>
      </c>
      <c r="BO199" s="401">
        <v>0</v>
      </c>
      <c r="BP199" s="401">
        <v>0</v>
      </c>
      <c r="BQ199" s="401">
        <v>0</v>
      </c>
      <c r="BR199" s="401">
        <v>0</v>
      </c>
      <c r="BS199" s="401">
        <v>0</v>
      </c>
      <c r="BT199" s="401">
        <v>0</v>
      </c>
      <c r="BU199" s="401">
        <v>0</v>
      </c>
      <c r="BV199" s="401">
        <v>0</v>
      </c>
      <c r="BW199" s="401">
        <v>0</v>
      </c>
      <c r="BX199" s="401">
        <v>0</v>
      </c>
      <c r="BY199" s="401">
        <v>0</v>
      </c>
      <c r="BZ199" s="401">
        <v>0</v>
      </c>
      <c r="CA199" s="401">
        <v>0</v>
      </c>
      <c r="CB199" s="401">
        <v>0</v>
      </c>
    </row>
    <row r="200" spans="1:80" s="401" customFormat="1" x14ac:dyDescent="0.3">
      <c r="A200" s="1014">
        <v>550</v>
      </c>
      <c r="B200" s="1014"/>
      <c r="C200" s="1031"/>
      <c r="D200" s="1035"/>
      <c r="E200" s="1020"/>
      <c r="F200" s="1021"/>
      <c r="G200" s="1021"/>
      <c r="BC200" s="401">
        <v>0</v>
      </c>
      <c r="BD200" s="401">
        <v>0</v>
      </c>
      <c r="BE200" s="401">
        <v>0</v>
      </c>
      <c r="BF200" s="401">
        <v>0</v>
      </c>
      <c r="BG200" s="401">
        <v>0</v>
      </c>
      <c r="BH200" s="401">
        <v>0</v>
      </c>
      <c r="BI200" s="401">
        <v>0</v>
      </c>
      <c r="BJ200" s="401">
        <v>0</v>
      </c>
      <c r="BK200" s="401">
        <v>0</v>
      </c>
      <c r="BL200" s="401">
        <v>0</v>
      </c>
      <c r="BM200" s="401">
        <v>0</v>
      </c>
      <c r="BN200" s="401">
        <v>0</v>
      </c>
      <c r="BO200" s="401">
        <v>0</v>
      </c>
      <c r="BP200" s="401">
        <v>0</v>
      </c>
      <c r="BQ200" s="401">
        <v>0</v>
      </c>
      <c r="BR200" s="401">
        <v>0</v>
      </c>
      <c r="BS200" s="401">
        <v>0</v>
      </c>
      <c r="BT200" s="401">
        <v>0</v>
      </c>
      <c r="BU200" s="401">
        <v>0</v>
      </c>
      <c r="BV200" s="401">
        <v>0</v>
      </c>
      <c r="BW200" s="401">
        <v>0</v>
      </c>
      <c r="BX200" s="401">
        <v>0</v>
      </c>
      <c r="BY200" s="401">
        <v>0</v>
      </c>
      <c r="BZ200" s="401">
        <v>0</v>
      </c>
      <c r="CA200" s="401">
        <v>0</v>
      </c>
      <c r="CB200" s="401">
        <v>0</v>
      </c>
    </row>
    <row r="201" spans="1:80" s="401" customFormat="1" ht="66.599999999999994" x14ac:dyDescent="0.3">
      <c r="A201" s="1014">
        <v>551</v>
      </c>
      <c r="B201" s="1014"/>
      <c r="C201" s="1031">
        <v>551</v>
      </c>
      <c r="D201" s="1036" t="s">
        <v>1661</v>
      </c>
      <c r="E201" s="1020" t="s">
        <v>1682</v>
      </c>
      <c r="F201" s="1021" t="s">
        <v>1683</v>
      </c>
      <c r="G201" s="1021" t="s">
        <v>1684</v>
      </c>
      <c r="BC201" s="401">
        <v>0</v>
      </c>
      <c r="BD201" s="401">
        <v>0</v>
      </c>
      <c r="BE201" s="401">
        <v>0</v>
      </c>
      <c r="BF201" s="401">
        <v>0</v>
      </c>
      <c r="BG201" s="401">
        <v>0</v>
      </c>
      <c r="BH201" s="401">
        <v>0</v>
      </c>
      <c r="BI201" s="401">
        <v>0</v>
      </c>
      <c r="BJ201" s="401">
        <v>0</v>
      </c>
      <c r="BK201" s="401">
        <v>0</v>
      </c>
      <c r="BL201" s="401">
        <v>0</v>
      </c>
      <c r="BM201" s="401">
        <v>0</v>
      </c>
      <c r="BN201" s="401">
        <v>0</v>
      </c>
      <c r="BO201" s="401">
        <v>0</v>
      </c>
      <c r="BP201" s="401">
        <v>0</v>
      </c>
      <c r="BQ201" s="401">
        <v>0</v>
      </c>
      <c r="BR201" s="401">
        <v>0</v>
      </c>
      <c r="BS201" s="401">
        <v>0</v>
      </c>
      <c r="BT201" s="401">
        <v>0</v>
      </c>
      <c r="BU201" s="401">
        <v>0</v>
      </c>
      <c r="BV201" s="401">
        <v>0</v>
      </c>
      <c r="BW201" s="401">
        <v>0</v>
      </c>
      <c r="BX201" s="401">
        <v>0</v>
      </c>
      <c r="BY201" s="401">
        <v>0</v>
      </c>
      <c r="BZ201" s="401">
        <v>0</v>
      </c>
      <c r="CA201" s="401">
        <v>0</v>
      </c>
      <c r="CB201" s="401">
        <v>0</v>
      </c>
    </row>
    <row r="202" spans="1:80" s="401" customFormat="1" x14ac:dyDescent="0.3">
      <c r="A202" s="1014">
        <v>552</v>
      </c>
      <c r="B202" s="1010"/>
      <c r="C202" s="1010"/>
      <c r="D202" s="1010"/>
      <c r="E202" s="1010"/>
      <c r="F202" s="1010"/>
      <c r="G202" s="1010"/>
      <c r="BC202" s="401">
        <v>0</v>
      </c>
      <c r="BD202" s="401">
        <v>0</v>
      </c>
      <c r="BE202" s="401">
        <v>0</v>
      </c>
      <c r="BF202" s="401">
        <v>0</v>
      </c>
      <c r="BG202" s="401">
        <v>0</v>
      </c>
      <c r="BH202" s="401">
        <v>0</v>
      </c>
      <c r="BI202" s="401">
        <v>0</v>
      </c>
      <c r="BJ202" s="401">
        <v>0</v>
      </c>
      <c r="BK202" s="401">
        <v>0</v>
      </c>
      <c r="BL202" s="401">
        <v>0</v>
      </c>
      <c r="BM202" s="401">
        <v>0</v>
      </c>
      <c r="BN202" s="401">
        <v>0</v>
      </c>
      <c r="BO202" s="401">
        <v>0</v>
      </c>
      <c r="BP202" s="401">
        <v>0</v>
      </c>
      <c r="BQ202" s="401">
        <v>0</v>
      </c>
      <c r="BR202" s="401">
        <v>0</v>
      </c>
      <c r="BS202" s="401">
        <v>0</v>
      </c>
      <c r="BT202" s="401">
        <v>0</v>
      </c>
      <c r="BU202" s="401">
        <v>0</v>
      </c>
      <c r="BV202" s="401">
        <v>0</v>
      </c>
      <c r="BW202" s="401">
        <v>0</v>
      </c>
      <c r="BX202" s="401">
        <v>0</v>
      </c>
      <c r="BY202" s="401">
        <v>0</v>
      </c>
      <c r="BZ202" s="401">
        <v>0</v>
      </c>
      <c r="CA202" s="401">
        <v>0</v>
      </c>
      <c r="CB202" s="401">
        <v>0</v>
      </c>
    </row>
    <row r="203" spans="1:80" s="401" customFormat="1" x14ac:dyDescent="0.3">
      <c r="A203" s="1014">
        <v>553</v>
      </c>
      <c r="B203" s="1014"/>
      <c r="C203" s="1031"/>
      <c r="D203" s="1035"/>
      <c r="E203" s="1020"/>
      <c r="F203" s="1021"/>
      <c r="G203" s="1021"/>
    </row>
    <row r="204" spans="1:80" s="401" customFormat="1" x14ac:dyDescent="0.3">
      <c r="A204" s="1014">
        <v>554</v>
      </c>
      <c r="B204" s="1014"/>
      <c r="C204" s="1031"/>
      <c r="D204" s="1035"/>
      <c r="E204" s="1020"/>
      <c r="F204" s="1021"/>
      <c r="G204" s="1021"/>
      <c r="BC204" s="401">
        <v>0</v>
      </c>
      <c r="BD204" s="401">
        <v>0</v>
      </c>
      <c r="BE204" s="401">
        <v>0</v>
      </c>
      <c r="BF204" s="401">
        <v>0</v>
      </c>
      <c r="BG204" s="401">
        <v>0</v>
      </c>
      <c r="BH204" s="401">
        <v>0</v>
      </c>
      <c r="BI204" s="401">
        <v>0</v>
      </c>
      <c r="BJ204" s="401">
        <v>0</v>
      </c>
      <c r="BK204" s="401">
        <v>0</v>
      </c>
      <c r="BL204" s="401">
        <v>0</v>
      </c>
      <c r="BM204" s="401">
        <v>0</v>
      </c>
      <c r="BN204" s="401">
        <v>0</v>
      </c>
      <c r="BO204" s="401">
        <v>781525</v>
      </c>
      <c r="BP204" s="401">
        <v>0</v>
      </c>
      <c r="BQ204" s="401">
        <v>0</v>
      </c>
      <c r="BR204" s="401">
        <v>0</v>
      </c>
      <c r="BS204" s="401">
        <v>0</v>
      </c>
      <c r="BT204" s="401">
        <v>641260</v>
      </c>
      <c r="BU204" s="401">
        <v>0</v>
      </c>
      <c r="BV204" s="401">
        <v>0</v>
      </c>
      <c r="BW204" s="401">
        <v>1438678</v>
      </c>
      <c r="BX204" s="401">
        <v>0</v>
      </c>
      <c r="BY204" s="401">
        <v>0</v>
      </c>
      <c r="BZ204" s="401">
        <v>0</v>
      </c>
      <c r="CA204" s="401">
        <v>152518</v>
      </c>
      <c r="CB204" s="401">
        <v>0</v>
      </c>
    </row>
    <row r="205" spans="1:80" s="401" customFormat="1" x14ac:dyDescent="0.3">
      <c r="A205" s="1014">
        <v>555</v>
      </c>
      <c r="B205" s="1014"/>
      <c r="C205" s="1031"/>
      <c r="D205" s="1035"/>
      <c r="E205" s="1020"/>
      <c r="F205" s="1021"/>
      <c r="G205" s="1021"/>
      <c r="BC205" s="401">
        <v>0</v>
      </c>
      <c r="BD205" s="401">
        <v>0</v>
      </c>
      <c r="BE205" s="401">
        <v>0</v>
      </c>
      <c r="BF205" s="401">
        <v>0</v>
      </c>
      <c r="BG205" s="401">
        <v>0</v>
      </c>
      <c r="BH205" s="401">
        <v>0</v>
      </c>
      <c r="BI205" s="401">
        <v>0</v>
      </c>
      <c r="BJ205" s="401">
        <v>0</v>
      </c>
      <c r="BK205" s="401">
        <v>0</v>
      </c>
      <c r="BL205" s="401">
        <v>0</v>
      </c>
      <c r="BM205" s="401">
        <v>0</v>
      </c>
      <c r="BN205" s="401">
        <v>0</v>
      </c>
      <c r="BO205" s="401">
        <v>499643</v>
      </c>
      <c r="BP205" s="401">
        <v>0</v>
      </c>
      <c r="BQ205" s="401">
        <v>0</v>
      </c>
      <c r="BR205" s="401">
        <v>0</v>
      </c>
      <c r="BS205" s="401">
        <v>0</v>
      </c>
      <c r="BT205" s="401">
        <v>0</v>
      </c>
      <c r="BU205" s="401">
        <v>0</v>
      </c>
      <c r="BV205" s="401">
        <v>0</v>
      </c>
      <c r="BW205" s="401">
        <v>1371002</v>
      </c>
      <c r="BX205" s="401">
        <v>0</v>
      </c>
      <c r="BY205" s="401">
        <v>0</v>
      </c>
      <c r="BZ205" s="401">
        <v>0</v>
      </c>
      <c r="CA205" s="401">
        <v>0</v>
      </c>
      <c r="CB205" s="401">
        <v>0</v>
      </c>
    </row>
    <row r="206" spans="1:80" s="401" customFormat="1" x14ac:dyDescent="0.3">
      <c r="A206" s="1014">
        <v>556</v>
      </c>
      <c r="B206" s="1014"/>
      <c r="C206" s="1031"/>
      <c r="D206" s="1035"/>
      <c r="E206" s="1020"/>
      <c r="F206" s="1021"/>
      <c r="G206" s="1021"/>
      <c r="BC206" s="401">
        <v>0</v>
      </c>
      <c r="BD206" s="401">
        <v>0</v>
      </c>
      <c r="BE206" s="401">
        <v>0</v>
      </c>
      <c r="BF206" s="401">
        <v>0</v>
      </c>
      <c r="BG206" s="401">
        <v>0</v>
      </c>
      <c r="BH206" s="401">
        <v>0</v>
      </c>
      <c r="BI206" s="401">
        <v>0</v>
      </c>
      <c r="BJ206" s="401">
        <v>0</v>
      </c>
      <c r="BK206" s="401">
        <v>0</v>
      </c>
      <c r="BL206" s="401">
        <v>0</v>
      </c>
      <c r="BM206" s="401">
        <v>0</v>
      </c>
      <c r="BN206" s="401">
        <v>0</v>
      </c>
      <c r="BO206" s="401">
        <v>274270</v>
      </c>
      <c r="BP206" s="401">
        <v>0</v>
      </c>
      <c r="BQ206" s="401">
        <v>0</v>
      </c>
      <c r="BR206" s="401">
        <v>0</v>
      </c>
      <c r="BS206" s="401">
        <v>0</v>
      </c>
      <c r="BT206" s="401">
        <v>939281</v>
      </c>
      <c r="BU206" s="401">
        <v>0</v>
      </c>
      <c r="BV206" s="401">
        <v>0</v>
      </c>
      <c r="BW206" s="401">
        <v>561499</v>
      </c>
      <c r="BX206" s="401">
        <v>0</v>
      </c>
      <c r="BY206" s="401">
        <v>0</v>
      </c>
      <c r="BZ206" s="401">
        <v>0</v>
      </c>
      <c r="CA206" s="401">
        <v>540334</v>
      </c>
      <c r="CB206" s="401">
        <v>0</v>
      </c>
    </row>
    <row r="207" spans="1:80" s="401" customFormat="1" x14ac:dyDescent="0.3">
      <c r="A207" s="1014">
        <v>557</v>
      </c>
      <c r="B207" s="1014"/>
      <c r="C207" s="1031"/>
      <c r="D207" s="1035"/>
      <c r="E207" s="1020"/>
      <c r="F207" s="1021"/>
      <c r="G207" s="1021"/>
      <c r="BC207" s="401">
        <v>0</v>
      </c>
      <c r="BD207" s="401">
        <v>0</v>
      </c>
      <c r="BE207" s="401">
        <v>0</v>
      </c>
      <c r="BF207" s="401">
        <v>0</v>
      </c>
      <c r="BG207" s="401">
        <v>0</v>
      </c>
      <c r="BH207" s="401">
        <v>0</v>
      </c>
      <c r="BI207" s="401">
        <v>0</v>
      </c>
      <c r="BJ207" s="401">
        <v>0</v>
      </c>
      <c r="BK207" s="401">
        <v>0</v>
      </c>
      <c r="BL207" s="401">
        <v>0</v>
      </c>
      <c r="BM207" s="401">
        <v>0</v>
      </c>
      <c r="BN207" s="401">
        <v>0</v>
      </c>
      <c r="BO207" s="401">
        <v>0</v>
      </c>
      <c r="BP207" s="401">
        <v>0</v>
      </c>
      <c r="BQ207" s="401">
        <v>0</v>
      </c>
      <c r="BR207" s="401">
        <v>0</v>
      </c>
      <c r="BS207" s="401">
        <v>0</v>
      </c>
      <c r="BT207" s="401">
        <v>890616</v>
      </c>
      <c r="BU207" s="401">
        <v>0</v>
      </c>
      <c r="BV207" s="401">
        <v>0</v>
      </c>
      <c r="BW207" s="401">
        <v>450000</v>
      </c>
      <c r="BX207" s="401">
        <v>0</v>
      </c>
      <c r="BY207" s="401">
        <v>0</v>
      </c>
      <c r="BZ207" s="401">
        <v>0</v>
      </c>
      <c r="CA207" s="401">
        <v>360334</v>
      </c>
      <c r="CB207" s="401">
        <v>0</v>
      </c>
    </row>
    <row r="208" spans="1:80" s="401" customFormat="1" x14ac:dyDescent="0.3">
      <c r="A208" s="1014">
        <v>558</v>
      </c>
      <c r="B208" s="1014"/>
      <c r="C208" s="1031"/>
      <c r="D208" s="1035"/>
      <c r="E208" s="1020"/>
      <c r="F208" s="1021"/>
      <c r="G208" s="1021"/>
    </row>
    <row r="209" spans="1:7" s="401" customFormat="1" x14ac:dyDescent="0.3">
      <c r="A209" s="1014">
        <v>559</v>
      </c>
      <c r="B209" s="1014"/>
      <c r="C209" s="1031"/>
      <c r="D209" s="1035"/>
      <c r="E209" s="1020"/>
      <c r="F209" s="1021"/>
      <c r="G209" s="1021"/>
    </row>
    <row r="210" spans="1:7" s="401" customFormat="1" x14ac:dyDescent="0.3">
      <c r="A210" s="1014">
        <v>560</v>
      </c>
      <c r="B210" s="1014"/>
      <c r="C210" s="1031"/>
      <c r="D210" s="1035"/>
      <c r="E210" s="1020"/>
      <c r="F210" s="1021"/>
      <c r="G210" s="1021"/>
    </row>
    <row r="211" spans="1:7" s="401" customFormat="1" x14ac:dyDescent="0.3">
      <c r="A211" s="1014">
        <v>561</v>
      </c>
      <c r="B211" s="1014"/>
      <c r="C211" s="1031"/>
      <c r="D211" s="1035"/>
      <c r="E211" s="1020"/>
      <c r="F211" s="1021"/>
      <c r="G211" s="1021"/>
    </row>
    <row r="212" spans="1:7" s="401" customFormat="1" x14ac:dyDescent="0.3">
      <c r="A212" s="1014">
        <v>562</v>
      </c>
      <c r="B212" s="1014"/>
      <c r="C212" s="1031"/>
      <c r="D212" s="1035"/>
      <c r="E212" s="1020"/>
      <c r="F212" s="1021"/>
      <c r="G212" s="1021"/>
    </row>
    <row r="213" spans="1:7" s="401" customFormat="1" x14ac:dyDescent="0.3">
      <c r="A213" s="1014">
        <v>563</v>
      </c>
      <c r="B213" s="1014"/>
      <c r="C213" s="1031"/>
      <c r="D213" s="1035"/>
      <c r="E213" s="1020"/>
      <c r="F213" s="1021"/>
      <c r="G213" s="1021"/>
    </row>
    <row r="214" spans="1:7" s="401" customFormat="1" x14ac:dyDescent="0.3">
      <c r="A214" s="1014">
        <v>564</v>
      </c>
      <c r="B214" s="1014"/>
      <c r="C214" s="1031"/>
      <c r="D214" s="1035"/>
      <c r="E214" s="1020"/>
      <c r="F214" s="1021"/>
      <c r="G214" s="1021"/>
    </row>
    <row r="215" spans="1:7" s="401" customFormat="1" x14ac:dyDescent="0.3">
      <c r="A215" s="1014">
        <v>565</v>
      </c>
      <c r="B215" s="1014"/>
      <c r="C215" s="1031"/>
      <c r="D215" s="1035"/>
      <c r="E215" s="1020"/>
      <c r="F215" s="1021"/>
      <c r="G215" s="1021"/>
    </row>
    <row r="216" spans="1:7" s="401" customFormat="1" x14ac:dyDescent="0.3">
      <c r="A216" s="1014">
        <v>566</v>
      </c>
      <c r="B216" s="1014"/>
      <c r="C216" s="1031"/>
      <c r="D216" s="1035"/>
      <c r="E216" s="1020"/>
      <c r="F216" s="1021"/>
      <c r="G216" s="1021"/>
    </row>
    <row r="217" spans="1:7" s="401" customFormat="1" x14ac:dyDescent="0.3">
      <c r="A217" s="1014">
        <v>567</v>
      </c>
      <c r="B217" s="1014"/>
      <c r="C217" s="1031"/>
      <c r="D217" s="1035"/>
      <c r="E217" s="1020"/>
      <c r="F217" s="1021"/>
      <c r="G217" s="1021"/>
    </row>
    <row r="218" spans="1:7" s="401" customFormat="1" x14ac:dyDescent="0.3">
      <c r="A218" s="1014">
        <v>568</v>
      </c>
      <c r="B218" s="1014"/>
      <c r="C218" s="1031"/>
      <c r="D218" s="1035"/>
      <c r="E218" s="1020"/>
      <c r="F218" s="1021"/>
      <c r="G218" s="1021"/>
    </row>
    <row r="219" spans="1:7" s="401" customFormat="1" x14ac:dyDescent="0.3">
      <c r="A219" s="1014">
        <v>569</v>
      </c>
      <c r="B219" s="1014"/>
      <c r="C219" s="1031"/>
      <c r="D219" s="1035"/>
      <c r="E219" s="1020"/>
      <c r="F219" s="1021"/>
      <c r="G219" s="1021"/>
    </row>
    <row r="220" spans="1:7" s="401" customFormat="1" x14ac:dyDescent="0.3">
      <c r="A220" s="1014">
        <v>570</v>
      </c>
      <c r="B220" s="1014"/>
      <c r="C220" s="1031"/>
      <c r="D220" s="1035"/>
      <c r="E220" s="1020"/>
      <c r="F220" s="1021"/>
      <c r="G220" s="1021"/>
    </row>
    <row r="221" spans="1:7" s="401" customFormat="1" x14ac:dyDescent="0.3">
      <c r="A221" s="1014">
        <v>571</v>
      </c>
      <c r="B221" s="1014"/>
      <c r="C221" s="1031"/>
      <c r="D221" s="1035"/>
      <c r="E221" s="1020"/>
      <c r="F221" s="1021"/>
      <c r="G221" s="1021"/>
    </row>
    <row r="222" spans="1:7" s="401" customFormat="1" x14ac:dyDescent="0.3">
      <c r="A222" s="1014">
        <v>572</v>
      </c>
      <c r="B222" s="1014"/>
      <c r="C222" s="1031"/>
      <c r="D222" s="1035"/>
      <c r="E222" s="1020"/>
      <c r="F222" s="1021"/>
      <c r="G222" s="1021"/>
    </row>
    <row r="223" spans="1:7" s="401" customFormat="1" x14ac:dyDescent="0.3">
      <c r="A223" s="1014">
        <v>573</v>
      </c>
      <c r="B223" s="1014"/>
      <c r="C223" s="1031"/>
      <c r="D223" s="1035"/>
      <c r="E223" s="1020"/>
      <c r="F223" s="1021"/>
      <c r="G223" s="1021"/>
    </row>
    <row r="224" spans="1:7" s="401" customFormat="1" x14ac:dyDescent="0.3">
      <c r="A224" s="1014">
        <v>574</v>
      </c>
      <c r="B224" s="1014"/>
      <c r="C224" s="1031"/>
      <c r="D224" s="1035"/>
      <c r="E224" s="1020"/>
      <c r="F224" s="1021"/>
      <c r="G224" s="1021"/>
    </row>
    <row r="225" spans="1:80" s="401" customFormat="1" x14ac:dyDescent="0.3">
      <c r="A225" s="1014">
        <v>575</v>
      </c>
      <c r="B225" s="1014"/>
      <c r="C225" s="1031"/>
      <c r="D225" s="1035"/>
      <c r="E225" s="1020"/>
      <c r="F225" s="1021"/>
      <c r="G225" s="1021"/>
      <c r="BC225" s="401">
        <v>0</v>
      </c>
      <c r="BD225" s="401">
        <v>0</v>
      </c>
      <c r="BE225" s="401">
        <v>0</v>
      </c>
      <c r="BF225" s="401">
        <v>0</v>
      </c>
      <c r="BG225" s="401">
        <v>0</v>
      </c>
      <c r="BH225" s="401">
        <v>0</v>
      </c>
      <c r="BI225" s="401">
        <v>0</v>
      </c>
      <c r="BJ225" s="401">
        <v>0</v>
      </c>
      <c r="BK225" s="401">
        <v>0</v>
      </c>
      <c r="BL225" s="401">
        <v>0</v>
      </c>
      <c r="BM225" s="401">
        <v>0</v>
      </c>
      <c r="BN225" s="401">
        <v>0</v>
      </c>
      <c r="BO225" s="401">
        <v>96223</v>
      </c>
      <c r="BP225" s="401">
        <v>0</v>
      </c>
      <c r="BQ225" s="401">
        <v>0</v>
      </c>
      <c r="BR225" s="401">
        <v>0</v>
      </c>
      <c r="BS225" s="401">
        <v>0</v>
      </c>
      <c r="BT225" s="401">
        <v>0</v>
      </c>
      <c r="BU225" s="401">
        <v>0</v>
      </c>
      <c r="BV225" s="401">
        <v>0</v>
      </c>
      <c r="BW225" s="401">
        <v>9257</v>
      </c>
      <c r="BX225" s="401">
        <v>21797</v>
      </c>
      <c r="BY225" s="401">
        <v>0</v>
      </c>
      <c r="BZ225" s="401">
        <v>0</v>
      </c>
      <c r="CA225" s="401">
        <v>0</v>
      </c>
      <c r="CB225" s="401">
        <v>0</v>
      </c>
    </row>
    <row r="226" spans="1:80" s="401" customFormat="1" x14ac:dyDescent="0.3">
      <c r="A226" s="1014">
        <v>576</v>
      </c>
      <c r="B226" s="1014"/>
      <c r="C226" s="1031"/>
      <c r="D226" s="1035"/>
      <c r="E226" s="1020"/>
      <c r="F226" s="1021"/>
      <c r="G226" s="1021"/>
      <c r="BC226" s="401">
        <v>0</v>
      </c>
      <c r="BD226" s="401">
        <v>0</v>
      </c>
      <c r="BE226" s="401">
        <v>0</v>
      </c>
      <c r="BF226" s="401">
        <v>1627000</v>
      </c>
      <c r="BG226" s="401">
        <v>0</v>
      </c>
      <c r="BH226" s="401">
        <v>0</v>
      </c>
      <c r="BI226" s="401">
        <v>0</v>
      </c>
      <c r="BJ226" s="401">
        <v>0</v>
      </c>
      <c r="BK226" s="401">
        <v>0</v>
      </c>
      <c r="BL226" s="401">
        <v>0</v>
      </c>
      <c r="BM226" s="401">
        <v>0</v>
      </c>
      <c r="BN226" s="401">
        <v>0</v>
      </c>
      <c r="BO226" s="401">
        <v>0</v>
      </c>
      <c r="BP226" s="401">
        <v>348103</v>
      </c>
      <c r="BQ226" s="401">
        <v>0</v>
      </c>
      <c r="BR226" s="401">
        <v>0</v>
      </c>
      <c r="BS226" s="401">
        <v>0</v>
      </c>
      <c r="BT226" s="401">
        <v>0</v>
      </c>
      <c r="BU226" s="401">
        <v>40000</v>
      </c>
      <c r="BV226" s="401">
        <v>16959</v>
      </c>
      <c r="BW226" s="401">
        <v>0</v>
      </c>
      <c r="BX226" s="401">
        <v>0</v>
      </c>
      <c r="BY226" s="401">
        <v>0</v>
      </c>
      <c r="BZ226" s="401">
        <v>0</v>
      </c>
      <c r="CA226" s="401">
        <v>0</v>
      </c>
      <c r="CB226" s="401">
        <v>0</v>
      </c>
    </row>
    <row r="227" spans="1:80" s="401" customFormat="1" ht="28.8" x14ac:dyDescent="0.3">
      <c r="A227" s="1014">
        <v>577</v>
      </c>
      <c r="B227" s="1014">
        <v>577</v>
      </c>
      <c r="C227" s="1033">
        <v>577</v>
      </c>
      <c r="D227" s="1037" t="s">
        <v>604</v>
      </c>
      <c r="E227" s="1028">
        <v>1</v>
      </c>
      <c r="F227" s="1029">
        <v>2</v>
      </c>
      <c r="G227" s="1029">
        <v>2</v>
      </c>
      <c r="BC227" s="401">
        <v>2</v>
      </c>
      <c r="BD227" s="401">
        <v>0</v>
      </c>
      <c r="BE227" s="401">
        <v>0</v>
      </c>
      <c r="BF227" s="401">
        <v>2</v>
      </c>
      <c r="BG227" s="401">
        <v>0</v>
      </c>
      <c r="BH227" s="401">
        <v>0</v>
      </c>
      <c r="BI227" s="401">
        <v>2</v>
      </c>
      <c r="BJ227" s="401">
        <v>2</v>
      </c>
      <c r="BK227" s="401">
        <v>0</v>
      </c>
      <c r="BL227" s="401">
        <v>2</v>
      </c>
      <c r="BM227" s="401">
        <v>2</v>
      </c>
      <c r="BN227" s="401">
        <v>0</v>
      </c>
      <c r="BO227" s="401">
        <v>2</v>
      </c>
      <c r="BP227" s="401">
        <v>2</v>
      </c>
      <c r="BQ227" s="401">
        <v>2</v>
      </c>
      <c r="BR227" s="401">
        <v>2</v>
      </c>
      <c r="BS227" s="401">
        <v>2</v>
      </c>
      <c r="BT227" s="401">
        <v>2</v>
      </c>
      <c r="BU227" s="401">
        <v>2</v>
      </c>
      <c r="BV227" s="401">
        <v>2</v>
      </c>
      <c r="BW227" s="401">
        <v>2</v>
      </c>
      <c r="BX227" s="401">
        <v>2</v>
      </c>
      <c r="BY227" s="401">
        <v>0</v>
      </c>
      <c r="BZ227" s="401">
        <v>2</v>
      </c>
      <c r="CA227" s="401">
        <v>2</v>
      </c>
      <c r="CB227" s="401">
        <v>0</v>
      </c>
    </row>
    <row r="228" spans="1:80" s="401" customFormat="1" x14ac:dyDescent="0.3">
      <c r="A228" s="1014">
        <v>578</v>
      </c>
      <c r="B228" s="1010"/>
      <c r="C228" s="1010"/>
      <c r="D228" s="1010"/>
      <c r="E228" s="1010"/>
      <c r="F228" s="1010"/>
      <c r="G228" s="1010"/>
      <c r="BC228" s="401">
        <v>0</v>
      </c>
      <c r="BD228" s="401">
        <v>0</v>
      </c>
      <c r="BE228" s="401">
        <v>0</v>
      </c>
      <c r="BF228" s="401">
        <v>0</v>
      </c>
      <c r="BG228" s="401">
        <v>0</v>
      </c>
      <c r="BH228" s="401">
        <v>0</v>
      </c>
      <c r="BI228" s="401">
        <v>0</v>
      </c>
      <c r="BJ228" s="401">
        <v>0</v>
      </c>
      <c r="BK228" s="401">
        <v>0</v>
      </c>
      <c r="BL228" s="401">
        <v>0</v>
      </c>
      <c r="BM228" s="401">
        <v>0</v>
      </c>
      <c r="BN228" s="401">
        <v>0</v>
      </c>
      <c r="BO228" s="401">
        <v>0</v>
      </c>
      <c r="BP228" s="401">
        <v>0</v>
      </c>
      <c r="BQ228" s="401">
        <v>0</v>
      </c>
      <c r="BR228" s="401">
        <v>0</v>
      </c>
      <c r="BS228" s="401">
        <v>0</v>
      </c>
      <c r="BT228" s="401">
        <v>0</v>
      </c>
      <c r="BU228" s="401">
        <v>0</v>
      </c>
      <c r="BV228" s="401">
        <v>0</v>
      </c>
      <c r="BW228" s="401">
        <v>0</v>
      </c>
      <c r="BX228" s="401">
        <v>0</v>
      </c>
      <c r="BY228" s="401">
        <v>0</v>
      </c>
      <c r="BZ228" s="401">
        <v>0</v>
      </c>
      <c r="CA228" s="401">
        <v>0</v>
      </c>
      <c r="CB228" s="401">
        <v>0</v>
      </c>
    </row>
    <row r="229" spans="1:80" s="401" customFormat="1" x14ac:dyDescent="0.3">
      <c r="A229" s="1014">
        <v>579</v>
      </c>
      <c r="B229" s="1014"/>
      <c r="C229" s="1031"/>
      <c r="D229" s="1035"/>
      <c r="E229" s="1020"/>
      <c r="F229" s="1021"/>
      <c r="G229" s="1021"/>
      <c r="BC229" s="401">
        <v>0</v>
      </c>
      <c r="BD229" s="401">
        <v>0</v>
      </c>
      <c r="BE229" s="401">
        <v>0</v>
      </c>
      <c r="BF229" s="401">
        <v>0</v>
      </c>
      <c r="BG229" s="401">
        <v>0</v>
      </c>
      <c r="BH229" s="401">
        <v>0</v>
      </c>
      <c r="BI229" s="401">
        <v>0</v>
      </c>
      <c r="BJ229" s="401">
        <v>0</v>
      </c>
      <c r="BK229" s="401">
        <v>0</v>
      </c>
      <c r="BL229" s="401">
        <v>0</v>
      </c>
      <c r="BM229" s="401">
        <v>0</v>
      </c>
      <c r="BN229" s="401">
        <v>0</v>
      </c>
      <c r="BO229" s="401">
        <v>0</v>
      </c>
      <c r="BP229" s="401">
        <v>0</v>
      </c>
      <c r="BQ229" s="401">
        <v>0</v>
      </c>
      <c r="BR229" s="401">
        <v>0</v>
      </c>
      <c r="BS229" s="401">
        <v>0</v>
      </c>
      <c r="BT229" s="401">
        <v>0</v>
      </c>
      <c r="BU229" s="401">
        <v>0</v>
      </c>
      <c r="BV229" s="401">
        <v>0</v>
      </c>
      <c r="BW229" s="401">
        <v>0</v>
      </c>
      <c r="BX229" s="401">
        <v>0</v>
      </c>
      <c r="BY229" s="401">
        <v>0</v>
      </c>
      <c r="BZ229" s="401">
        <v>0</v>
      </c>
      <c r="CA229" s="401">
        <v>0</v>
      </c>
      <c r="CB229" s="401">
        <v>0</v>
      </c>
    </row>
    <row r="230" spans="1:80" s="401" customFormat="1" x14ac:dyDescent="0.3">
      <c r="A230" s="1014">
        <v>580</v>
      </c>
      <c r="B230" s="1014">
        <v>580</v>
      </c>
      <c r="C230" s="1031">
        <v>580</v>
      </c>
      <c r="D230" s="1010" t="s">
        <v>606</v>
      </c>
      <c r="E230" s="1020" t="s">
        <v>1682</v>
      </c>
      <c r="F230" s="1021" t="s">
        <v>1683</v>
      </c>
      <c r="G230" s="1021" t="s">
        <v>1684</v>
      </c>
      <c r="BC230" s="401">
        <v>0</v>
      </c>
      <c r="BD230" s="401">
        <v>0</v>
      </c>
      <c r="BE230" s="401">
        <v>0</v>
      </c>
      <c r="BF230" s="401">
        <v>0</v>
      </c>
      <c r="BG230" s="401">
        <v>0</v>
      </c>
      <c r="BH230" s="401">
        <v>0</v>
      </c>
      <c r="BI230" s="401">
        <v>0</v>
      </c>
      <c r="BJ230" s="401">
        <v>0</v>
      </c>
      <c r="BK230" s="401">
        <v>0</v>
      </c>
      <c r="BL230" s="401">
        <v>0</v>
      </c>
      <c r="BM230" s="401">
        <v>0</v>
      </c>
      <c r="BN230" s="401">
        <v>0</v>
      </c>
      <c r="BO230" s="401">
        <v>0</v>
      </c>
      <c r="BP230" s="401">
        <v>0</v>
      </c>
      <c r="BQ230" s="401">
        <v>0</v>
      </c>
      <c r="BR230" s="401">
        <v>0</v>
      </c>
      <c r="BS230" s="401">
        <v>0</v>
      </c>
      <c r="BT230" s="401">
        <v>0</v>
      </c>
      <c r="BU230" s="401">
        <v>0</v>
      </c>
      <c r="BV230" s="401">
        <v>0</v>
      </c>
      <c r="BW230" s="401">
        <v>0</v>
      </c>
      <c r="BX230" s="401">
        <v>0</v>
      </c>
      <c r="BY230" s="401">
        <v>0</v>
      </c>
      <c r="BZ230" s="401">
        <v>0</v>
      </c>
      <c r="CA230" s="401">
        <v>0</v>
      </c>
      <c r="CB230" s="401">
        <v>0</v>
      </c>
    </row>
    <row r="231" spans="1:80" s="401" customFormat="1" x14ac:dyDescent="0.3">
      <c r="A231" s="1014">
        <v>581</v>
      </c>
      <c r="B231" s="1014">
        <v>581</v>
      </c>
      <c r="C231" s="1031">
        <v>581</v>
      </c>
      <c r="D231" s="1010" t="s">
        <v>608</v>
      </c>
      <c r="E231" s="1020" t="s">
        <v>1682</v>
      </c>
      <c r="F231" s="1021" t="s">
        <v>1683</v>
      </c>
      <c r="G231" s="1021" t="s">
        <v>1684</v>
      </c>
      <c r="BC231" s="401">
        <v>0</v>
      </c>
      <c r="BD231" s="401">
        <v>0</v>
      </c>
      <c r="BE231" s="401">
        <v>0</v>
      </c>
      <c r="BF231" s="401">
        <v>0</v>
      </c>
      <c r="BG231" s="401">
        <v>0</v>
      </c>
      <c r="BH231" s="401">
        <v>0</v>
      </c>
      <c r="BI231" s="401">
        <v>0</v>
      </c>
      <c r="BJ231" s="401">
        <v>0</v>
      </c>
      <c r="BK231" s="401">
        <v>0</v>
      </c>
      <c r="BL231" s="401">
        <v>0</v>
      </c>
      <c r="BM231" s="401">
        <v>0</v>
      </c>
      <c r="BN231" s="401">
        <v>0</v>
      </c>
      <c r="BO231" s="401">
        <v>0</v>
      </c>
      <c r="BP231" s="401">
        <v>0</v>
      </c>
      <c r="BQ231" s="401">
        <v>0</v>
      </c>
      <c r="BR231" s="401">
        <v>0</v>
      </c>
      <c r="BS231" s="401">
        <v>0</v>
      </c>
      <c r="BT231" s="401">
        <v>0</v>
      </c>
      <c r="BU231" s="401">
        <v>0</v>
      </c>
      <c r="BV231" s="401">
        <v>0</v>
      </c>
      <c r="BW231" s="401">
        <v>0</v>
      </c>
      <c r="BX231" s="401">
        <v>0</v>
      </c>
      <c r="BY231" s="401">
        <v>0</v>
      </c>
      <c r="BZ231" s="401">
        <v>0</v>
      </c>
      <c r="CA231" s="401">
        <v>0</v>
      </c>
      <c r="CB231" s="401">
        <v>0</v>
      </c>
    </row>
    <row r="232" spans="1:80" s="401" customFormat="1" x14ac:dyDescent="0.3">
      <c r="A232" s="1014">
        <v>582</v>
      </c>
      <c r="B232" s="1014"/>
      <c r="C232" s="1031"/>
      <c r="D232" s="1035"/>
      <c r="E232" s="1020"/>
      <c r="F232" s="1021"/>
      <c r="G232" s="1021"/>
    </row>
    <row r="233" spans="1:80" s="401" customFormat="1" x14ac:dyDescent="0.3">
      <c r="A233" s="1014">
        <v>583</v>
      </c>
      <c r="B233" s="1014"/>
      <c r="C233" s="1031"/>
      <c r="D233" s="1035"/>
      <c r="E233" s="1020"/>
      <c r="F233" s="1021"/>
      <c r="G233" s="1021"/>
    </row>
    <row r="234" spans="1:80" s="401" customFormat="1" x14ac:dyDescent="0.3">
      <c r="A234" s="1014">
        <v>584</v>
      </c>
      <c r="B234" s="1014"/>
      <c r="C234" s="1031"/>
      <c r="D234" s="1035"/>
      <c r="E234" s="1020"/>
      <c r="F234" s="1021"/>
      <c r="G234" s="1021"/>
    </row>
    <row r="235" spans="1:80" s="401" customFormat="1" x14ac:dyDescent="0.3">
      <c r="A235" s="1014">
        <v>585</v>
      </c>
      <c r="B235" s="1014"/>
      <c r="C235" s="1031"/>
      <c r="D235" s="1035"/>
      <c r="E235" s="1020"/>
      <c r="F235" s="1021"/>
      <c r="G235" s="1021"/>
    </row>
    <row r="236" spans="1:80" s="401" customFormat="1" x14ac:dyDescent="0.3">
      <c r="A236" s="1014">
        <v>586</v>
      </c>
      <c r="B236" s="1014"/>
      <c r="C236" s="1031"/>
      <c r="D236" s="1035"/>
      <c r="E236" s="1020"/>
      <c r="F236" s="1021"/>
      <c r="G236" s="1021"/>
      <c r="BC236" s="401">
        <v>0</v>
      </c>
      <c r="BD236" s="401">
        <v>0</v>
      </c>
      <c r="BE236" s="401">
        <v>0</v>
      </c>
      <c r="BF236" s="401">
        <v>0</v>
      </c>
      <c r="BG236" s="401">
        <v>0</v>
      </c>
      <c r="BH236" s="401">
        <v>0</v>
      </c>
      <c r="BI236" s="401">
        <v>0</v>
      </c>
      <c r="BJ236" s="401">
        <v>0</v>
      </c>
      <c r="BK236" s="401">
        <v>0</v>
      </c>
      <c r="BL236" s="401">
        <v>0</v>
      </c>
      <c r="BM236" s="401">
        <v>0</v>
      </c>
      <c r="BN236" s="401">
        <v>0</v>
      </c>
      <c r="BO236" s="401">
        <v>0</v>
      </c>
      <c r="BP236" s="401">
        <v>0</v>
      </c>
      <c r="BQ236" s="401">
        <v>0</v>
      </c>
      <c r="BR236" s="401">
        <v>0</v>
      </c>
      <c r="BS236" s="401">
        <v>0</v>
      </c>
      <c r="BT236" s="401">
        <v>0</v>
      </c>
      <c r="BU236" s="401">
        <v>0</v>
      </c>
      <c r="BV236" s="401">
        <v>0</v>
      </c>
      <c r="BW236" s="401">
        <v>0</v>
      </c>
      <c r="BX236" s="401">
        <v>0</v>
      </c>
      <c r="BY236" s="401">
        <v>0</v>
      </c>
      <c r="BZ236" s="401">
        <v>0</v>
      </c>
      <c r="CA236" s="401">
        <v>0</v>
      </c>
      <c r="CB236" s="401">
        <v>0</v>
      </c>
    </row>
    <row r="237" spans="1:80" s="401" customFormat="1" x14ac:dyDescent="0.3">
      <c r="A237" s="1014">
        <v>587</v>
      </c>
      <c r="B237" s="1014"/>
      <c r="C237" s="1031"/>
      <c r="D237" s="1035"/>
      <c r="E237" s="1020"/>
      <c r="F237" s="1021"/>
      <c r="G237" s="1021"/>
    </row>
    <row r="238" spans="1:80" s="401" customFormat="1" x14ac:dyDescent="0.3">
      <c r="A238" s="1014">
        <v>588</v>
      </c>
      <c r="B238" s="1014"/>
      <c r="C238" s="1031"/>
      <c r="D238" s="1035"/>
      <c r="E238" s="1020"/>
      <c r="F238" s="1021"/>
      <c r="G238" s="1021"/>
    </row>
    <row r="239" spans="1:80" s="401" customFormat="1" x14ac:dyDescent="0.3">
      <c r="A239" s="1014">
        <v>589</v>
      </c>
      <c r="B239" s="1014"/>
      <c r="C239" s="1031"/>
      <c r="D239" s="1035"/>
      <c r="E239" s="1020"/>
      <c r="F239" s="1021"/>
      <c r="G239" s="1021"/>
    </row>
    <row r="240" spans="1:80" s="401" customFormat="1" x14ac:dyDescent="0.3">
      <c r="A240" s="1014">
        <v>590</v>
      </c>
      <c r="B240" s="1014"/>
      <c r="C240" s="1031"/>
      <c r="D240" s="1035"/>
      <c r="E240" s="1020"/>
      <c r="F240" s="1021"/>
      <c r="G240" s="1021"/>
    </row>
    <row r="241" spans="1:80" s="401" customFormat="1" x14ac:dyDescent="0.3">
      <c r="A241" s="1014">
        <v>992</v>
      </c>
      <c r="B241" s="1014"/>
      <c r="C241" s="1031"/>
      <c r="D241" s="1035"/>
      <c r="E241" s="1020"/>
      <c r="F241" s="1021"/>
      <c r="G241" s="1021"/>
    </row>
    <row r="242" spans="1:80" s="404" customFormat="1" x14ac:dyDescent="0.3">
      <c r="A242" s="1014">
        <v>993</v>
      </c>
      <c r="B242" s="1014"/>
      <c r="C242" s="1018">
        <v>993</v>
      </c>
      <c r="D242" s="1019" t="s">
        <v>511</v>
      </c>
      <c r="E242" s="1038">
        <v>0</v>
      </c>
      <c r="F242" s="1039">
        <v>0</v>
      </c>
      <c r="G242" s="1039">
        <v>0</v>
      </c>
    </row>
    <row r="243" spans="1:80" s="404" customFormat="1" x14ac:dyDescent="0.3">
      <c r="A243" s="1014">
        <v>994</v>
      </c>
      <c r="B243" s="1014"/>
      <c r="C243" s="1018">
        <v>994</v>
      </c>
      <c r="D243" s="1019" t="s">
        <v>513</v>
      </c>
      <c r="E243" s="1038">
        <v>0</v>
      </c>
      <c r="F243" s="1039">
        <v>0</v>
      </c>
      <c r="G243" s="1039">
        <v>0</v>
      </c>
    </row>
    <row r="244" spans="1:80" s="404" customFormat="1" x14ac:dyDescent="0.3">
      <c r="A244" s="1014">
        <v>995</v>
      </c>
      <c r="B244" s="1014"/>
      <c r="C244" s="1026">
        <v>995</v>
      </c>
      <c r="D244" s="1027" t="s">
        <v>515</v>
      </c>
      <c r="E244" s="1040">
        <v>0.09</v>
      </c>
      <c r="F244" s="1041">
        <v>0</v>
      </c>
      <c r="G244" s="1041">
        <v>0</v>
      </c>
      <c r="BC244" s="404">
        <v>0</v>
      </c>
      <c r="BD244" s="404">
        <v>0.09</v>
      </c>
      <c r="BE244" s="404">
        <v>0</v>
      </c>
      <c r="BF244" s="404">
        <v>0.08</v>
      </c>
      <c r="BG244" s="404">
        <v>0.09</v>
      </c>
      <c r="BH244" s="404">
        <v>0</v>
      </c>
      <c r="BI244" s="404">
        <v>0</v>
      </c>
      <c r="BJ244" s="404">
        <v>0</v>
      </c>
      <c r="BK244" s="404">
        <v>0</v>
      </c>
      <c r="BL244" s="404">
        <v>7.0000000000000007E-2</v>
      </c>
      <c r="BM244" s="404">
        <v>0</v>
      </c>
      <c r="BN244" s="404">
        <v>0</v>
      </c>
      <c r="BO244" s="404">
        <v>0</v>
      </c>
      <c r="BP244" s="404">
        <v>0</v>
      </c>
      <c r="BQ244" s="404">
        <v>0</v>
      </c>
      <c r="BR244" s="404">
        <v>0</v>
      </c>
      <c r="BS244" s="404">
        <v>0</v>
      </c>
      <c r="BT244" s="404">
        <v>0</v>
      </c>
      <c r="BU244" s="404">
        <v>0</v>
      </c>
      <c r="BV244" s="404">
        <v>0</v>
      </c>
      <c r="BW244" s="404">
        <v>0</v>
      </c>
      <c r="BX244" s="404">
        <v>0</v>
      </c>
      <c r="BY244" s="404">
        <v>0</v>
      </c>
      <c r="BZ244" s="404">
        <v>0</v>
      </c>
      <c r="CA244" s="404">
        <v>0</v>
      </c>
      <c r="CB244" s="404">
        <v>0</v>
      </c>
    </row>
    <row r="245" spans="1:80" s="404" customFormat="1" x14ac:dyDescent="0.3">
      <c r="A245" s="1014">
        <v>996</v>
      </c>
      <c r="B245" s="1014"/>
      <c r="C245" s="1026">
        <v>996</v>
      </c>
      <c r="D245" s="1027" t="s">
        <v>517</v>
      </c>
      <c r="E245" s="1040">
        <v>0</v>
      </c>
      <c r="F245" s="1041">
        <v>0</v>
      </c>
      <c r="G245" s="1041">
        <v>0</v>
      </c>
      <c r="BC245" s="404">
        <v>0.01</v>
      </c>
      <c r="BD245" s="404">
        <v>0.01</v>
      </c>
      <c r="BE245" s="404">
        <v>0</v>
      </c>
      <c r="BF245" s="404">
        <v>0.01</v>
      </c>
      <c r="BG245" s="404">
        <v>0.01</v>
      </c>
      <c r="BH245" s="404">
        <v>0</v>
      </c>
      <c r="BI245" s="404">
        <v>0.01</v>
      </c>
      <c r="BJ245" s="404">
        <v>0.01</v>
      </c>
      <c r="BK245" s="404">
        <v>0.01</v>
      </c>
      <c r="BL245" s="404">
        <v>0.01</v>
      </c>
      <c r="BM245" s="404">
        <v>0.01</v>
      </c>
      <c r="BN245" s="404">
        <v>0</v>
      </c>
      <c r="BO245" s="404">
        <v>0.01</v>
      </c>
      <c r="BP245" s="404">
        <v>0.01</v>
      </c>
      <c r="BQ245" s="404">
        <v>0.01</v>
      </c>
      <c r="BR245" s="404">
        <v>0.01</v>
      </c>
      <c r="BS245" s="404">
        <v>0</v>
      </c>
      <c r="BT245" s="404">
        <v>0</v>
      </c>
      <c r="BU245" s="404">
        <v>0.01</v>
      </c>
      <c r="BV245" s="404">
        <v>0.01</v>
      </c>
      <c r="BW245" s="404">
        <v>0.01</v>
      </c>
      <c r="BX245" s="404">
        <v>0.01</v>
      </c>
      <c r="BY245" s="404">
        <v>0</v>
      </c>
      <c r="BZ245" s="404">
        <v>0</v>
      </c>
      <c r="CA245" s="404">
        <v>0.01</v>
      </c>
      <c r="CB245" s="404">
        <v>0</v>
      </c>
    </row>
    <row r="246" spans="1:80" s="401" customFormat="1" x14ac:dyDescent="0.3">
      <c r="A246" s="1014">
        <v>997</v>
      </c>
      <c r="B246" s="1014"/>
      <c r="C246" s="1026"/>
      <c r="D246" s="1027"/>
      <c r="E246" s="1040"/>
      <c r="F246" s="1041"/>
      <c r="G246" s="1041"/>
    </row>
    <row r="247" spans="1:80" s="401" customFormat="1" x14ac:dyDescent="0.3">
      <c r="A247" s="1014">
        <v>998</v>
      </c>
      <c r="B247" s="1014"/>
      <c r="C247" s="1026">
        <v>998</v>
      </c>
      <c r="D247" s="1027" t="s">
        <v>288</v>
      </c>
      <c r="E247" s="1040">
        <v>60</v>
      </c>
      <c r="F247" s="1041">
        <v>60</v>
      </c>
      <c r="G247" s="1041">
        <v>60</v>
      </c>
      <c r="BC247" s="401">
        <v>50</v>
      </c>
      <c r="BD247" s="401">
        <v>0</v>
      </c>
      <c r="BE247" s="401">
        <v>50</v>
      </c>
      <c r="BF247" s="401">
        <v>50</v>
      </c>
      <c r="BG247" s="401">
        <v>0</v>
      </c>
      <c r="BH247" s="401">
        <v>50</v>
      </c>
      <c r="BI247" s="401">
        <v>50</v>
      </c>
      <c r="BJ247" s="401">
        <v>50</v>
      </c>
      <c r="BK247" s="401">
        <v>0</v>
      </c>
      <c r="BL247" s="401">
        <v>50</v>
      </c>
      <c r="BM247" s="401">
        <v>50</v>
      </c>
      <c r="BN247" s="401">
        <v>50</v>
      </c>
      <c r="BO247" s="401">
        <v>50</v>
      </c>
      <c r="BP247" s="401">
        <v>50</v>
      </c>
      <c r="BQ247" s="401">
        <v>50</v>
      </c>
      <c r="BR247" s="401">
        <v>50</v>
      </c>
      <c r="BS247" s="401">
        <v>50</v>
      </c>
      <c r="BT247" s="401">
        <v>50</v>
      </c>
      <c r="BU247" s="401">
        <v>0</v>
      </c>
      <c r="BV247" s="401">
        <v>50</v>
      </c>
      <c r="BW247" s="401">
        <v>50</v>
      </c>
      <c r="BX247" s="401">
        <v>50</v>
      </c>
      <c r="BY247" s="401">
        <v>50</v>
      </c>
      <c r="BZ247" s="401">
        <v>50</v>
      </c>
      <c r="CA247" s="401">
        <v>50</v>
      </c>
      <c r="CB247" s="401">
        <v>50</v>
      </c>
    </row>
    <row r="248" spans="1:80" s="401" customFormat="1" x14ac:dyDescent="0.3">
      <c r="A248" s="1014">
        <v>999</v>
      </c>
      <c r="B248" s="1014"/>
      <c r="C248" s="1030">
        <v>999</v>
      </c>
      <c r="D248" s="1027" t="s">
        <v>289</v>
      </c>
      <c r="E248" s="1042">
        <v>601754</v>
      </c>
      <c r="F248" s="1043">
        <v>601758</v>
      </c>
      <c r="G248" s="1043">
        <v>601758</v>
      </c>
      <c r="BC248" s="401">
        <v>50232</v>
      </c>
      <c r="BD248" s="401">
        <v>0</v>
      </c>
      <c r="BE248" s="401">
        <v>50234</v>
      </c>
      <c r="BF248" s="401">
        <v>50235</v>
      </c>
      <c r="BG248" s="401">
        <v>0</v>
      </c>
      <c r="BH248" s="401">
        <v>50237</v>
      </c>
      <c r="BI248" s="401">
        <v>50238</v>
      </c>
      <c r="BJ248" s="401">
        <v>50444</v>
      </c>
      <c r="BK248" s="401">
        <v>0</v>
      </c>
      <c r="BL248" s="401">
        <v>50240</v>
      </c>
      <c r="BM248" s="401">
        <v>50241</v>
      </c>
      <c r="BN248" s="401">
        <v>50521</v>
      </c>
      <c r="BO248" s="401">
        <v>50242</v>
      </c>
      <c r="BP248" s="401">
        <v>50244</v>
      </c>
      <c r="BQ248" s="401">
        <v>50243</v>
      </c>
      <c r="BR248" s="401">
        <v>50245</v>
      </c>
      <c r="BS248" s="401">
        <v>50522</v>
      </c>
      <c r="BT248" s="401">
        <v>50246</v>
      </c>
      <c r="BU248" s="401">
        <v>0</v>
      </c>
      <c r="BV248" s="401">
        <v>50248</v>
      </c>
      <c r="BW248" s="401">
        <v>50249</v>
      </c>
      <c r="BX248" s="401">
        <v>50250</v>
      </c>
      <c r="BY248" s="401">
        <v>50251</v>
      </c>
      <c r="BZ248" s="401">
        <v>50252</v>
      </c>
      <c r="CA248" s="401">
        <v>50253</v>
      </c>
      <c r="CB248" s="401">
        <v>50454</v>
      </c>
    </row>
    <row r="249" spans="1:80" x14ac:dyDescent="0.3">
      <c r="A249" s="1014">
        <v>1000</v>
      </c>
      <c r="B249" s="1010"/>
      <c r="C249" s="1010"/>
      <c r="D249" s="1010"/>
      <c r="E249" s="1010"/>
      <c r="F249" s="1010"/>
      <c r="G249" s="1010"/>
      <c r="BC249" s="99" t="s">
        <v>800</v>
      </c>
      <c r="BD249" s="99" t="s">
        <v>800</v>
      </c>
      <c r="BE249" s="99" t="s">
        <v>31</v>
      </c>
      <c r="BF249" s="99" t="s">
        <v>800</v>
      </c>
      <c r="BG249" s="99" t="s">
        <v>800</v>
      </c>
      <c r="BH249" s="99" t="s">
        <v>31</v>
      </c>
      <c r="BI249" s="99" t="s">
        <v>800</v>
      </c>
      <c r="BJ249" s="99" t="s">
        <v>800</v>
      </c>
      <c r="BK249" s="99" t="s">
        <v>800</v>
      </c>
      <c r="BL249" s="99" t="s">
        <v>800</v>
      </c>
      <c r="BM249" s="99" t="s">
        <v>800</v>
      </c>
      <c r="BN249" s="99" t="s">
        <v>31</v>
      </c>
      <c r="BO249" s="99" t="s">
        <v>800</v>
      </c>
      <c r="BP249" s="99" t="s">
        <v>800</v>
      </c>
      <c r="BQ249" s="99" t="s">
        <v>800</v>
      </c>
      <c r="BR249" s="99" t="s">
        <v>800</v>
      </c>
      <c r="BS249" s="99" t="s">
        <v>31</v>
      </c>
      <c r="BT249" s="99" t="s">
        <v>31</v>
      </c>
      <c r="BU249" s="99" t="s">
        <v>800</v>
      </c>
      <c r="BV249" s="99" t="s">
        <v>800</v>
      </c>
      <c r="BW249" s="99" t="s">
        <v>800</v>
      </c>
      <c r="BX249" s="99" t="s">
        <v>800</v>
      </c>
      <c r="BY249" s="99" t="s">
        <v>31</v>
      </c>
      <c r="BZ249" s="99" t="s">
        <v>31</v>
      </c>
      <c r="CA249" s="99" t="s">
        <v>800</v>
      </c>
      <c r="CB249" s="99" t="s">
        <v>31</v>
      </c>
    </row>
    <row r="250" spans="1:80" x14ac:dyDescent="0.3">
      <c r="A250" s="1014">
        <v>537</v>
      </c>
      <c r="B250" s="1010"/>
      <c r="C250" s="1010"/>
      <c r="D250" s="1010"/>
      <c r="E250" s="1010"/>
      <c r="F250" s="1010"/>
      <c r="G250" s="1010"/>
      <c r="BC250" s="99" t="s">
        <v>51</v>
      </c>
      <c r="BD250" s="99" t="s">
        <v>642</v>
      </c>
      <c r="BE250" s="99" t="s">
        <v>52</v>
      </c>
      <c r="BF250" s="99" t="s">
        <v>51</v>
      </c>
      <c r="BG250" s="99" t="s">
        <v>642</v>
      </c>
      <c r="BH250" s="99" t="s">
        <v>52</v>
      </c>
      <c r="BI250" s="99" t="s">
        <v>52</v>
      </c>
      <c r="BJ250" s="99" t="s">
        <v>52</v>
      </c>
      <c r="BK250" s="99" t="s">
        <v>642</v>
      </c>
      <c r="BL250" s="99" t="s">
        <v>51</v>
      </c>
      <c r="BM250" s="99" t="s">
        <v>52</v>
      </c>
      <c r="BN250" s="99" t="s">
        <v>52</v>
      </c>
      <c r="BO250" s="99" t="s">
        <v>51</v>
      </c>
      <c r="BP250" s="99" t="s">
        <v>51</v>
      </c>
      <c r="BQ250" s="99" t="s">
        <v>51</v>
      </c>
      <c r="BR250" s="99" t="s">
        <v>52</v>
      </c>
      <c r="BS250" s="99" t="s">
        <v>52</v>
      </c>
      <c r="BT250" s="99" t="s">
        <v>52</v>
      </c>
      <c r="BU250" s="99" t="s">
        <v>52</v>
      </c>
      <c r="BV250" s="99" t="s">
        <v>51</v>
      </c>
      <c r="BW250" s="99" t="s">
        <v>52</v>
      </c>
      <c r="BX250" s="99" t="s">
        <v>52</v>
      </c>
      <c r="BY250" s="99" t="s">
        <v>52</v>
      </c>
      <c r="BZ250" s="99" t="s">
        <v>52</v>
      </c>
      <c r="CA250" s="99" t="s">
        <v>52</v>
      </c>
      <c r="CB250" s="99" t="s">
        <v>52</v>
      </c>
    </row>
    <row r="251" spans="1:80" x14ac:dyDescent="0.3">
      <c r="A251" s="1014">
        <v>538</v>
      </c>
      <c r="B251" s="1010"/>
      <c r="C251" s="1010"/>
      <c r="D251" s="1010"/>
      <c r="E251" s="1010"/>
      <c r="F251" s="1010"/>
      <c r="G251" s="1010"/>
      <c r="BC251" s="99" t="s">
        <v>51</v>
      </c>
      <c r="BD251" s="99" t="s">
        <v>642</v>
      </c>
      <c r="BE251" s="99" t="s">
        <v>52</v>
      </c>
      <c r="BF251" s="99" t="s">
        <v>52</v>
      </c>
      <c r="BG251" s="99" t="s">
        <v>642</v>
      </c>
      <c r="BH251" s="99" t="s">
        <v>52</v>
      </c>
      <c r="BI251" s="99" t="s">
        <v>52</v>
      </c>
      <c r="BJ251" s="99" t="s">
        <v>52</v>
      </c>
      <c r="BK251" s="99" t="s">
        <v>642</v>
      </c>
      <c r="BL251" s="99" t="s">
        <v>52</v>
      </c>
      <c r="BM251" s="99" t="s">
        <v>52</v>
      </c>
      <c r="BN251" s="99" t="s">
        <v>52</v>
      </c>
      <c r="BO251" s="99" t="s">
        <v>51</v>
      </c>
      <c r="BP251" s="99" t="s">
        <v>51</v>
      </c>
      <c r="BQ251" s="99" t="s">
        <v>51</v>
      </c>
      <c r="BR251" s="99" t="s">
        <v>52</v>
      </c>
      <c r="BS251" s="99" t="s">
        <v>52</v>
      </c>
      <c r="BT251" s="99" t="s">
        <v>52</v>
      </c>
      <c r="BU251" s="99" t="s">
        <v>52</v>
      </c>
      <c r="BV251" s="99" t="s">
        <v>51</v>
      </c>
      <c r="BW251" s="99" t="s">
        <v>52</v>
      </c>
      <c r="BX251" s="99" t="s">
        <v>52</v>
      </c>
      <c r="BY251" s="99" t="s">
        <v>52</v>
      </c>
      <c r="BZ251" s="99" t="s">
        <v>52</v>
      </c>
      <c r="CA251" s="99" t="s">
        <v>52</v>
      </c>
      <c r="CB251" s="99" t="s">
        <v>52</v>
      </c>
    </row>
    <row r="252" spans="1:80" s="401" customFormat="1" x14ac:dyDescent="0.3">
      <c r="A252" s="1014">
        <v>591</v>
      </c>
      <c r="B252" s="1014">
        <v>591</v>
      </c>
      <c r="C252" s="1010">
        <v>591</v>
      </c>
      <c r="D252" s="1032" t="s">
        <v>573</v>
      </c>
      <c r="E252" s="1020">
        <v>23844450</v>
      </c>
      <c r="F252" s="1021">
        <v>510858000</v>
      </c>
      <c r="G252" s="1021">
        <v>510778000</v>
      </c>
      <c r="BC252" s="401">
        <v>1313775</v>
      </c>
      <c r="BD252" s="401">
        <v>0</v>
      </c>
      <c r="BE252" s="401">
        <v>0</v>
      </c>
      <c r="BF252" s="401">
        <v>42333670</v>
      </c>
      <c r="BG252" s="401">
        <v>0</v>
      </c>
      <c r="BH252" s="401">
        <v>0</v>
      </c>
      <c r="BI252" s="401">
        <v>1435080</v>
      </c>
      <c r="BJ252" s="401">
        <v>893146</v>
      </c>
      <c r="BK252" s="401">
        <v>0</v>
      </c>
      <c r="BL252" s="401">
        <v>9491340</v>
      </c>
      <c r="BM252" s="401">
        <v>1817940</v>
      </c>
      <c r="BN252" s="401">
        <v>0</v>
      </c>
      <c r="BO252" s="401">
        <v>3978631</v>
      </c>
      <c r="BP252" s="401">
        <v>971216</v>
      </c>
      <c r="BQ252" s="401">
        <v>840373</v>
      </c>
      <c r="BR252" s="401">
        <v>1326355</v>
      </c>
      <c r="BS252" s="401">
        <v>0</v>
      </c>
      <c r="BT252" s="401">
        <v>0</v>
      </c>
      <c r="BU252" s="401">
        <v>975277</v>
      </c>
      <c r="BV252" s="401">
        <v>2655874</v>
      </c>
      <c r="BW252" s="401">
        <v>590683</v>
      </c>
      <c r="BX252" s="401">
        <v>1359151</v>
      </c>
      <c r="BY252" s="401">
        <v>0</v>
      </c>
      <c r="BZ252" s="401">
        <v>0</v>
      </c>
      <c r="CA252" s="401">
        <v>7298336</v>
      </c>
      <c r="CB252" s="401">
        <v>0</v>
      </c>
    </row>
    <row r="253" spans="1:80" s="401" customFormat="1" x14ac:dyDescent="0.3">
      <c r="A253" s="1014">
        <v>592</v>
      </c>
      <c r="B253" s="1014">
        <v>592</v>
      </c>
      <c r="C253" s="1010">
        <v>592</v>
      </c>
      <c r="D253" s="1044" t="s">
        <v>574</v>
      </c>
      <c r="E253" s="1020">
        <v>686805</v>
      </c>
      <c r="F253" s="1021">
        <v>-5077000</v>
      </c>
      <c r="G253" s="1021">
        <v>-58245000</v>
      </c>
      <c r="BC253" s="401">
        <v>3398</v>
      </c>
      <c r="BD253" s="401">
        <v>0</v>
      </c>
      <c r="BE253" s="401">
        <v>0</v>
      </c>
      <c r="BF253" s="401">
        <v>2151881</v>
      </c>
      <c r="BG253" s="401">
        <v>0</v>
      </c>
      <c r="BH253" s="401">
        <v>0</v>
      </c>
      <c r="BI253" s="401">
        <v>217225</v>
      </c>
      <c r="BJ253" s="401">
        <v>131142</v>
      </c>
      <c r="BK253" s="401">
        <v>0</v>
      </c>
      <c r="BL253" s="401">
        <v>927449</v>
      </c>
      <c r="BM253" s="401">
        <v>223201</v>
      </c>
      <c r="BN253" s="401">
        <v>0</v>
      </c>
      <c r="BO253" s="401">
        <v>-364243</v>
      </c>
      <c r="BP253" s="401">
        <v>247720</v>
      </c>
      <c r="BQ253" s="401">
        <v>-136759</v>
      </c>
      <c r="BR253" s="401">
        <v>-1475913</v>
      </c>
      <c r="BS253" s="401">
        <v>0</v>
      </c>
      <c r="BT253" s="401">
        <v>0</v>
      </c>
      <c r="BU253" s="401">
        <v>-164984</v>
      </c>
      <c r="BV253" s="401">
        <v>-21398</v>
      </c>
      <c r="BW253" s="401">
        <v>866377</v>
      </c>
      <c r="BX253" s="401">
        <v>-856853</v>
      </c>
      <c r="BY253" s="401">
        <v>0</v>
      </c>
      <c r="BZ253" s="401">
        <v>0</v>
      </c>
      <c r="CA253" s="401">
        <v>5854413</v>
      </c>
      <c r="CB253" s="401">
        <v>0</v>
      </c>
    </row>
    <row r="254" spans="1:80" s="401" customFormat="1" x14ac:dyDescent="0.3">
      <c r="A254" s="1014">
        <v>595</v>
      </c>
      <c r="B254" s="1014">
        <v>995</v>
      </c>
      <c r="C254" s="1010">
        <v>595</v>
      </c>
      <c r="D254" s="1010" t="s">
        <v>1662</v>
      </c>
      <c r="E254" s="1010"/>
      <c r="F254" s="1010"/>
      <c r="G254" s="1010"/>
    </row>
    <row r="255" spans="1:80" s="401" customFormat="1" x14ac:dyDescent="0.3">
      <c r="A255" s="1014">
        <v>596</v>
      </c>
      <c r="B255" s="1014">
        <v>996</v>
      </c>
      <c r="C255" s="1010"/>
      <c r="D255" s="1010"/>
      <c r="E255" s="1020"/>
      <c r="F255" s="1021"/>
      <c r="G255" s="1021"/>
      <c r="BC255" s="401">
        <v>52</v>
      </c>
      <c r="BD255" s="401">
        <v>0</v>
      </c>
      <c r="BE255" s="401">
        <v>52</v>
      </c>
      <c r="BF255" s="401">
        <v>52</v>
      </c>
      <c r="BG255" s="401">
        <v>0</v>
      </c>
      <c r="BH255" s="401">
        <v>52</v>
      </c>
      <c r="BI255" s="401">
        <v>52</v>
      </c>
      <c r="BJ255" s="401">
        <v>52</v>
      </c>
      <c r="BK255" s="401">
        <v>0</v>
      </c>
      <c r="BL255" s="401">
        <v>52</v>
      </c>
      <c r="BM255" s="401">
        <v>52</v>
      </c>
      <c r="BN255" s="401">
        <v>52</v>
      </c>
      <c r="BO255" s="401">
        <v>52</v>
      </c>
      <c r="BP255" s="401">
        <v>52</v>
      </c>
      <c r="BQ255" s="401">
        <v>52</v>
      </c>
      <c r="BR255" s="401">
        <v>52</v>
      </c>
      <c r="BS255" s="401">
        <v>52</v>
      </c>
      <c r="BT255" s="401">
        <v>52</v>
      </c>
      <c r="BU255" s="401">
        <v>52</v>
      </c>
      <c r="BV255" s="401">
        <v>52</v>
      </c>
      <c r="BW255" s="401">
        <v>52</v>
      </c>
      <c r="BX255" s="401">
        <v>52</v>
      </c>
      <c r="BY255" s="401">
        <v>52</v>
      </c>
      <c r="BZ255" s="401">
        <v>0</v>
      </c>
      <c r="CA255" s="401">
        <v>52</v>
      </c>
      <c r="CB255" s="401">
        <v>52</v>
      </c>
    </row>
    <row r="256" spans="1:80" s="401" customFormat="1" x14ac:dyDescent="0.3">
      <c r="A256" s="1014">
        <v>597</v>
      </c>
      <c r="B256" s="1010"/>
      <c r="C256" s="1010"/>
      <c r="D256" s="1010"/>
      <c r="E256" s="1020"/>
      <c r="F256" s="1021"/>
      <c r="G256" s="1021"/>
      <c r="BC256" s="401">
        <v>15938</v>
      </c>
      <c r="BD256" s="401">
        <v>0</v>
      </c>
      <c r="BE256" s="401">
        <v>4899</v>
      </c>
      <c r="BF256" s="401">
        <v>144092</v>
      </c>
      <c r="BG256" s="401">
        <v>0</v>
      </c>
      <c r="BH256" s="401">
        <v>465</v>
      </c>
      <c r="BI256" s="401">
        <v>35397</v>
      </c>
      <c r="BJ256" s="401">
        <v>82734</v>
      </c>
      <c r="BK256" s="401">
        <v>0</v>
      </c>
      <c r="BL256" s="401">
        <v>0</v>
      </c>
      <c r="BM256" s="401">
        <v>127606</v>
      </c>
      <c r="BN256" s="401">
        <v>1105</v>
      </c>
      <c r="BO256" s="401">
        <v>24388</v>
      </c>
      <c r="BP256" s="401">
        <v>80237</v>
      </c>
      <c r="BQ256" s="401">
        <v>5176</v>
      </c>
      <c r="BR256" s="401">
        <v>23757</v>
      </c>
      <c r="BS256" s="401">
        <v>11060</v>
      </c>
      <c r="BT256" s="401">
        <v>234247</v>
      </c>
      <c r="BU256" s="401">
        <v>0</v>
      </c>
      <c r="BV256" s="401">
        <v>59179</v>
      </c>
      <c r="BW256" s="401">
        <v>0</v>
      </c>
      <c r="BX256" s="401">
        <v>13202</v>
      </c>
      <c r="BY256" s="401">
        <v>1730</v>
      </c>
      <c r="BZ256" s="401">
        <v>1418</v>
      </c>
      <c r="CA256" s="401">
        <v>242315</v>
      </c>
      <c r="CB256" s="401">
        <v>506</v>
      </c>
    </row>
    <row r="257" spans="1:80" s="401" customFormat="1" x14ac:dyDescent="0.3">
      <c r="A257" s="1010"/>
      <c r="B257" s="1010"/>
      <c r="C257" s="1010"/>
      <c r="D257" s="1010"/>
      <c r="E257" s="1020"/>
      <c r="F257" s="1021"/>
      <c r="G257" s="1021"/>
    </row>
    <row r="258" spans="1:80" s="401" customFormat="1" x14ac:dyDescent="0.3">
      <c r="A258" s="1014">
        <v>598</v>
      </c>
      <c r="B258" s="1014">
        <v>998</v>
      </c>
      <c r="C258" s="1010"/>
      <c r="D258" s="1010"/>
      <c r="E258" s="1020"/>
      <c r="F258" s="1021"/>
      <c r="G258" s="1021"/>
      <c r="BC258" s="401">
        <v>22644</v>
      </c>
      <c r="BD258" s="401">
        <v>0</v>
      </c>
      <c r="BE258" s="401">
        <v>0</v>
      </c>
      <c r="BF258" s="401">
        <v>222811</v>
      </c>
      <c r="BG258" s="401">
        <v>0</v>
      </c>
      <c r="BH258" s="401">
        <v>0</v>
      </c>
      <c r="BI258" s="401">
        <v>21458</v>
      </c>
      <c r="BJ258" s="401">
        <v>30429</v>
      </c>
      <c r="BK258" s="401">
        <v>0</v>
      </c>
      <c r="BL258" s="401">
        <v>9228</v>
      </c>
      <c r="BM258" s="401">
        <v>15779</v>
      </c>
      <c r="BN258" s="401">
        <v>0</v>
      </c>
      <c r="BO258" s="401">
        <v>53234</v>
      </c>
      <c r="BP258" s="401">
        <v>0</v>
      </c>
      <c r="BQ258" s="401">
        <v>0</v>
      </c>
      <c r="BR258" s="401">
        <v>0</v>
      </c>
      <c r="BS258" s="401">
        <v>0</v>
      </c>
      <c r="BT258" s="401">
        <v>97803</v>
      </c>
      <c r="BU258" s="401">
        <v>12379</v>
      </c>
      <c r="BV258" s="401">
        <v>13197</v>
      </c>
      <c r="BW258" s="401">
        <v>0</v>
      </c>
      <c r="BX258" s="401">
        <v>0</v>
      </c>
      <c r="BY258" s="401">
        <v>0</v>
      </c>
      <c r="BZ258" s="401">
        <v>0</v>
      </c>
      <c r="CA258" s="401">
        <v>0</v>
      </c>
      <c r="CB258" s="401">
        <v>0</v>
      </c>
    </row>
    <row r="259" spans="1:80" s="401" customFormat="1" x14ac:dyDescent="0.3">
      <c r="A259" s="1014">
        <v>599</v>
      </c>
      <c r="B259" s="1014">
        <v>999</v>
      </c>
      <c r="C259" s="1010"/>
      <c r="D259" s="1010"/>
      <c r="E259" s="1020"/>
      <c r="F259" s="1021"/>
      <c r="G259" s="1021"/>
      <c r="BC259" s="401">
        <v>215186</v>
      </c>
      <c r="BD259" s="401">
        <v>0</v>
      </c>
      <c r="BE259" s="401">
        <v>0</v>
      </c>
      <c r="BF259" s="401">
        <v>3320741</v>
      </c>
      <c r="BG259" s="401">
        <v>0</v>
      </c>
      <c r="BH259" s="401">
        <v>0</v>
      </c>
      <c r="BI259" s="401">
        <v>388699</v>
      </c>
      <c r="BJ259" s="401">
        <v>441720</v>
      </c>
      <c r="BK259" s="401">
        <v>0</v>
      </c>
      <c r="BL259" s="401">
        <v>402237</v>
      </c>
      <c r="BM259" s="401">
        <v>260077</v>
      </c>
      <c r="BN259" s="401">
        <v>0</v>
      </c>
      <c r="BO259" s="401">
        <v>728793</v>
      </c>
      <c r="BP259" s="401">
        <v>73272</v>
      </c>
      <c r="BQ259" s="401">
        <v>68824</v>
      </c>
      <c r="BR259" s="401">
        <v>247319</v>
      </c>
      <c r="BS259" s="401">
        <v>0</v>
      </c>
      <c r="BT259" s="401">
        <v>2473471</v>
      </c>
      <c r="BU259" s="401">
        <v>174958</v>
      </c>
      <c r="BV259" s="401">
        <v>449498</v>
      </c>
      <c r="BW259" s="401">
        <v>28522</v>
      </c>
      <c r="BX259" s="401">
        <v>0</v>
      </c>
      <c r="BY259" s="401">
        <v>0</v>
      </c>
      <c r="BZ259" s="401">
        <v>0</v>
      </c>
      <c r="CA259" s="401">
        <v>802190</v>
      </c>
      <c r="CB259" s="401">
        <v>0</v>
      </c>
    </row>
    <row r="260" spans="1:80" s="401" customFormat="1" ht="100.8" x14ac:dyDescent="0.3">
      <c r="A260" s="1014">
        <v>600</v>
      </c>
      <c r="B260" s="1014"/>
      <c r="C260" s="1045">
        <v>600</v>
      </c>
      <c r="D260" s="1046" t="s">
        <v>801</v>
      </c>
      <c r="E260" s="1028" t="s">
        <v>1682</v>
      </c>
      <c r="F260" s="1029" t="s">
        <v>1683</v>
      </c>
      <c r="G260" s="1029" t="s">
        <v>1684</v>
      </c>
    </row>
    <row r="261" spans="1:80" s="401" customFormat="1" ht="158.4" x14ac:dyDescent="0.3">
      <c r="A261" s="1014">
        <v>601</v>
      </c>
      <c r="B261" s="1014"/>
      <c r="C261" s="1047">
        <v>601</v>
      </c>
      <c r="D261" s="1048" t="s">
        <v>802</v>
      </c>
      <c r="E261" s="1020" t="s">
        <v>1682</v>
      </c>
      <c r="F261" s="1021" t="s">
        <v>1683</v>
      </c>
      <c r="G261" s="1021" t="s">
        <v>1684</v>
      </c>
    </row>
    <row r="262" spans="1:80" s="401" customFormat="1" x14ac:dyDescent="0.3">
      <c r="A262" s="1014">
        <v>602</v>
      </c>
      <c r="B262" s="1014"/>
      <c r="C262" s="1047"/>
      <c r="D262" s="1048"/>
      <c r="E262" s="1020"/>
      <c r="F262" s="1021"/>
      <c r="G262" s="1021"/>
      <c r="BC262" s="401">
        <v>0</v>
      </c>
      <c r="BD262" s="401">
        <v>0</v>
      </c>
      <c r="BE262" s="401">
        <v>0</v>
      </c>
      <c r="BF262" s="401">
        <v>0</v>
      </c>
      <c r="BG262" s="401">
        <v>0</v>
      </c>
      <c r="BH262" s="401">
        <v>0</v>
      </c>
      <c r="BI262" s="401">
        <v>0</v>
      </c>
      <c r="BJ262" s="401">
        <v>0</v>
      </c>
      <c r="BK262" s="401">
        <v>0</v>
      </c>
      <c r="BL262" s="401">
        <v>0</v>
      </c>
      <c r="BM262" s="401">
        <v>0</v>
      </c>
      <c r="BN262" s="401">
        <v>0</v>
      </c>
      <c r="BO262" s="401">
        <v>0</v>
      </c>
      <c r="BP262" s="401">
        <v>0</v>
      </c>
      <c r="BQ262" s="401">
        <v>0</v>
      </c>
      <c r="BR262" s="401">
        <v>0</v>
      </c>
      <c r="BS262" s="401">
        <v>0</v>
      </c>
      <c r="BT262" s="401">
        <v>0</v>
      </c>
      <c r="BU262" s="401">
        <v>0</v>
      </c>
      <c r="BV262" s="401">
        <v>0</v>
      </c>
      <c r="BW262" s="401">
        <v>0</v>
      </c>
      <c r="BX262" s="401">
        <v>0</v>
      </c>
      <c r="BY262" s="401">
        <v>0</v>
      </c>
      <c r="BZ262" s="401">
        <v>0</v>
      </c>
      <c r="CA262" s="401">
        <v>0</v>
      </c>
      <c r="CB262" s="401">
        <v>0</v>
      </c>
    </row>
    <row r="263" spans="1:80" s="401" customFormat="1" ht="158.4" x14ac:dyDescent="0.3">
      <c r="A263" s="1014">
        <v>603</v>
      </c>
      <c r="B263" s="1011" t="s">
        <v>1668</v>
      </c>
      <c r="C263" s="1010">
        <v>603</v>
      </c>
      <c r="D263" s="1049" t="s">
        <v>631</v>
      </c>
      <c r="E263" s="1028"/>
      <c r="F263" s="1029"/>
      <c r="G263" s="1029"/>
    </row>
    <row r="264" spans="1:80" s="401" customFormat="1" ht="115.2" x14ac:dyDescent="0.3">
      <c r="A264" s="1014">
        <v>604</v>
      </c>
      <c r="B264" s="1014"/>
      <c r="C264" s="1010">
        <v>604</v>
      </c>
      <c r="D264" s="1049" t="s">
        <v>632</v>
      </c>
      <c r="E264" s="1028" t="s">
        <v>1682</v>
      </c>
      <c r="F264" s="1029" t="s">
        <v>1683</v>
      </c>
      <c r="G264" s="1029" t="s">
        <v>1684</v>
      </c>
      <c r="BC264" s="401">
        <v>0</v>
      </c>
      <c r="BD264" s="401">
        <v>0</v>
      </c>
      <c r="BE264" s="401">
        <v>0</v>
      </c>
      <c r="BF264" s="401">
        <v>0</v>
      </c>
      <c r="BG264" s="401">
        <v>0</v>
      </c>
      <c r="BH264" s="401">
        <v>0</v>
      </c>
      <c r="BI264" s="401">
        <v>0</v>
      </c>
      <c r="BJ264" s="401">
        <v>0</v>
      </c>
      <c r="BK264" s="401">
        <v>0</v>
      </c>
      <c r="BL264" s="401">
        <v>0</v>
      </c>
      <c r="BM264" s="401">
        <v>0</v>
      </c>
      <c r="BN264" s="401">
        <v>0</v>
      </c>
      <c r="BO264" s="401">
        <v>0</v>
      </c>
      <c r="BP264" s="401">
        <v>0</v>
      </c>
      <c r="BQ264" s="401">
        <v>0</v>
      </c>
      <c r="BR264" s="401">
        <v>0</v>
      </c>
      <c r="BS264" s="401">
        <v>0</v>
      </c>
      <c r="BT264" s="401">
        <v>0</v>
      </c>
      <c r="BU264" s="401">
        <v>0</v>
      </c>
      <c r="BV264" s="401">
        <v>0</v>
      </c>
      <c r="BW264" s="401">
        <v>0</v>
      </c>
      <c r="BX264" s="401">
        <v>0</v>
      </c>
      <c r="BY264" s="401">
        <v>0</v>
      </c>
      <c r="BZ264" s="401">
        <v>0</v>
      </c>
      <c r="CA264" s="401">
        <v>0</v>
      </c>
      <c r="CB264" s="401">
        <v>0</v>
      </c>
    </row>
    <row r="265" spans="1:80" s="401" customFormat="1" ht="28.8" x14ac:dyDescent="0.3">
      <c r="A265" s="1014">
        <v>605</v>
      </c>
      <c r="B265" s="1014"/>
      <c r="C265" s="1010">
        <v>605</v>
      </c>
      <c r="D265" s="1049" t="s">
        <v>634</v>
      </c>
      <c r="E265" s="1028" t="s">
        <v>1682</v>
      </c>
      <c r="F265" s="1029" t="s">
        <v>1683</v>
      </c>
      <c r="G265" s="1029" t="s">
        <v>1684</v>
      </c>
      <c r="BC265" s="401">
        <v>0</v>
      </c>
      <c r="BD265" s="401">
        <v>0</v>
      </c>
      <c r="BE265" s="401">
        <v>0</v>
      </c>
      <c r="BF265" s="401">
        <v>0</v>
      </c>
      <c r="BG265" s="401">
        <v>0</v>
      </c>
      <c r="BH265" s="401">
        <v>0</v>
      </c>
      <c r="BI265" s="401">
        <v>0</v>
      </c>
      <c r="BJ265" s="401">
        <v>0</v>
      </c>
      <c r="BK265" s="401">
        <v>0</v>
      </c>
      <c r="BL265" s="401">
        <v>0</v>
      </c>
      <c r="BM265" s="401">
        <v>0</v>
      </c>
      <c r="BN265" s="401">
        <v>0</v>
      </c>
      <c r="BO265" s="401">
        <v>0</v>
      </c>
      <c r="BP265" s="401">
        <v>0</v>
      </c>
      <c r="BQ265" s="401">
        <v>0</v>
      </c>
      <c r="BR265" s="401">
        <v>0</v>
      </c>
      <c r="BS265" s="401">
        <v>0</v>
      </c>
      <c r="BT265" s="401">
        <v>0</v>
      </c>
      <c r="BU265" s="401">
        <v>0</v>
      </c>
      <c r="BV265" s="401">
        <v>0</v>
      </c>
      <c r="BW265" s="401">
        <v>0</v>
      </c>
      <c r="BX265" s="401">
        <v>0</v>
      </c>
      <c r="BY265" s="401">
        <v>0</v>
      </c>
      <c r="BZ265" s="401">
        <v>0</v>
      </c>
      <c r="CA265" s="401">
        <v>0</v>
      </c>
      <c r="CB265" s="401">
        <v>0</v>
      </c>
    </row>
    <row r="266" spans="1:80" s="401" customFormat="1" x14ac:dyDescent="0.3">
      <c r="A266" s="1014">
        <v>606</v>
      </c>
      <c r="B266" s="1014"/>
      <c r="C266" s="1010"/>
      <c r="D266" s="1049"/>
      <c r="E266" s="1028"/>
      <c r="F266" s="1029"/>
      <c r="G266" s="1029"/>
      <c r="BC266" s="401">
        <v>0</v>
      </c>
      <c r="BD266" s="401">
        <v>0</v>
      </c>
      <c r="BE266" s="401">
        <v>0</v>
      </c>
      <c r="BF266" s="401">
        <v>0</v>
      </c>
      <c r="BG266" s="401">
        <v>0</v>
      </c>
      <c r="BH266" s="401">
        <v>0</v>
      </c>
      <c r="BI266" s="401">
        <v>0</v>
      </c>
      <c r="BJ266" s="401">
        <v>0</v>
      </c>
      <c r="BK266" s="401">
        <v>0</v>
      </c>
      <c r="BL266" s="401">
        <v>0</v>
      </c>
      <c r="BM266" s="401">
        <v>0</v>
      </c>
      <c r="BN266" s="401">
        <v>0</v>
      </c>
      <c r="BO266" s="401">
        <v>1</v>
      </c>
      <c r="BP266" s="401">
        <v>0</v>
      </c>
      <c r="BQ266" s="401">
        <v>0</v>
      </c>
      <c r="BR266" s="401">
        <v>0</v>
      </c>
      <c r="BS266" s="401">
        <v>0</v>
      </c>
      <c r="BT266" s="401">
        <v>1</v>
      </c>
      <c r="BU266" s="401">
        <v>0</v>
      </c>
      <c r="BV266" s="401">
        <v>0</v>
      </c>
      <c r="BW266" s="401">
        <v>1</v>
      </c>
      <c r="BX266" s="401">
        <v>0</v>
      </c>
      <c r="BY266" s="401">
        <v>0</v>
      </c>
      <c r="BZ266" s="401">
        <v>0</v>
      </c>
      <c r="CA266" s="401">
        <v>1</v>
      </c>
      <c r="CB266" s="401">
        <v>0</v>
      </c>
    </row>
    <row r="267" spans="1:80" s="401" customFormat="1" x14ac:dyDescent="0.3">
      <c r="A267" s="1014">
        <v>607</v>
      </c>
      <c r="B267" s="1010"/>
      <c r="C267" s="1010">
        <v>607</v>
      </c>
      <c r="D267" s="1049" t="s">
        <v>624</v>
      </c>
      <c r="E267" s="1028" t="s">
        <v>1682</v>
      </c>
      <c r="F267" s="1029" t="s">
        <v>1683</v>
      </c>
      <c r="G267" s="1029" t="s">
        <v>1684</v>
      </c>
      <c r="BC267" s="401">
        <v>0</v>
      </c>
      <c r="BD267" s="401">
        <v>0</v>
      </c>
      <c r="BE267" s="401">
        <v>0</v>
      </c>
      <c r="BF267" s="401">
        <v>0</v>
      </c>
      <c r="BG267" s="401">
        <v>0</v>
      </c>
      <c r="BH267" s="401">
        <v>0</v>
      </c>
      <c r="BI267" s="401">
        <v>0</v>
      </c>
      <c r="BJ267" s="401">
        <v>0</v>
      </c>
      <c r="BK267" s="401">
        <v>0</v>
      </c>
      <c r="BL267" s="401">
        <v>0</v>
      </c>
      <c r="BM267" s="401">
        <v>0</v>
      </c>
      <c r="BN267" s="401">
        <v>0</v>
      </c>
      <c r="BO267" s="401">
        <v>0</v>
      </c>
      <c r="BP267" s="401">
        <v>0</v>
      </c>
      <c r="BQ267" s="401">
        <v>0</v>
      </c>
      <c r="BR267" s="401">
        <v>0</v>
      </c>
      <c r="BS267" s="401">
        <v>0</v>
      </c>
      <c r="BT267" s="401">
        <v>0</v>
      </c>
      <c r="BU267" s="401">
        <v>0</v>
      </c>
      <c r="BV267" s="401">
        <v>0</v>
      </c>
      <c r="BW267" s="401">
        <v>0</v>
      </c>
      <c r="BX267" s="401">
        <v>0</v>
      </c>
      <c r="BY267" s="401">
        <v>0</v>
      </c>
      <c r="BZ267" s="401">
        <v>0</v>
      </c>
      <c r="CA267" s="401">
        <v>0</v>
      </c>
      <c r="CB267" s="401">
        <v>0</v>
      </c>
    </row>
    <row r="268" spans="1:80" s="401" customFormat="1" x14ac:dyDescent="0.3">
      <c r="A268" s="1014">
        <v>608</v>
      </c>
      <c r="B268" s="1010"/>
      <c r="C268" s="1010">
        <v>608</v>
      </c>
      <c r="D268" s="1049" t="s">
        <v>625</v>
      </c>
      <c r="E268" s="1028" t="s">
        <v>1682</v>
      </c>
      <c r="F268" s="1029" t="s">
        <v>1683</v>
      </c>
      <c r="G268" s="1029" t="s">
        <v>1684</v>
      </c>
      <c r="BC268" s="401">
        <v>0</v>
      </c>
      <c r="BD268" s="401">
        <v>0</v>
      </c>
      <c r="BE268" s="401">
        <v>0</v>
      </c>
      <c r="BF268" s="401">
        <v>0</v>
      </c>
      <c r="BG268" s="401">
        <v>0</v>
      </c>
      <c r="BH268" s="401">
        <v>0</v>
      </c>
      <c r="BI268" s="401">
        <v>0</v>
      </c>
      <c r="BJ268" s="401">
        <v>0</v>
      </c>
      <c r="BK268" s="401">
        <v>0</v>
      </c>
      <c r="BL268" s="401">
        <v>0</v>
      </c>
      <c r="BM268" s="401">
        <v>0</v>
      </c>
      <c r="BN268" s="401">
        <v>0</v>
      </c>
      <c r="BO268" s="401">
        <v>0</v>
      </c>
      <c r="BP268" s="401">
        <v>0</v>
      </c>
      <c r="BQ268" s="401">
        <v>0</v>
      </c>
      <c r="BR268" s="401">
        <v>0</v>
      </c>
      <c r="BS268" s="401">
        <v>0</v>
      </c>
      <c r="BT268" s="401">
        <v>0</v>
      </c>
      <c r="BU268" s="401">
        <v>0</v>
      </c>
      <c r="BV268" s="401">
        <v>0</v>
      </c>
      <c r="BW268" s="401">
        <v>0</v>
      </c>
      <c r="BX268" s="401">
        <v>0</v>
      </c>
      <c r="BY268" s="401">
        <v>0</v>
      </c>
      <c r="BZ268" s="401">
        <v>0</v>
      </c>
      <c r="CA268" s="401">
        <v>0</v>
      </c>
      <c r="CB268" s="401">
        <v>0</v>
      </c>
    </row>
    <row r="269" spans="1:80" s="401" customFormat="1" ht="28.8" x14ac:dyDescent="0.3">
      <c r="A269" s="1014">
        <v>609</v>
      </c>
      <c r="B269" s="1014"/>
      <c r="C269" s="1010">
        <v>609</v>
      </c>
      <c r="D269" s="1049" t="s">
        <v>1663</v>
      </c>
      <c r="E269" s="1050" t="s">
        <v>1682</v>
      </c>
      <c r="F269" s="1051" t="s">
        <v>1683</v>
      </c>
      <c r="G269" s="1051" t="s">
        <v>1684</v>
      </c>
      <c r="BC269" s="401">
        <v>0</v>
      </c>
      <c r="BD269" s="401">
        <v>0</v>
      </c>
      <c r="BE269" s="401">
        <v>0</v>
      </c>
      <c r="BF269" s="401">
        <v>0</v>
      </c>
      <c r="BG269" s="401">
        <v>0</v>
      </c>
      <c r="BH269" s="401">
        <v>0</v>
      </c>
      <c r="BI269" s="401">
        <v>0</v>
      </c>
      <c r="BJ269" s="401">
        <v>0</v>
      </c>
      <c r="BK269" s="401">
        <v>0</v>
      </c>
      <c r="BL269" s="401">
        <v>0</v>
      </c>
      <c r="BM269" s="401">
        <v>0</v>
      </c>
      <c r="BN269" s="401">
        <v>0</v>
      </c>
      <c r="BO269" s="401">
        <v>0</v>
      </c>
      <c r="BP269" s="401">
        <v>0</v>
      </c>
      <c r="BQ269" s="401">
        <v>0</v>
      </c>
      <c r="BR269" s="401">
        <v>0</v>
      </c>
      <c r="BS269" s="401">
        <v>0</v>
      </c>
      <c r="BT269" s="401">
        <v>0</v>
      </c>
      <c r="BU269" s="401">
        <v>0</v>
      </c>
      <c r="BV269" s="401">
        <v>0</v>
      </c>
      <c r="BW269" s="401">
        <v>0</v>
      </c>
      <c r="BX269" s="401">
        <v>0</v>
      </c>
      <c r="BY269" s="401">
        <v>0</v>
      </c>
      <c r="BZ269" s="401">
        <v>0</v>
      </c>
      <c r="CA269" s="401">
        <v>0</v>
      </c>
      <c r="CB269" s="401">
        <v>0</v>
      </c>
    </row>
    <row r="270" spans="1:80" s="401" customFormat="1" x14ac:dyDescent="0.3">
      <c r="A270" s="1014">
        <v>610</v>
      </c>
      <c r="B270" s="1014"/>
      <c r="C270" s="1010">
        <v>610</v>
      </c>
      <c r="D270" s="1049" t="s">
        <v>626</v>
      </c>
      <c r="E270" s="1028" t="s">
        <v>1682</v>
      </c>
      <c r="F270" s="1029" t="s">
        <v>1683</v>
      </c>
      <c r="G270" s="1029" t="s">
        <v>1684</v>
      </c>
      <c r="BC270" s="401">
        <v>0</v>
      </c>
      <c r="BD270" s="401">
        <v>0</v>
      </c>
      <c r="BE270" s="401">
        <v>0</v>
      </c>
      <c r="BF270" s="401">
        <v>0</v>
      </c>
      <c r="BG270" s="401">
        <v>0</v>
      </c>
      <c r="BH270" s="401">
        <v>0</v>
      </c>
      <c r="BI270" s="401">
        <v>0</v>
      </c>
      <c r="BJ270" s="401">
        <v>0</v>
      </c>
      <c r="BK270" s="401">
        <v>0</v>
      </c>
      <c r="BL270" s="401">
        <v>0</v>
      </c>
      <c r="BM270" s="401">
        <v>0</v>
      </c>
      <c r="BN270" s="401">
        <v>0</v>
      </c>
      <c r="BO270" s="401">
        <v>0</v>
      </c>
      <c r="BP270" s="401">
        <v>0</v>
      </c>
      <c r="BQ270" s="401">
        <v>0</v>
      </c>
      <c r="BR270" s="401">
        <v>0</v>
      </c>
      <c r="BS270" s="401">
        <v>0</v>
      </c>
      <c r="BT270" s="401">
        <v>0</v>
      </c>
      <c r="BU270" s="401">
        <v>0</v>
      </c>
      <c r="BV270" s="401">
        <v>0</v>
      </c>
      <c r="BW270" s="401">
        <v>0</v>
      </c>
      <c r="BX270" s="401">
        <v>0</v>
      </c>
      <c r="BY270" s="401">
        <v>0</v>
      </c>
      <c r="BZ270" s="401">
        <v>0</v>
      </c>
      <c r="CA270" s="401">
        <v>0</v>
      </c>
      <c r="CB270" s="401">
        <v>0</v>
      </c>
    </row>
    <row r="271" spans="1:80" s="401" customFormat="1" x14ac:dyDescent="0.3">
      <c r="A271" s="1014">
        <v>611</v>
      </c>
      <c r="B271" s="1014"/>
      <c r="C271" s="1010">
        <v>611</v>
      </c>
      <c r="D271" s="1049" t="s">
        <v>627</v>
      </c>
      <c r="E271" s="1028" t="s">
        <v>1682</v>
      </c>
      <c r="F271" s="1029" t="s">
        <v>1683</v>
      </c>
      <c r="G271" s="1029" t="s">
        <v>1684</v>
      </c>
      <c r="BC271" s="401">
        <v>0</v>
      </c>
      <c r="BD271" s="401">
        <v>0</v>
      </c>
      <c r="BE271" s="401">
        <v>0</v>
      </c>
      <c r="BF271" s="401">
        <v>0</v>
      </c>
      <c r="BG271" s="401">
        <v>0</v>
      </c>
      <c r="BH271" s="401">
        <v>0</v>
      </c>
      <c r="BI271" s="401">
        <v>0</v>
      </c>
      <c r="BJ271" s="401">
        <v>0</v>
      </c>
      <c r="BK271" s="401">
        <v>0</v>
      </c>
      <c r="BL271" s="401">
        <v>0</v>
      </c>
      <c r="BM271" s="401">
        <v>0</v>
      </c>
      <c r="BN271" s="401">
        <v>0</v>
      </c>
      <c r="BO271" s="401">
        <v>0</v>
      </c>
      <c r="BP271" s="401">
        <v>0</v>
      </c>
      <c r="BQ271" s="401">
        <v>0</v>
      </c>
      <c r="BR271" s="401">
        <v>0</v>
      </c>
      <c r="BS271" s="401">
        <v>0</v>
      </c>
      <c r="BT271" s="401">
        <v>0</v>
      </c>
      <c r="BU271" s="401">
        <v>0</v>
      </c>
      <c r="BV271" s="401">
        <v>0</v>
      </c>
      <c r="BW271" s="401">
        <v>0</v>
      </c>
      <c r="BX271" s="401">
        <v>0</v>
      </c>
      <c r="BY271" s="401">
        <v>0</v>
      </c>
      <c r="BZ271" s="401">
        <v>0</v>
      </c>
      <c r="CA271" s="401">
        <v>0</v>
      </c>
      <c r="CB271" s="401">
        <v>0</v>
      </c>
    </row>
    <row r="272" spans="1:80" s="401" customFormat="1" ht="28.8" x14ac:dyDescent="0.3">
      <c r="A272" s="1014">
        <v>612</v>
      </c>
      <c r="B272" s="1014"/>
      <c r="C272" s="1010">
        <v>612</v>
      </c>
      <c r="D272" s="1049" t="s">
        <v>1664</v>
      </c>
      <c r="E272" s="1028" t="s">
        <v>1682</v>
      </c>
      <c r="F272" s="1029" t="s">
        <v>1683</v>
      </c>
      <c r="G272" s="1029" t="s">
        <v>1684</v>
      </c>
      <c r="BC272" s="401">
        <v>0</v>
      </c>
      <c r="BD272" s="401">
        <v>0</v>
      </c>
      <c r="BE272" s="401">
        <v>0</v>
      </c>
      <c r="BF272" s="401">
        <v>0</v>
      </c>
      <c r="BG272" s="401">
        <v>0</v>
      </c>
      <c r="BH272" s="401">
        <v>0</v>
      </c>
      <c r="BI272" s="401">
        <v>0</v>
      </c>
      <c r="BJ272" s="401">
        <v>0</v>
      </c>
      <c r="BK272" s="401">
        <v>0</v>
      </c>
      <c r="BL272" s="401">
        <v>0</v>
      </c>
      <c r="BM272" s="401">
        <v>0</v>
      </c>
      <c r="BN272" s="401">
        <v>0</v>
      </c>
      <c r="BO272" s="401">
        <v>0</v>
      </c>
      <c r="BP272" s="401">
        <v>0</v>
      </c>
      <c r="BQ272" s="401">
        <v>0</v>
      </c>
      <c r="BR272" s="401">
        <v>0</v>
      </c>
      <c r="BS272" s="401">
        <v>0</v>
      </c>
      <c r="BT272" s="401">
        <v>0</v>
      </c>
      <c r="BU272" s="401">
        <v>0</v>
      </c>
      <c r="BV272" s="401">
        <v>0</v>
      </c>
      <c r="BW272" s="401">
        <v>0</v>
      </c>
      <c r="BX272" s="401">
        <v>0</v>
      </c>
      <c r="BY272" s="401">
        <v>0</v>
      </c>
      <c r="BZ272" s="401">
        <v>0</v>
      </c>
      <c r="CA272" s="401">
        <v>0</v>
      </c>
      <c r="CB272" s="401">
        <v>0</v>
      </c>
    </row>
    <row r="273" spans="1:80" s="401" customFormat="1" x14ac:dyDescent="0.3">
      <c r="A273" s="1014">
        <v>613</v>
      </c>
      <c r="B273" s="1014"/>
      <c r="C273" s="1010">
        <v>613</v>
      </c>
      <c r="D273" s="1049" t="s">
        <v>635</v>
      </c>
      <c r="E273" s="1028" t="s">
        <v>1682</v>
      </c>
      <c r="F273" s="1029" t="s">
        <v>1683</v>
      </c>
      <c r="G273" s="1029" t="s">
        <v>1684</v>
      </c>
      <c r="BC273" s="401">
        <v>0</v>
      </c>
      <c r="BD273" s="401">
        <v>0</v>
      </c>
      <c r="BE273" s="401">
        <v>0</v>
      </c>
      <c r="BF273" s="401">
        <v>0</v>
      </c>
      <c r="BG273" s="401">
        <v>0</v>
      </c>
      <c r="BH273" s="401">
        <v>0</v>
      </c>
      <c r="BI273" s="401">
        <v>0</v>
      </c>
      <c r="BJ273" s="401">
        <v>0</v>
      </c>
      <c r="BK273" s="401">
        <v>0</v>
      </c>
      <c r="BL273" s="401">
        <v>0</v>
      </c>
      <c r="BM273" s="401">
        <v>0</v>
      </c>
      <c r="BN273" s="401">
        <v>0</v>
      </c>
      <c r="BO273" s="401">
        <v>0</v>
      </c>
      <c r="BP273" s="401">
        <v>0</v>
      </c>
      <c r="BQ273" s="401">
        <v>0</v>
      </c>
      <c r="BR273" s="401">
        <v>0</v>
      </c>
      <c r="BS273" s="401">
        <v>0</v>
      </c>
      <c r="BT273" s="401">
        <v>0</v>
      </c>
      <c r="BU273" s="401">
        <v>0</v>
      </c>
      <c r="BV273" s="401">
        <v>0</v>
      </c>
      <c r="BW273" s="401">
        <v>0</v>
      </c>
      <c r="BX273" s="401">
        <v>0</v>
      </c>
      <c r="BY273" s="401">
        <v>0</v>
      </c>
      <c r="BZ273" s="401">
        <v>0</v>
      </c>
      <c r="CA273" s="401">
        <v>0</v>
      </c>
      <c r="CB273" s="401">
        <v>0</v>
      </c>
    </row>
    <row r="274" spans="1:80" s="401" customFormat="1" x14ac:dyDescent="0.3">
      <c r="A274" s="1014">
        <v>614</v>
      </c>
      <c r="B274" s="1014"/>
      <c r="C274" s="1010">
        <v>614</v>
      </c>
      <c r="D274" s="1049" t="s">
        <v>628</v>
      </c>
      <c r="E274" s="1028" t="s">
        <v>1682</v>
      </c>
      <c r="F274" s="1029" t="s">
        <v>1683</v>
      </c>
      <c r="G274" s="1029" t="s">
        <v>1684</v>
      </c>
      <c r="BC274" s="401">
        <v>0</v>
      </c>
      <c r="BD274" s="401">
        <v>0</v>
      </c>
      <c r="BE274" s="401">
        <v>0</v>
      </c>
      <c r="BF274" s="401">
        <v>0</v>
      </c>
      <c r="BG274" s="401">
        <v>0</v>
      </c>
      <c r="BH274" s="401">
        <v>0</v>
      </c>
      <c r="BI274" s="401">
        <v>0</v>
      </c>
      <c r="BJ274" s="401">
        <v>0</v>
      </c>
      <c r="BK274" s="401">
        <v>0</v>
      </c>
      <c r="BL274" s="401">
        <v>0</v>
      </c>
      <c r="BM274" s="401">
        <v>0</v>
      </c>
      <c r="BN274" s="401">
        <v>0</v>
      </c>
      <c r="BO274" s="401">
        <v>0</v>
      </c>
      <c r="BP274" s="401">
        <v>0</v>
      </c>
      <c r="BQ274" s="401">
        <v>0</v>
      </c>
      <c r="BR274" s="401">
        <v>0</v>
      </c>
      <c r="BS274" s="401">
        <v>0</v>
      </c>
      <c r="BT274" s="401">
        <v>0</v>
      </c>
      <c r="BU274" s="401">
        <v>0</v>
      </c>
      <c r="BV274" s="401">
        <v>0</v>
      </c>
      <c r="BW274" s="401">
        <v>0</v>
      </c>
      <c r="BX274" s="401">
        <v>0</v>
      </c>
      <c r="BY274" s="401">
        <v>0</v>
      </c>
      <c r="BZ274" s="401">
        <v>0</v>
      </c>
      <c r="CA274" s="401">
        <v>0</v>
      </c>
      <c r="CB274" s="401">
        <v>0</v>
      </c>
    </row>
    <row r="275" spans="1:80" s="401" customFormat="1" ht="28.8" x14ac:dyDescent="0.3">
      <c r="A275" s="1014">
        <v>615</v>
      </c>
      <c r="B275" s="1014"/>
      <c r="C275" s="1010">
        <v>615</v>
      </c>
      <c r="D275" s="1049" t="s">
        <v>1665</v>
      </c>
      <c r="E275" s="1028" t="s">
        <v>1682</v>
      </c>
      <c r="F275" s="1029" t="s">
        <v>1683</v>
      </c>
      <c r="G275" s="1029" t="s">
        <v>1684</v>
      </c>
      <c r="BC275" s="401">
        <v>0</v>
      </c>
      <c r="BD275" s="401">
        <v>0</v>
      </c>
      <c r="BE275" s="401">
        <v>0</v>
      </c>
      <c r="BF275" s="401">
        <v>0</v>
      </c>
      <c r="BG275" s="401">
        <v>0</v>
      </c>
      <c r="BH275" s="401">
        <v>0</v>
      </c>
      <c r="BI275" s="401">
        <v>0</v>
      </c>
      <c r="BJ275" s="401">
        <v>0</v>
      </c>
      <c r="BK275" s="401">
        <v>0</v>
      </c>
      <c r="BL275" s="401">
        <v>0</v>
      </c>
      <c r="BM275" s="401">
        <v>0</v>
      </c>
      <c r="BN275" s="401">
        <v>0</v>
      </c>
      <c r="BO275" s="401">
        <v>0</v>
      </c>
      <c r="BP275" s="401">
        <v>0</v>
      </c>
      <c r="BQ275" s="401">
        <v>0</v>
      </c>
      <c r="BR275" s="401">
        <v>0</v>
      </c>
      <c r="BS275" s="401">
        <v>0</v>
      </c>
      <c r="BT275" s="401">
        <v>0</v>
      </c>
      <c r="BU275" s="401">
        <v>0</v>
      </c>
      <c r="BV275" s="401">
        <v>0</v>
      </c>
      <c r="BW275" s="401">
        <v>0</v>
      </c>
      <c r="BX275" s="401">
        <v>0</v>
      </c>
      <c r="BY275" s="401">
        <v>0</v>
      </c>
      <c r="BZ275" s="401">
        <v>0</v>
      </c>
      <c r="CA275" s="401">
        <v>0</v>
      </c>
      <c r="CB275" s="401">
        <v>0</v>
      </c>
    </row>
    <row r="276" spans="1:80" s="401" customFormat="1" x14ac:dyDescent="0.3">
      <c r="A276" s="1014">
        <v>616</v>
      </c>
      <c r="B276" s="1014"/>
      <c r="C276" s="1010">
        <v>616</v>
      </c>
      <c r="D276" s="1049" t="s">
        <v>629</v>
      </c>
      <c r="E276" s="1028" t="s">
        <v>1682</v>
      </c>
      <c r="F276" s="1029" t="s">
        <v>1683</v>
      </c>
      <c r="G276" s="1029" t="s">
        <v>1684</v>
      </c>
      <c r="BC276" s="401">
        <v>0</v>
      </c>
      <c r="BD276" s="401">
        <v>0</v>
      </c>
      <c r="BE276" s="401">
        <v>0</v>
      </c>
      <c r="BF276" s="401">
        <v>0</v>
      </c>
      <c r="BG276" s="401">
        <v>0</v>
      </c>
      <c r="BH276" s="401">
        <v>0</v>
      </c>
      <c r="BI276" s="401">
        <v>0</v>
      </c>
      <c r="BJ276" s="401">
        <v>0</v>
      </c>
      <c r="BK276" s="401">
        <v>0</v>
      </c>
      <c r="BL276" s="401">
        <v>0</v>
      </c>
      <c r="BM276" s="401">
        <v>0</v>
      </c>
      <c r="BN276" s="401">
        <v>0</v>
      </c>
      <c r="BO276" s="401">
        <v>0</v>
      </c>
      <c r="BP276" s="401">
        <v>0</v>
      </c>
      <c r="BQ276" s="401">
        <v>0</v>
      </c>
      <c r="BR276" s="401">
        <v>0</v>
      </c>
      <c r="BS276" s="401">
        <v>0</v>
      </c>
      <c r="BT276" s="401">
        <v>0</v>
      </c>
      <c r="BU276" s="401">
        <v>0</v>
      </c>
      <c r="BV276" s="401">
        <v>0</v>
      </c>
      <c r="BW276" s="401">
        <v>0</v>
      </c>
      <c r="BX276" s="401">
        <v>0</v>
      </c>
      <c r="BY276" s="401">
        <v>0</v>
      </c>
      <c r="BZ276" s="401">
        <v>0</v>
      </c>
      <c r="CA276" s="401">
        <v>0</v>
      </c>
      <c r="CB276" s="401">
        <v>0</v>
      </c>
    </row>
    <row r="277" spans="1:80" s="401" customFormat="1" x14ac:dyDescent="0.3">
      <c r="A277" s="1014">
        <v>617</v>
      </c>
      <c r="B277" s="1014"/>
      <c r="C277" s="1010">
        <v>617</v>
      </c>
      <c r="D277" s="1049" t="s">
        <v>630</v>
      </c>
      <c r="E277" s="1028" t="s">
        <v>1682</v>
      </c>
      <c r="F277" s="1029" t="s">
        <v>1683</v>
      </c>
      <c r="G277" s="1029" t="s">
        <v>1684</v>
      </c>
      <c r="BC277" s="401">
        <v>0</v>
      </c>
      <c r="BD277" s="401">
        <v>0</v>
      </c>
      <c r="BE277" s="401">
        <v>0</v>
      </c>
      <c r="BF277" s="401">
        <v>0</v>
      </c>
      <c r="BG277" s="401">
        <v>0</v>
      </c>
      <c r="BH277" s="401">
        <v>0</v>
      </c>
      <c r="BI277" s="401">
        <v>0</v>
      </c>
      <c r="BJ277" s="401">
        <v>0</v>
      </c>
      <c r="BK277" s="401">
        <v>0</v>
      </c>
      <c r="BL277" s="401">
        <v>0</v>
      </c>
      <c r="BM277" s="401">
        <v>0</v>
      </c>
      <c r="BN277" s="401">
        <v>0</v>
      </c>
      <c r="BO277" s="401">
        <v>0</v>
      </c>
      <c r="BP277" s="401">
        <v>0</v>
      </c>
      <c r="BQ277" s="401">
        <v>0</v>
      </c>
      <c r="BR277" s="401">
        <v>0</v>
      </c>
      <c r="BS277" s="401">
        <v>0</v>
      </c>
      <c r="BT277" s="401">
        <v>0</v>
      </c>
      <c r="BU277" s="401">
        <v>0</v>
      </c>
      <c r="BV277" s="401">
        <v>0</v>
      </c>
      <c r="BW277" s="401">
        <v>0</v>
      </c>
      <c r="BX277" s="401">
        <v>0</v>
      </c>
      <c r="BY277" s="401">
        <v>0</v>
      </c>
      <c r="BZ277" s="401">
        <v>0</v>
      </c>
      <c r="CA277" s="401">
        <v>0</v>
      </c>
      <c r="CB277" s="401">
        <v>0</v>
      </c>
    </row>
    <row r="278" spans="1:80" s="401" customFormat="1" ht="28.8" x14ac:dyDescent="0.3">
      <c r="A278" s="1014">
        <v>618</v>
      </c>
      <c r="B278" s="1014"/>
      <c r="C278" s="1010">
        <v>618</v>
      </c>
      <c r="D278" s="1049" t="s">
        <v>1666</v>
      </c>
      <c r="E278" s="1028" t="s">
        <v>1682</v>
      </c>
      <c r="F278" s="1029" t="s">
        <v>1683</v>
      </c>
      <c r="G278" s="1029" t="s">
        <v>1684</v>
      </c>
      <c r="BC278" s="401">
        <v>0</v>
      </c>
      <c r="BD278" s="401">
        <v>0</v>
      </c>
      <c r="BE278" s="401">
        <v>0</v>
      </c>
      <c r="BF278" s="401">
        <v>0</v>
      </c>
      <c r="BG278" s="401">
        <v>0</v>
      </c>
      <c r="BH278" s="401">
        <v>0</v>
      </c>
      <c r="BI278" s="401">
        <v>0</v>
      </c>
      <c r="BJ278" s="401">
        <v>0</v>
      </c>
      <c r="BK278" s="401">
        <v>0</v>
      </c>
      <c r="BL278" s="401">
        <v>0</v>
      </c>
      <c r="BM278" s="401">
        <v>0</v>
      </c>
      <c r="BN278" s="401">
        <v>0</v>
      </c>
      <c r="BO278" s="401">
        <v>0</v>
      </c>
      <c r="BP278" s="401">
        <v>0</v>
      </c>
      <c r="BQ278" s="401">
        <v>0</v>
      </c>
      <c r="BR278" s="401">
        <v>0</v>
      </c>
      <c r="BS278" s="401">
        <v>0</v>
      </c>
      <c r="BT278" s="401">
        <v>0</v>
      </c>
      <c r="BU278" s="401">
        <v>0</v>
      </c>
      <c r="BV278" s="401">
        <v>0</v>
      </c>
      <c r="BW278" s="401">
        <v>0</v>
      </c>
      <c r="BX278" s="401">
        <v>0</v>
      </c>
      <c r="BY278" s="401">
        <v>0</v>
      </c>
      <c r="BZ278" s="401">
        <v>0</v>
      </c>
      <c r="CA278" s="401">
        <v>0</v>
      </c>
      <c r="CB278" s="401">
        <v>0</v>
      </c>
    </row>
    <row r="279" spans="1:80" s="401" customFormat="1" x14ac:dyDescent="0.3">
      <c r="A279" s="1014">
        <v>619</v>
      </c>
      <c r="B279" s="1014"/>
      <c r="C279" s="1010"/>
      <c r="D279" s="1049"/>
      <c r="E279" s="1028"/>
      <c r="F279" s="1029"/>
      <c r="G279" s="1029"/>
      <c r="BC279" s="401">
        <v>0</v>
      </c>
      <c r="BD279" s="401">
        <v>0</v>
      </c>
      <c r="BE279" s="401">
        <v>0</v>
      </c>
      <c r="BF279" s="401">
        <v>0</v>
      </c>
      <c r="BG279" s="401">
        <v>0</v>
      </c>
      <c r="BH279" s="401">
        <v>0</v>
      </c>
      <c r="BI279" s="401">
        <v>0</v>
      </c>
      <c r="BJ279" s="401">
        <v>0</v>
      </c>
      <c r="BK279" s="401">
        <v>0</v>
      </c>
      <c r="BL279" s="401">
        <v>0</v>
      </c>
      <c r="BM279" s="401">
        <v>0</v>
      </c>
      <c r="BN279" s="401">
        <v>0</v>
      </c>
      <c r="BO279" s="401">
        <v>0</v>
      </c>
      <c r="BP279" s="401">
        <v>0</v>
      </c>
      <c r="BQ279" s="401">
        <v>0</v>
      </c>
      <c r="BR279" s="401">
        <v>0</v>
      </c>
      <c r="BS279" s="401">
        <v>0</v>
      </c>
      <c r="BT279" s="401">
        <v>0</v>
      </c>
      <c r="BU279" s="401">
        <v>0</v>
      </c>
      <c r="BV279" s="401">
        <v>0</v>
      </c>
      <c r="BW279" s="401">
        <v>0</v>
      </c>
      <c r="BX279" s="401">
        <v>0</v>
      </c>
      <c r="BY279" s="401">
        <v>0</v>
      </c>
      <c r="BZ279" s="401">
        <v>0</v>
      </c>
      <c r="CA279" s="401">
        <v>0</v>
      </c>
      <c r="CB279" s="401">
        <v>0</v>
      </c>
    </row>
    <row r="280" spans="1:80" s="401" customFormat="1" ht="57.6" x14ac:dyDescent="0.3">
      <c r="A280" s="1014">
        <v>620</v>
      </c>
      <c r="B280" s="1014">
        <v>620</v>
      </c>
      <c r="C280" s="1010">
        <v>620</v>
      </c>
      <c r="D280" s="1049" t="s">
        <v>639</v>
      </c>
      <c r="E280" s="1028">
        <v>2</v>
      </c>
      <c r="F280" s="1029">
        <v>2</v>
      </c>
      <c r="G280" s="1029">
        <v>2</v>
      </c>
      <c r="BC280" s="401">
        <v>2</v>
      </c>
      <c r="BD280" s="401">
        <v>0</v>
      </c>
      <c r="BE280" s="401">
        <v>2</v>
      </c>
      <c r="BF280" s="401">
        <v>2</v>
      </c>
      <c r="BG280" s="401">
        <v>0</v>
      </c>
      <c r="BH280" s="401">
        <v>2</v>
      </c>
      <c r="BI280" s="401">
        <v>2</v>
      </c>
      <c r="BJ280" s="401">
        <v>2</v>
      </c>
      <c r="BK280" s="401">
        <v>0</v>
      </c>
      <c r="BL280" s="401">
        <v>2</v>
      </c>
      <c r="BM280" s="401">
        <v>2</v>
      </c>
      <c r="BN280" s="401">
        <v>2</v>
      </c>
      <c r="BO280" s="401">
        <v>2</v>
      </c>
      <c r="BP280" s="401">
        <v>2</v>
      </c>
      <c r="BQ280" s="401">
        <v>2</v>
      </c>
      <c r="BR280" s="401">
        <v>2</v>
      </c>
      <c r="BS280" s="401">
        <v>2</v>
      </c>
      <c r="BT280" s="401">
        <v>2</v>
      </c>
      <c r="BU280" s="401">
        <v>1</v>
      </c>
      <c r="BV280" s="401">
        <v>2</v>
      </c>
      <c r="BW280" s="401">
        <v>2</v>
      </c>
      <c r="BX280" s="401">
        <v>2</v>
      </c>
      <c r="BY280" s="401">
        <v>2</v>
      </c>
      <c r="BZ280" s="401">
        <v>2</v>
      </c>
      <c r="CA280" s="401">
        <v>1</v>
      </c>
      <c r="CB280" s="401">
        <v>2</v>
      </c>
    </row>
    <row r="281" spans="1:80" s="401" customFormat="1" x14ac:dyDescent="0.3">
      <c r="A281" s="1014">
        <v>621</v>
      </c>
      <c r="B281" s="1010"/>
      <c r="C281" s="1010"/>
      <c r="D281" s="1049"/>
      <c r="E281" s="1028"/>
      <c r="F281" s="1029"/>
      <c r="G281" s="1029"/>
      <c r="BC281" s="401">
        <v>0</v>
      </c>
      <c r="BD281" s="401">
        <v>0</v>
      </c>
      <c r="BE281" s="401">
        <v>0</v>
      </c>
      <c r="BF281" s="401">
        <v>0</v>
      </c>
      <c r="BG281" s="401">
        <v>0</v>
      </c>
      <c r="BH281" s="401">
        <v>0</v>
      </c>
      <c r="BI281" s="401">
        <v>0</v>
      </c>
      <c r="BJ281" s="401">
        <v>0</v>
      </c>
      <c r="BK281" s="401">
        <v>0</v>
      </c>
      <c r="BL281" s="401">
        <v>0</v>
      </c>
      <c r="BM281" s="401">
        <v>0</v>
      </c>
      <c r="BN281" s="401">
        <v>0</v>
      </c>
      <c r="BO281" s="401">
        <v>0</v>
      </c>
      <c r="BP281" s="401">
        <v>0</v>
      </c>
      <c r="BQ281" s="401">
        <v>0</v>
      </c>
      <c r="BR281" s="401">
        <v>0</v>
      </c>
      <c r="BS281" s="401">
        <v>0</v>
      </c>
      <c r="BT281" s="401">
        <v>0</v>
      </c>
      <c r="BU281" s="401">
        <v>0</v>
      </c>
      <c r="BV281" s="401">
        <v>0</v>
      </c>
      <c r="BW281" s="401">
        <v>0</v>
      </c>
      <c r="BX281" s="401">
        <v>0</v>
      </c>
      <c r="BY281" s="401">
        <v>0</v>
      </c>
      <c r="BZ281" s="401">
        <v>0</v>
      </c>
      <c r="CA281" s="401">
        <v>0</v>
      </c>
      <c r="CB281" s="401">
        <v>0</v>
      </c>
    </row>
    <row r="282" spans="1:80" s="401" customFormat="1" x14ac:dyDescent="0.3">
      <c r="A282" s="1014">
        <v>622</v>
      </c>
      <c r="B282" s="1014">
        <v>622</v>
      </c>
      <c r="C282" s="1052">
        <v>622</v>
      </c>
      <c r="D282" s="1053" t="s">
        <v>651</v>
      </c>
      <c r="E282" s="1028" t="s">
        <v>1682</v>
      </c>
      <c r="F282" s="1029" t="s">
        <v>1683</v>
      </c>
      <c r="G282" s="1029" t="s">
        <v>1684</v>
      </c>
      <c r="BC282" s="401">
        <v>350923</v>
      </c>
      <c r="BD282" s="401">
        <v>0</v>
      </c>
      <c r="BE282" s="401">
        <v>0</v>
      </c>
      <c r="BF282" s="401">
        <v>6576333</v>
      </c>
      <c r="BG282" s="401">
        <v>0</v>
      </c>
      <c r="BH282" s="401">
        <v>0</v>
      </c>
      <c r="BI282" s="401">
        <v>585237</v>
      </c>
      <c r="BJ282" s="401">
        <v>406361</v>
      </c>
      <c r="BK282" s="401">
        <v>0</v>
      </c>
      <c r="BL282" s="401">
        <v>1037477</v>
      </c>
      <c r="BM282" s="401">
        <v>689012</v>
      </c>
      <c r="BN282" s="401">
        <v>0</v>
      </c>
      <c r="BO282" s="401">
        <v>1551984</v>
      </c>
      <c r="BP282" s="401">
        <v>0</v>
      </c>
      <c r="BQ282" s="401">
        <v>179695</v>
      </c>
      <c r="BR282" s="401">
        <v>383695</v>
      </c>
      <c r="BS282" s="401">
        <v>99679</v>
      </c>
      <c r="BT282" s="401">
        <v>3554568</v>
      </c>
      <c r="BU282" s="401">
        <v>288385</v>
      </c>
      <c r="BV282" s="401">
        <v>566120</v>
      </c>
      <c r="BW282" s="401">
        <v>135223</v>
      </c>
      <c r="BX282" s="401">
        <v>44514</v>
      </c>
      <c r="BY282" s="401">
        <v>0</v>
      </c>
      <c r="BZ282" s="401">
        <v>0</v>
      </c>
      <c r="CA282" s="401">
        <v>3055629</v>
      </c>
      <c r="CB282" s="401">
        <v>0</v>
      </c>
    </row>
    <row r="283" spans="1:80" s="401" customFormat="1" x14ac:dyDescent="0.3">
      <c r="A283" s="1014">
        <v>624</v>
      </c>
      <c r="B283" s="1014"/>
      <c r="C283" s="1052"/>
      <c r="D283" s="1053"/>
      <c r="E283" s="1028"/>
      <c r="F283" s="1029"/>
      <c r="G283" s="1029"/>
      <c r="BC283" s="401">
        <v>1</v>
      </c>
      <c r="BD283" s="401">
        <v>0</v>
      </c>
      <c r="BE283" s="401">
        <v>1</v>
      </c>
      <c r="BF283" s="401">
        <v>2</v>
      </c>
      <c r="BG283" s="401">
        <v>0</v>
      </c>
      <c r="BH283" s="401">
        <v>1</v>
      </c>
      <c r="BI283" s="401">
        <v>2</v>
      </c>
      <c r="BJ283" s="401">
        <v>2</v>
      </c>
      <c r="BK283" s="401">
        <v>0</v>
      </c>
      <c r="BL283" s="401">
        <v>1</v>
      </c>
      <c r="BM283" s="401">
        <v>2</v>
      </c>
      <c r="BN283" s="401">
        <v>2</v>
      </c>
      <c r="BO283" s="401">
        <v>1</v>
      </c>
      <c r="BP283" s="401">
        <v>2</v>
      </c>
      <c r="BQ283" s="401">
        <v>2</v>
      </c>
      <c r="BR283" s="401">
        <v>1</v>
      </c>
      <c r="BS283" s="401">
        <v>1</v>
      </c>
      <c r="BT283" s="401">
        <v>2</v>
      </c>
      <c r="BU283" s="401">
        <v>2</v>
      </c>
      <c r="BV283" s="401">
        <v>2</v>
      </c>
      <c r="BW283" s="401">
        <v>1</v>
      </c>
      <c r="BX283" s="401">
        <v>1</v>
      </c>
      <c r="BY283" s="401">
        <v>1</v>
      </c>
      <c r="BZ283" s="401">
        <v>2</v>
      </c>
      <c r="CA283" s="401">
        <v>1</v>
      </c>
      <c r="CB283" s="401">
        <v>2</v>
      </c>
    </row>
    <row r="284" spans="1:80" s="401" customFormat="1" ht="100.8" x14ac:dyDescent="0.3">
      <c r="A284" s="1014">
        <v>625</v>
      </c>
      <c r="B284" s="1010"/>
      <c r="C284" s="1054">
        <v>625</v>
      </c>
      <c r="D284" s="1055" t="s">
        <v>742</v>
      </c>
      <c r="E284" s="1028" t="s">
        <v>1682</v>
      </c>
      <c r="F284" s="1029" t="s">
        <v>1683</v>
      </c>
      <c r="G284" s="1029" t="s">
        <v>1684</v>
      </c>
      <c r="BC284" s="401">
        <v>0</v>
      </c>
      <c r="BD284" s="401">
        <v>0</v>
      </c>
      <c r="BE284" s="401">
        <v>0</v>
      </c>
      <c r="BF284" s="401">
        <v>0</v>
      </c>
      <c r="BG284" s="401">
        <v>0</v>
      </c>
      <c r="BH284" s="401">
        <v>0</v>
      </c>
      <c r="BI284" s="401">
        <v>0</v>
      </c>
      <c r="BJ284" s="401">
        <v>0</v>
      </c>
      <c r="BK284" s="401">
        <v>0</v>
      </c>
      <c r="BL284" s="401">
        <v>0</v>
      </c>
      <c r="BM284" s="401">
        <v>0</v>
      </c>
      <c r="BN284" s="401">
        <v>0</v>
      </c>
      <c r="BO284" s="401">
        <v>0</v>
      </c>
      <c r="BP284" s="401">
        <v>0</v>
      </c>
      <c r="BQ284" s="401">
        <v>0</v>
      </c>
      <c r="BR284" s="401">
        <v>0</v>
      </c>
      <c r="BS284" s="401">
        <v>0</v>
      </c>
      <c r="BT284" s="401">
        <v>0</v>
      </c>
      <c r="BU284" s="401">
        <v>0</v>
      </c>
      <c r="BV284" s="401">
        <v>0</v>
      </c>
      <c r="BW284" s="401">
        <v>0</v>
      </c>
      <c r="BX284" s="401">
        <v>0</v>
      </c>
      <c r="BY284" s="401">
        <v>0</v>
      </c>
      <c r="BZ284" s="401">
        <v>0</v>
      </c>
      <c r="CA284" s="401">
        <v>0</v>
      </c>
      <c r="CB284" s="401">
        <v>0</v>
      </c>
    </row>
    <row r="285" spans="1:80" s="401" customFormat="1" x14ac:dyDescent="0.3">
      <c r="A285" s="1014">
        <v>626</v>
      </c>
      <c r="B285" s="1010"/>
      <c r="C285" s="1010"/>
      <c r="D285" s="1010"/>
      <c r="E285" s="1010"/>
      <c r="F285" s="1010"/>
      <c r="G285" s="1010"/>
      <c r="BC285" s="401">
        <v>90321</v>
      </c>
      <c r="BD285" s="401">
        <v>0</v>
      </c>
      <c r="BE285" s="401">
        <v>3368</v>
      </c>
      <c r="BF285" s="401">
        <v>5433394</v>
      </c>
      <c r="BG285" s="401">
        <v>0</v>
      </c>
      <c r="BH285" s="401">
        <v>2267</v>
      </c>
      <c r="BI285" s="401">
        <v>44854</v>
      </c>
      <c r="BJ285" s="401">
        <v>152121</v>
      </c>
      <c r="BK285" s="401">
        <v>0</v>
      </c>
      <c r="BL285" s="401">
        <v>415927</v>
      </c>
      <c r="BM285" s="401">
        <v>125885</v>
      </c>
      <c r="BN285" s="401">
        <v>0</v>
      </c>
      <c r="BO285" s="401">
        <v>1230368</v>
      </c>
      <c r="BP285" s="401">
        <v>436910</v>
      </c>
      <c r="BQ285" s="401">
        <v>19990</v>
      </c>
      <c r="BR285" s="401">
        <v>8180</v>
      </c>
      <c r="BS285" s="401">
        <v>48831</v>
      </c>
      <c r="BT285" s="401">
        <v>3846102</v>
      </c>
      <c r="BU285" s="401">
        <v>119598</v>
      </c>
      <c r="BV285" s="401">
        <v>3801367</v>
      </c>
      <c r="BW285" s="401">
        <v>141784</v>
      </c>
      <c r="BX285" s="401">
        <v>11908</v>
      </c>
      <c r="BY285" s="401">
        <v>0</v>
      </c>
      <c r="BZ285" s="401">
        <v>0</v>
      </c>
      <c r="CA285" s="401">
        <v>4101712</v>
      </c>
      <c r="CB285" s="401">
        <v>2665</v>
      </c>
    </row>
    <row r="286" spans="1:80" s="401" customFormat="1" x14ac:dyDescent="0.3">
      <c r="A286" s="1014">
        <v>627</v>
      </c>
      <c r="B286" s="1010"/>
      <c r="C286" s="1010"/>
      <c r="D286" s="1010"/>
      <c r="E286" s="1010"/>
      <c r="F286" s="1010"/>
      <c r="G286" s="1010"/>
      <c r="BC286" s="401">
        <v>0</v>
      </c>
      <c r="BD286" s="401">
        <v>0</v>
      </c>
      <c r="BE286" s="401">
        <v>0</v>
      </c>
      <c r="BF286" s="401">
        <v>0</v>
      </c>
      <c r="BG286" s="401">
        <v>0</v>
      </c>
      <c r="BH286" s="401">
        <v>0</v>
      </c>
      <c r="BI286" s="401">
        <v>0</v>
      </c>
      <c r="BJ286" s="401">
        <v>0</v>
      </c>
      <c r="BK286" s="401">
        <v>0</v>
      </c>
      <c r="BL286" s="401">
        <v>0</v>
      </c>
      <c r="BM286" s="401">
        <v>0</v>
      </c>
      <c r="BN286" s="401">
        <v>0</v>
      </c>
      <c r="BO286" s="401">
        <v>0</v>
      </c>
      <c r="BP286" s="401">
        <v>0</v>
      </c>
      <c r="BQ286" s="401">
        <v>0</v>
      </c>
      <c r="BR286" s="401">
        <v>0</v>
      </c>
      <c r="BS286" s="401">
        <v>0</v>
      </c>
      <c r="BT286" s="401">
        <v>0</v>
      </c>
      <c r="BU286" s="401">
        <v>0</v>
      </c>
      <c r="BV286" s="401">
        <v>0</v>
      </c>
      <c r="BW286" s="401">
        <v>79977</v>
      </c>
      <c r="BX286" s="401">
        <v>0</v>
      </c>
      <c r="BY286" s="401">
        <v>0</v>
      </c>
      <c r="BZ286" s="401">
        <v>0</v>
      </c>
      <c r="CA286" s="401">
        <v>0</v>
      </c>
      <c r="CB286" s="401">
        <v>0</v>
      </c>
    </row>
    <row r="287" spans="1:80" s="401" customFormat="1" x14ac:dyDescent="0.3">
      <c r="A287" s="1014">
        <v>628</v>
      </c>
      <c r="B287" s="1010"/>
      <c r="C287" s="1010"/>
      <c r="D287" s="1010"/>
      <c r="E287" s="1010"/>
      <c r="F287" s="1010"/>
      <c r="G287" s="1010"/>
      <c r="BC287" s="401">
        <v>0</v>
      </c>
      <c r="BD287" s="401">
        <v>0</v>
      </c>
      <c r="BE287" s="401">
        <v>0</v>
      </c>
      <c r="BF287" s="401">
        <v>211114</v>
      </c>
      <c r="BG287" s="401">
        <v>0</v>
      </c>
      <c r="BH287" s="401">
        <v>0</v>
      </c>
      <c r="BI287" s="401">
        <v>0</v>
      </c>
      <c r="BJ287" s="401">
        <v>50998</v>
      </c>
      <c r="BK287" s="401">
        <v>0</v>
      </c>
      <c r="BL287" s="401">
        <v>77281</v>
      </c>
      <c r="BM287" s="401">
        <v>28454</v>
      </c>
      <c r="BN287" s="401">
        <v>0</v>
      </c>
      <c r="BO287" s="401">
        <v>185200</v>
      </c>
      <c r="BP287" s="401">
        <v>44837</v>
      </c>
      <c r="BQ287" s="401">
        <v>10598</v>
      </c>
      <c r="BR287" s="401">
        <v>0</v>
      </c>
      <c r="BS287" s="401">
        <v>4884</v>
      </c>
      <c r="BT287" s="401">
        <v>61408</v>
      </c>
      <c r="BU287" s="401">
        <v>0</v>
      </c>
      <c r="BV287" s="401">
        <v>98077</v>
      </c>
      <c r="BW287" s="401">
        <v>5000</v>
      </c>
      <c r="BX287" s="401">
        <v>0</v>
      </c>
      <c r="BY287" s="401">
        <v>0</v>
      </c>
      <c r="BZ287" s="401">
        <v>0</v>
      </c>
      <c r="CA287" s="401">
        <v>433810</v>
      </c>
      <c r="CB287" s="401">
        <v>0</v>
      </c>
    </row>
    <row r="288" spans="1:80" s="401" customFormat="1" x14ac:dyDescent="0.3">
      <c r="A288" s="1014">
        <v>629</v>
      </c>
      <c r="B288" s="1014"/>
      <c r="C288" s="1010"/>
      <c r="D288" s="1010"/>
      <c r="E288" s="1010"/>
      <c r="F288" s="1010"/>
      <c r="G288" s="1010"/>
      <c r="BC288" s="401">
        <v>0</v>
      </c>
      <c r="BD288" s="401">
        <v>0</v>
      </c>
      <c r="BE288" s="401">
        <v>0</v>
      </c>
      <c r="BF288" s="401">
        <v>0</v>
      </c>
      <c r="BG288" s="401">
        <v>0</v>
      </c>
      <c r="BH288" s="401">
        <v>0</v>
      </c>
      <c r="BI288" s="401">
        <v>0</v>
      </c>
      <c r="BJ288" s="401">
        <v>0</v>
      </c>
      <c r="BK288" s="401">
        <v>0</v>
      </c>
      <c r="BL288" s="401">
        <v>0</v>
      </c>
      <c r="BM288" s="401">
        <v>0</v>
      </c>
      <c r="BN288" s="401">
        <v>0</v>
      </c>
      <c r="BO288" s="401">
        <v>0</v>
      </c>
      <c r="BP288" s="401">
        <v>0</v>
      </c>
      <c r="BQ288" s="401">
        <v>0</v>
      </c>
      <c r="BR288" s="401">
        <v>0</v>
      </c>
      <c r="BS288" s="401">
        <v>0</v>
      </c>
      <c r="BT288" s="401">
        <v>0</v>
      </c>
      <c r="BU288" s="401">
        <v>0</v>
      </c>
      <c r="BV288" s="401">
        <v>882005</v>
      </c>
      <c r="BW288" s="401">
        <v>0</v>
      </c>
      <c r="BX288" s="401">
        <v>0</v>
      </c>
      <c r="BY288" s="401">
        <v>0</v>
      </c>
      <c r="BZ288" s="401">
        <v>0</v>
      </c>
      <c r="CA288" s="401">
        <v>0</v>
      </c>
      <c r="CB288" s="401">
        <v>0</v>
      </c>
    </row>
    <row r="289" spans="1:80" s="401" customFormat="1" x14ac:dyDescent="0.3">
      <c r="A289" s="1014">
        <v>630</v>
      </c>
      <c r="B289" s="1014"/>
      <c r="C289" s="1010"/>
      <c r="D289" s="1010"/>
      <c r="E289" s="1056"/>
      <c r="F289" s="1056"/>
      <c r="G289" s="1056"/>
      <c r="BC289" s="401">
        <v>0</v>
      </c>
      <c r="BD289" s="401">
        <v>0</v>
      </c>
      <c r="BE289" s="401">
        <v>0</v>
      </c>
      <c r="BF289" s="401">
        <v>0</v>
      </c>
      <c r="BG289" s="401">
        <v>0</v>
      </c>
      <c r="BH289" s="401">
        <v>0</v>
      </c>
      <c r="BI289" s="401">
        <v>0</v>
      </c>
      <c r="BJ289" s="401">
        <v>22090</v>
      </c>
      <c r="BK289" s="401">
        <v>0</v>
      </c>
      <c r="BL289" s="401">
        <v>155</v>
      </c>
      <c r="BM289" s="401">
        <v>97431</v>
      </c>
      <c r="BN289" s="401">
        <v>0</v>
      </c>
      <c r="BO289" s="401">
        <v>7637</v>
      </c>
      <c r="BP289" s="401">
        <v>0</v>
      </c>
      <c r="BQ289" s="401">
        <v>0</v>
      </c>
      <c r="BR289" s="401">
        <v>0</v>
      </c>
      <c r="BS289" s="401">
        <v>33020</v>
      </c>
      <c r="BT289" s="401">
        <v>27755</v>
      </c>
      <c r="BU289" s="401">
        <v>0</v>
      </c>
      <c r="BV289" s="401">
        <v>0</v>
      </c>
      <c r="BW289" s="401">
        <v>0</v>
      </c>
      <c r="BX289" s="401">
        <v>0</v>
      </c>
      <c r="BY289" s="401">
        <v>0</v>
      </c>
      <c r="BZ289" s="401">
        <v>0</v>
      </c>
      <c r="CA289" s="401">
        <v>863078</v>
      </c>
      <c r="CB289" s="401">
        <v>0</v>
      </c>
    </row>
    <row r="290" spans="1:80" s="401" customFormat="1" x14ac:dyDescent="0.3">
      <c r="A290" s="1014">
        <v>631</v>
      </c>
      <c r="B290" s="1014"/>
      <c r="C290" s="1010"/>
      <c r="D290" s="1010"/>
      <c r="E290" s="1057"/>
      <c r="F290" s="1057"/>
      <c r="G290" s="1057"/>
      <c r="BC290" s="401">
        <v>0</v>
      </c>
      <c r="BD290" s="401">
        <v>0</v>
      </c>
      <c r="BE290" s="401">
        <v>0</v>
      </c>
      <c r="BF290" s="401">
        <v>0</v>
      </c>
      <c r="BG290" s="401">
        <v>0</v>
      </c>
      <c r="BH290" s="401">
        <v>0</v>
      </c>
      <c r="BI290" s="401">
        <v>0</v>
      </c>
      <c r="BJ290" s="401">
        <v>0</v>
      </c>
      <c r="BK290" s="401">
        <v>0</v>
      </c>
      <c r="BL290" s="401">
        <v>0</v>
      </c>
      <c r="BM290" s="401">
        <v>0</v>
      </c>
      <c r="BN290" s="401">
        <v>0</v>
      </c>
      <c r="BO290" s="401">
        <v>0</v>
      </c>
      <c r="BP290" s="401">
        <v>0</v>
      </c>
      <c r="BQ290" s="401">
        <v>0</v>
      </c>
      <c r="BR290" s="401">
        <v>0</v>
      </c>
      <c r="BS290" s="401">
        <v>0</v>
      </c>
      <c r="BT290" s="401">
        <v>0</v>
      </c>
      <c r="BU290" s="401">
        <v>0</v>
      </c>
      <c r="BV290" s="401">
        <v>2749874</v>
      </c>
      <c r="BW290" s="401">
        <v>0</v>
      </c>
      <c r="BX290" s="401">
        <v>0</v>
      </c>
      <c r="BY290" s="401">
        <v>0</v>
      </c>
      <c r="BZ290" s="401">
        <v>0</v>
      </c>
      <c r="CA290" s="401">
        <v>0</v>
      </c>
      <c r="CB290" s="401">
        <v>0</v>
      </c>
    </row>
    <row r="291" spans="1:80" s="401" customFormat="1" x14ac:dyDescent="0.3">
      <c r="A291" s="1014">
        <v>632</v>
      </c>
      <c r="B291" s="1014"/>
      <c r="C291" s="1010"/>
      <c r="D291" s="1010"/>
      <c r="E291" s="1058"/>
      <c r="F291" s="1058"/>
      <c r="G291" s="1058"/>
      <c r="BC291" s="401">
        <v>0</v>
      </c>
      <c r="BD291" s="401">
        <v>0</v>
      </c>
      <c r="BE291" s="401">
        <v>0</v>
      </c>
      <c r="BF291" s="401">
        <v>0</v>
      </c>
      <c r="BG291" s="401">
        <v>0</v>
      </c>
      <c r="BH291" s="401">
        <v>0</v>
      </c>
      <c r="BI291" s="401">
        <v>0</v>
      </c>
      <c r="BJ291" s="401">
        <v>0</v>
      </c>
      <c r="BK291" s="401">
        <v>0</v>
      </c>
      <c r="BL291" s="401">
        <v>0</v>
      </c>
      <c r="BM291" s="401">
        <v>0</v>
      </c>
      <c r="BN291" s="401">
        <v>0</v>
      </c>
      <c r="BO291" s="401">
        <v>0</v>
      </c>
      <c r="BP291" s="401">
        <v>0</v>
      </c>
      <c r="BQ291" s="401">
        <v>0</v>
      </c>
      <c r="BR291" s="401">
        <v>0</v>
      </c>
      <c r="BS291" s="401">
        <v>0</v>
      </c>
      <c r="BT291" s="401">
        <v>0</v>
      </c>
      <c r="BU291" s="401">
        <v>0</v>
      </c>
      <c r="BV291" s="401">
        <v>0</v>
      </c>
      <c r="BW291" s="401">
        <v>0</v>
      </c>
      <c r="BX291" s="401">
        <v>0</v>
      </c>
      <c r="BY291" s="401">
        <v>0</v>
      </c>
      <c r="BZ291" s="401">
        <v>0</v>
      </c>
      <c r="CA291" s="401">
        <v>0</v>
      </c>
      <c r="CB291" s="401">
        <v>0</v>
      </c>
    </row>
    <row r="292" spans="1:80" s="401" customFormat="1" x14ac:dyDescent="0.3">
      <c r="A292" s="1014">
        <v>633</v>
      </c>
      <c r="B292" s="1014"/>
      <c r="C292" s="1010"/>
      <c r="D292" s="1010"/>
      <c r="E292" s="1059"/>
      <c r="F292" s="1059"/>
      <c r="G292" s="1059"/>
      <c r="BC292" s="401">
        <v>183333</v>
      </c>
      <c r="BD292" s="401">
        <v>0</v>
      </c>
      <c r="BE292" s="401">
        <v>0</v>
      </c>
      <c r="BF292" s="401">
        <v>1058269</v>
      </c>
      <c r="BG292" s="401">
        <v>0</v>
      </c>
      <c r="BH292" s="401">
        <v>0</v>
      </c>
      <c r="BI292" s="401">
        <v>359701</v>
      </c>
      <c r="BJ292" s="401">
        <v>223939</v>
      </c>
      <c r="BK292" s="401">
        <v>0</v>
      </c>
      <c r="BL292" s="401">
        <v>217836</v>
      </c>
      <c r="BM292" s="401">
        <v>285416</v>
      </c>
      <c r="BN292" s="401">
        <v>0</v>
      </c>
      <c r="BO292" s="401">
        <v>634947</v>
      </c>
      <c r="BP292" s="401">
        <v>226325</v>
      </c>
      <c r="BQ292" s="401">
        <v>63846</v>
      </c>
      <c r="BR292" s="401">
        <v>799399</v>
      </c>
      <c r="BS292" s="401">
        <v>0</v>
      </c>
      <c r="BT292" s="401">
        <v>0</v>
      </c>
      <c r="BU292" s="401">
        <v>121908</v>
      </c>
      <c r="BV292" s="401">
        <v>539022</v>
      </c>
      <c r="BW292" s="401">
        <v>686678</v>
      </c>
      <c r="BX292" s="401">
        <v>596266</v>
      </c>
      <c r="BY292" s="401">
        <v>0</v>
      </c>
      <c r="BZ292" s="401">
        <v>0</v>
      </c>
      <c r="CA292" s="401">
        <v>2053250</v>
      </c>
      <c r="CB292" s="401">
        <v>0</v>
      </c>
    </row>
    <row r="293" spans="1:80" s="401" customFormat="1" x14ac:dyDescent="0.3">
      <c r="A293" s="1014">
        <v>634</v>
      </c>
      <c r="B293" s="1014"/>
      <c r="C293" s="1010"/>
      <c r="D293" s="1010"/>
      <c r="E293" s="1056"/>
      <c r="F293" s="1056"/>
      <c r="G293" s="1056"/>
      <c r="BC293" s="401">
        <v>0</v>
      </c>
      <c r="BD293" s="401">
        <v>0</v>
      </c>
      <c r="BE293" s="401">
        <v>0</v>
      </c>
      <c r="BF293" s="401">
        <v>0</v>
      </c>
      <c r="BG293" s="401">
        <v>0</v>
      </c>
      <c r="BH293" s="401">
        <v>0</v>
      </c>
      <c r="BI293" s="401">
        <v>0</v>
      </c>
      <c r="BJ293" s="401">
        <v>0</v>
      </c>
      <c r="BK293" s="401">
        <v>0</v>
      </c>
      <c r="BL293" s="401">
        <v>0</v>
      </c>
      <c r="BM293" s="401">
        <v>36664</v>
      </c>
      <c r="BN293" s="401">
        <v>0</v>
      </c>
      <c r="BO293" s="401">
        <v>0</v>
      </c>
      <c r="BP293" s="401">
        <v>0</v>
      </c>
      <c r="BQ293" s="401">
        <v>0</v>
      </c>
      <c r="BR293" s="401">
        <v>0</v>
      </c>
      <c r="BS293" s="401">
        <v>0</v>
      </c>
      <c r="BT293" s="401">
        <v>0</v>
      </c>
      <c r="BU293" s="401">
        <v>0</v>
      </c>
      <c r="BV293" s="401">
        <v>0</v>
      </c>
      <c r="BW293" s="401">
        <v>567000</v>
      </c>
      <c r="BX293" s="401">
        <v>0</v>
      </c>
      <c r="BY293" s="401">
        <v>0</v>
      </c>
      <c r="BZ293" s="401">
        <v>0</v>
      </c>
      <c r="CA293" s="401">
        <v>0</v>
      </c>
      <c r="CB293" s="401">
        <v>0</v>
      </c>
    </row>
    <row r="294" spans="1:80" s="401" customFormat="1" x14ac:dyDescent="0.3">
      <c r="A294" s="1014">
        <v>635</v>
      </c>
      <c r="B294" s="1014"/>
      <c r="C294" s="1010"/>
      <c r="D294" s="1010"/>
      <c r="E294" s="1056"/>
      <c r="F294" s="1056"/>
      <c r="G294" s="1056"/>
      <c r="BC294" s="401">
        <v>0</v>
      </c>
      <c r="BD294" s="401">
        <v>0</v>
      </c>
      <c r="BE294" s="401">
        <v>0</v>
      </c>
      <c r="BF294" s="401">
        <v>62376</v>
      </c>
      <c r="BG294" s="401">
        <v>0</v>
      </c>
      <c r="BH294" s="401">
        <v>0</v>
      </c>
      <c r="BI294" s="401">
        <v>0</v>
      </c>
      <c r="BJ294" s="401">
        <v>16822</v>
      </c>
      <c r="BK294" s="401">
        <v>0</v>
      </c>
      <c r="BL294" s="401">
        <v>13059</v>
      </c>
      <c r="BM294" s="401">
        <v>8158</v>
      </c>
      <c r="BN294" s="401">
        <v>0</v>
      </c>
      <c r="BO294" s="401">
        <v>30400</v>
      </c>
      <c r="BP294" s="401">
        <v>11509</v>
      </c>
      <c r="BQ294" s="401">
        <v>3523</v>
      </c>
      <c r="BR294" s="401">
        <v>0</v>
      </c>
      <c r="BS294" s="401">
        <v>0</v>
      </c>
      <c r="BT294" s="401">
        <v>0</v>
      </c>
      <c r="BU294" s="401">
        <v>0</v>
      </c>
      <c r="BV294" s="401">
        <v>50043</v>
      </c>
      <c r="BW294" s="401">
        <v>3000</v>
      </c>
      <c r="BX294" s="401">
        <v>0</v>
      </c>
      <c r="BY294" s="401">
        <v>0</v>
      </c>
      <c r="BZ294" s="401">
        <v>0</v>
      </c>
      <c r="CA294" s="401">
        <v>68558</v>
      </c>
      <c r="CB294" s="401">
        <v>0</v>
      </c>
    </row>
    <row r="295" spans="1:80" s="401" customFormat="1" x14ac:dyDescent="0.3">
      <c r="A295" s="1014">
        <v>636</v>
      </c>
      <c r="B295" s="1014"/>
      <c r="C295" s="1010"/>
      <c r="D295" s="1010"/>
      <c r="E295" s="1010"/>
      <c r="F295" s="1010"/>
      <c r="G295" s="1010"/>
      <c r="BC295" s="401">
        <v>0</v>
      </c>
      <c r="BD295" s="401">
        <v>0</v>
      </c>
      <c r="BE295" s="401">
        <v>0</v>
      </c>
      <c r="BF295" s="401">
        <v>0</v>
      </c>
      <c r="BG295" s="401">
        <v>0</v>
      </c>
      <c r="BH295" s="401">
        <v>0</v>
      </c>
      <c r="BI295" s="401">
        <v>0</v>
      </c>
      <c r="BJ295" s="401">
        <v>0</v>
      </c>
      <c r="BK295" s="401">
        <v>0</v>
      </c>
      <c r="BL295" s="401">
        <v>0</v>
      </c>
      <c r="BM295" s="401">
        <v>0</v>
      </c>
      <c r="BN295" s="401">
        <v>0</v>
      </c>
      <c r="BO295" s="401">
        <v>0</v>
      </c>
      <c r="BP295" s="401">
        <v>0</v>
      </c>
      <c r="BQ295" s="401">
        <v>0</v>
      </c>
      <c r="BR295" s="401">
        <v>0</v>
      </c>
      <c r="BS295" s="401">
        <v>0</v>
      </c>
      <c r="BT295" s="401">
        <v>0</v>
      </c>
      <c r="BU295" s="401">
        <v>0</v>
      </c>
      <c r="BV295" s="401">
        <v>193613</v>
      </c>
      <c r="BW295" s="401">
        <v>0</v>
      </c>
      <c r="BX295" s="401">
        <v>0</v>
      </c>
      <c r="BY295" s="401">
        <v>0</v>
      </c>
      <c r="BZ295" s="401">
        <v>0</v>
      </c>
      <c r="CA295" s="401">
        <v>0</v>
      </c>
      <c r="CB295" s="401">
        <v>0</v>
      </c>
    </row>
    <row r="296" spans="1:80" s="401" customFormat="1" x14ac:dyDescent="0.3">
      <c r="A296" s="1014">
        <v>637</v>
      </c>
      <c r="B296" s="1014"/>
      <c r="C296" s="1010"/>
      <c r="D296" s="1010"/>
      <c r="E296" s="1010"/>
      <c r="F296" s="1010"/>
      <c r="G296" s="1010"/>
      <c r="BC296" s="401">
        <v>0</v>
      </c>
      <c r="BD296" s="401">
        <v>0</v>
      </c>
      <c r="BE296" s="401">
        <v>0</v>
      </c>
      <c r="BF296" s="401">
        <v>40370</v>
      </c>
      <c r="BG296" s="401">
        <v>0</v>
      </c>
      <c r="BH296" s="401">
        <v>0</v>
      </c>
      <c r="BI296" s="401">
        <v>0</v>
      </c>
      <c r="BJ296" s="401">
        <v>0</v>
      </c>
      <c r="BK296" s="401">
        <v>0</v>
      </c>
      <c r="BL296" s="401">
        <v>38980</v>
      </c>
      <c r="BM296" s="401">
        <v>57422</v>
      </c>
      <c r="BN296" s="401">
        <v>0</v>
      </c>
      <c r="BO296" s="401">
        <v>248740</v>
      </c>
      <c r="BP296" s="401">
        <v>0</v>
      </c>
      <c r="BQ296" s="401">
        <v>39450</v>
      </c>
      <c r="BR296" s="401">
        <v>64381</v>
      </c>
      <c r="BS296" s="401">
        <v>0</v>
      </c>
      <c r="BT296" s="401">
        <v>0</v>
      </c>
      <c r="BU296" s="401">
        <v>0</v>
      </c>
      <c r="BV296" s="401">
        <v>0</v>
      </c>
      <c r="BW296" s="401">
        <v>42761</v>
      </c>
      <c r="BX296" s="401">
        <v>26655</v>
      </c>
      <c r="BY296" s="401">
        <v>0</v>
      </c>
      <c r="BZ296" s="401">
        <v>0</v>
      </c>
      <c r="CA296" s="401">
        <v>602881</v>
      </c>
      <c r="CB296" s="401">
        <v>0</v>
      </c>
    </row>
    <row r="297" spans="1:80" s="401" customFormat="1" x14ac:dyDescent="0.3">
      <c r="A297" s="1014">
        <v>638</v>
      </c>
      <c r="B297" s="1014"/>
      <c r="C297" s="1010"/>
      <c r="D297" s="1010"/>
      <c r="E297" s="1010"/>
      <c r="F297" s="1010"/>
      <c r="G297" s="1010"/>
      <c r="BC297" s="401">
        <v>0</v>
      </c>
      <c r="BD297" s="401">
        <v>0</v>
      </c>
      <c r="BE297" s="401">
        <v>0</v>
      </c>
      <c r="BF297" s="401">
        <v>0</v>
      </c>
      <c r="BG297" s="401">
        <v>0</v>
      </c>
      <c r="BH297" s="401">
        <v>0</v>
      </c>
      <c r="BI297" s="401">
        <v>0</v>
      </c>
      <c r="BJ297" s="401">
        <v>0</v>
      </c>
      <c r="BK297" s="401">
        <v>0</v>
      </c>
      <c r="BL297" s="401">
        <v>0</v>
      </c>
      <c r="BM297" s="401">
        <v>0</v>
      </c>
      <c r="BN297" s="401">
        <v>0</v>
      </c>
      <c r="BO297" s="401">
        <v>0</v>
      </c>
      <c r="BP297" s="401">
        <v>0</v>
      </c>
      <c r="BQ297" s="401">
        <v>0</v>
      </c>
      <c r="BR297" s="401">
        <v>0</v>
      </c>
      <c r="BS297" s="401">
        <v>0</v>
      </c>
      <c r="BT297" s="401">
        <v>0</v>
      </c>
      <c r="BU297" s="401">
        <v>0</v>
      </c>
      <c r="BV297" s="401">
        <v>0</v>
      </c>
      <c r="BW297" s="401">
        <v>0</v>
      </c>
      <c r="BX297" s="401">
        <v>0</v>
      </c>
      <c r="BY297" s="401">
        <v>0</v>
      </c>
      <c r="BZ297" s="401">
        <v>0</v>
      </c>
      <c r="CA297" s="401">
        <v>0</v>
      </c>
      <c r="CB297" s="401">
        <v>0</v>
      </c>
    </row>
    <row r="298" spans="1:80" s="401" customFormat="1" ht="28.8" x14ac:dyDescent="0.3">
      <c r="A298" s="1014">
        <v>639</v>
      </c>
      <c r="B298" s="1014">
        <v>639</v>
      </c>
      <c r="C298" s="1010"/>
      <c r="D298" s="1060" t="s">
        <v>675</v>
      </c>
      <c r="E298" s="1028">
        <v>1028369</v>
      </c>
      <c r="F298" s="1029">
        <v>94683000</v>
      </c>
      <c r="G298" s="1029">
        <v>99090000</v>
      </c>
      <c r="BC298" s="401">
        <v>0</v>
      </c>
      <c r="BD298" s="401">
        <v>0</v>
      </c>
      <c r="BE298" s="401">
        <v>0</v>
      </c>
      <c r="BF298" s="401">
        <v>3350688</v>
      </c>
      <c r="BG298" s="401">
        <v>0</v>
      </c>
      <c r="BH298" s="401">
        <v>0</v>
      </c>
      <c r="BI298" s="401">
        <v>0</v>
      </c>
      <c r="BJ298" s="401">
        <v>0</v>
      </c>
      <c r="BK298" s="401">
        <v>0</v>
      </c>
      <c r="BL298" s="401">
        <v>192475</v>
      </c>
      <c r="BM298" s="401">
        <v>0</v>
      </c>
      <c r="BN298" s="401">
        <v>0</v>
      </c>
      <c r="BO298" s="401">
        <v>0</v>
      </c>
      <c r="BP298" s="401">
        <v>0</v>
      </c>
      <c r="BQ298" s="401">
        <v>0</v>
      </c>
      <c r="BR298" s="401">
        <v>0</v>
      </c>
      <c r="BS298" s="401">
        <v>0</v>
      </c>
      <c r="BT298" s="401">
        <v>0</v>
      </c>
      <c r="BU298" s="401">
        <v>0</v>
      </c>
      <c r="BV298" s="401">
        <v>0</v>
      </c>
      <c r="BW298" s="401">
        <v>0</v>
      </c>
      <c r="BX298" s="401">
        <v>0</v>
      </c>
      <c r="BY298" s="401">
        <v>0</v>
      </c>
      <c r="BZ298" s="401">
        <v>0</v>
      </c>
      <c r="CA298" s="401">
        <v>0</v>
      </c>
      <c r="CB298" s="401">
        <v>0</v>
      </c>
    </row>
    <row r="299" spans="1:80" s="401" customFormat="1" ht="28.8" x14ac:dyDescent="0.3">
      <c r="A299" s="1014">
        <v>640</v>
      </c>
      <c r="B299" s="1014">
        <v>640</v>
      </c>
      <c r="C299" s="1010"/>
      <c r="D299" s="1060" t="s">
        <v>676</v>
      </c>
      <c r="E299" s="1028" t="s">
        <v>1682</v>
      </c>
      <c r="F299" s="1029">
        <v>42300000</v>
      </c>
      <c r="G299" s="1029">
        <v>49265000</v>
      </c>
      <c r="BC299" s="401">
        <v>0</v>
      </c>
      <c r="BD299" s="401">
        <v>0</v>
      </c>
      <c r="BE299" s="401">
        <v>0</v>
      </c>
      <c r="BF299" s="401">
        <v>0</v>
      </c>
      <c r="BG299" s="401">
        <v>0</v>
      </c>
      <c r="BH299" s="401">
        <v>0</v>
      </c>
      <c r="BI299" s="401">
        <v>0</v>
      </c>
      <c r="BJ299" s="401">
        <v>0</v>
      </c>
      <c r="BK299" s="401">
        <v>0</v>
      </c>
      <c r="BL299" s="401">
        <v>0</v>
      </c>
      <c r="BM299" s="401">
        <v>0</v>
      </c>
      <c r="BN299" s="401">
        <v>0</v>
      </c>
      <c r="BO299" s="401">
        <v>0</v>
      </c>
      <c r="BP299" s="401">
        <v>0</v>
      </c>
      <c r="BQ299" s="401">
        <v>0</v>
      </c>
      <c r="BR299" s="401">
        <v>0</v>
      </c>
      <c r="BS299" s="401">
        <v>0</v>
      </c>
      <c r="BT299" s="401">
        <v>0</v>
      </c>
      <c r="BU299" s="401">
        <v>0</v>
      </c>
      <c r="BV299" s="401">
        <v>0</v>
      </c>
      <c r="BW299" s="401">
        <v>0</v>
      </c>
      <c r="BX299" s="401">
        <v>0</v>
      </c>
      <c r="BY299" s="401">
        <v>0</v>
      </c>
      <c r="BZ299" s="401">
        <v>0</v>
      </c>
      <c r="CA299" s="401">
        <v>0</v>
      </c>
      <c r="CB299" s="401">
        <v>0</v>
      </c>
    </row>
    <row r="300" spans="1:80" s="401" customFormat="1" ht="28.8" x14ac:dyDescent="0.3">
      <c r="A300" s="1014">
        <v>641</v>
      </c>
      <c r="B300" s="1014">
        <v>641</v>
      </c>
      <c r="C300" s="1010"/>
      <c r="D300" s="1060" t="s">
        <v>677</v>
      </c>
      <c r="E300" s="1028" t="s">
        <v>1682</v>
      </c>
      <c r="F300" s="1029" t="s">
        <v>1683</v>
      </c>
      <c r="G300" s="1029" t="s">
        <v>1684</v>
      </c>
      <c r="BC300" s="401">
        <v>0</v>
      </c>
      <c r="BD300" s="401">
        <v>0</v>
      </c>
      <c r="BE300" s="401">
        <v>0</v>
      </c>
      <c r="BF300" s="401">
        <v>0</v>
      </c>
      <c r="BG300" s="401">
        <v>0</v>
      </c>
      <c r="BH300" s="401">
        <v>0</v>
      </c>
      <c r="BI300" s="401">
        <v>0</v>
      </c>
      <c r="BJ300" s="401">
        <v>0</v>
      </c>
      <c r="BK300" s="401">
        <v>0</v>
      </c>
      <c r="BL300" s="401">
        <v>5319</v>
      </c>
      <c r="BM300" s="401">
        <v>0</v>
      </c>
      <c r="BN300" s="401">
        <v>0</v>
      </c>
      <c r="BO300" s="401">
        <v>0</v>
      </c>
      <c r="BP300" s="401">
        <v>0</v>
      </c>
      <c r="BQ300" s="401">
        <v>0</v>
      </c>
      <c r="BR300" s="401">
        <v>0</v>
      </c>
      <c r="BS300" s="401">
        <v>0</v>
      </c>
      <c r="BT300" s="401">
        <v>0</v>
      </c>
      <c r="BU300" s="401">
        <v>0</v>
      </c>
      <c r="BV300" s="401">
        <v>0</v>
      </c>
      <c r="BW300" s="401">
        <v>0</v>
      </c>
      <c r="BX300" s="401">
        <v>0</v>
      </c>
      <c r="BY300" s="401">
        <v>0</v>
      </c>
      <c r="BZ300" s="401">
        <v>0</v>
      </c>
      <c r="CA300" s="401">
        <v>0</v>
      </c>
      <c r="CB300" s="401">
        <v>0</v>
      </c>
    </row>
    <row r="301" spans="1:80" s="401" customFormat="1" ht="28.8" x14ac:dyDescent="0.3">
      <c r="A301" s="1014">
        <v>642</v>
      </c>
      <c r="B301" s="1014">
        <v>642</v>
      </c>
      <c r="C301" s="1010"/>
      <c r="D301" s="1060" t="s">
        <v>678</v>
      </c>
      <c r="E301" s="1028" t="s">
        <v>1682</v>
      </c>
      <c r="F301" s="1029" t="s">
        <v>1683</v>
      </c>
      <c r="G301" s="1029" t="s">
        <v>1684</v>
      </c>
      <c r="BC301" s="401">
        <v>0</v>
      </c>
      <c r="BD301" s="401">
        <v>0</v>
      </c>
      <c r="BE301" s="401">
        <v>0</v>
      </c>
      <c r="BF301" s="401">
        <v>0</v>
      </c>
      <c r="BG301" s="401">
        <v>0</v>
      </c>
      <c r="BH301" s="401">
        <v>0</v>
      </c>
      <c r="BI301" s="401">
        <v>0</v>
      </c>
      <c r="BJ301" s="401">
        <v>0</v>
      </c>
      <c r="BK301" s="401">
        <v>0</v>
      </c>
      <c r="BL301" s="401">
        <v>0</v>
      </c>
      <c r="BM301" s="401">
        <v>0</v>
      </c>
      <c r="BN301" s="401">
        <v>0</v>
      </c>
      <c r="BO301" s="401">
        <v>0</v>
      </c>
      <c r="BP301" s="401">
        <v>0</v>
      </c>
      <c r="BQ301" s="401">
        <v>0</v>
      </c>
      <c r="BR301" s="401">
        <v>0</v>
      </c>
      <c r="BS301" s="401">
        <v>0</v>
      </c>
      <c r="BT301" s="401">
        <v>0</v>
      </c>
      <c r="BU301" s="401">
        <v>0</v>
      </c>
      <c r="BV301" s="401">
        <v>0</v>
      </c>
      <c r="BW301" s="401">
        <v>0</v>
      </c>
      <c r="BX301" s="401">
        <v>0</v>
      </c>
      <c r="BY301" s="401">
        <v>0</v>
      </c>
      <c r="BZ301" s="401">
        <v>0</v>
      </c>
      <c r="CA301" s="401">
        <v>0</v>
      </c>
      <c r="CB301" s="401">
        <v>0</v>
      </c>
    </row>
    <row r="302" spans="1:80" s="401" customFormat="1" ht="28.8" x14ac:dyDescent="0.3">
      <c r="A302" s="1014">
        <v>643</v>
      </c>
      <c r="B302" s="1014">
        <v>643</v>
      </c>
      <c r="C302" s="1010"/>
      <c r="D302" s="1060" t="s">
        <v>679</v>
      </c>
      <c r="E302" s="1028" t="s">
        <v>1682</v>
      </c>
      <c r="F302" s="1029" t="s">
        <v>1683</v>
      </c>
      <c r="G302" s="1029" t="s">
        <v>1684</v>
      </c>
      <c r="BC302" s="401">
        <v>0</v>
      </c>
      <c r="BD302" s="401">
        <v>0</v>
      </c>
      <c r="BE302" s="401">
        <v>0</v>
      </c>
      <c r="BF302" s="401">
        <v>1300338</v>
      </c>
      <c r="BG302" s="401">
        <v>0</v>
      </c>
      <c r="BH302" s="401">
        <v>0</v>
      </c>
      <c r="BI302" s="401">
        <v>0</v>
      </c>
      <c r="BJ302" s="401">
        <v>0</v>
      </c>
      <c r="BK302" s="401">
        <v>0</v>
      </c>
      <c r="BL302" s="401">
        <v>126513</v>
      </c>
      <c r="BM302" s="401">
        <v>0</v>
      </c>
      <c r="BN302" s="401">
        <v>0</v>
      </c>
      <c r="BO302" s="401">
        <v>0</v>
      </c>
      <c r="BP302" s="401">
        <v>0</v>
      </c>
      <c r="BQ302" s="401">
        <v>0</v>
      </c>
      <c r="BR302" s="401">
        <v>0</v>
      </c>
      <c r="BS302" s="401">
        <v>0</v>
      </c>
      <c r="BT302" s="401">
        <v>0</v>
      </c>
      <c r="BU302" s="401">
        <v>0</v>
      </c>
      <c r="BV302" s="401">
        <v>0</v>
      </c>
      <c r="BW302" s="401">
        <v>0</v>
      </c>
      <c r="BX302" s="401">
        <v>0</v>
      </c>
      <c r="BY302" s="401">
        <v>0</v>
      </c>
      <c r="BZ302" s="401">
        <v>0</v>
      </c>
      <c r="CA302" s="401">
        <v>0</v>
      </c>
      <c r="CB302" s="401">
        <v>0</v>
      </c>
    </row>
    <row r="303" spans="1:80" s="401" customFormat="1" x14ac:dyDescent="0.3">
      <c r="A303" s="1014">
        <v>644</v>
      </c>
      <c r="B303" s="1014">
        <v>644</v>
      </c>
      <c r="C303" s="1010"/>
      <c r="D303" s="1060" t="s">
        <v>680</v>
      </c>
      <c r="E303" s="1028" t="s">
        <v>1682</v>
      </c>
      <c r="F303" s="1029" t="s">
        <v>1683</v>
      </c>
      <c r="G303" s="1029" t="s">
        <v>1684</v>
      </c>
      <c r="BC303" s="401">
        <v>0</v>
      </c>
      <c r="BD303" s="401">
        <v>0</v>
      </c>
      <c r="BE303" s="401">
        <v>0</v>
      </c>
      <c r="BF303" s="401">
        <v>0</v>
      </c>
      <c r="BG303" s="401">
        <v>0</v>
      </c>
      <c r="BH303" s="401">
        <v>0</v>
      </c>
      <c r="BI303" s="401">
        <v>0</v>
      </c>
      <c r="BJ303" s="401">
        <v>0</v>
      </c>
      <c r="BK303" s="401">
        <v>0</v>
      </c>
      <c r="BL303" s="401">
        <v>0</v>
      </c>
      <c r="BM303" s="401">
        <v>0</v>
      </c>
      <c r="BN303" s="401">
        <v>0</v>
      </c>
      <c r="BO303" s="401">
        <v>0</v>
      </c>
      <c r="BP303" s="401">
        <v>0</v>
      </c>
      <c r="BQ303" s="401">
        <v>0</v>
      </c>
      <c r="BR303" s="401">
        <v>0</v>
      </c>
      <c r="BS303" s="401">
        <v>0</v>
      </c>
      <c r="BT303" s="401">
        <v>0</v>
      </c>
      <c r="BU303" s="401">
        <v>0</v>
      </c>
      <c r="BV303" s="401">
        <v>0</v>
      </c>
      <c r="BW303" s="401">
        <v>0</v>
      </c>
      <c r="BX303" s="401">
        <v>0</v>
      </c>
      <c r="BY303" s="401">
        <v>0</v>
      </c>
      <c r="BZ303" s="401">
        <v>0</v>
      </c>
      <c r="CA303" s="401">
        <v>0</v>
      </c>
      <c r="CB303" s="401">
        <v>0</v>
      </c>
    </row>
    <row r="304" spans="1:80" s="401" customFormat="1" x14ac:dyDescent="0.3">
      <c r="A304" s="1014">
        <v>645</v>
      </c>
      <c r="B304" s="1010"/>
      <c r="C304" s="1010"/>
      <c r="D304" s="1010"/>
      <c r="E304" s="1028"/>
      <c r="F304" s="1029"/>
      <c r="G304" s="1029"/>
      <c r="BC304" s="401">
        <v>0</v>
      </c>
      <c r="BD304" s="401">
        <v>0</v>
      </c>
      <c r="BE304" s="401">
        <v>41335</v>
      </c>
      <c r="BF304" s="401">
        <v>2046175</v>
      </c>
      <c r="BG304" s="401">
        <v>0</v>
      </c>
      <c r="BH304" s="401">
        <v>0</v>
      </c>
      <c r="BI304" s="401">
        <v>38000</v>
      </c>
      <c r="BJ304" s="401">
        <v>72552</v>
      </c>
      <c r="BK304" s="401">
        <v>0</v>
      </c>
      <c r="BL304" s="401">
        <v>0</v>
      </c>
      <c r="BM304" s="401">
        <v>0</v>
      </c>
      <c r="BN304" s="401">
        <v>0</v>
      </c>
      <c r="BO304" s="401">
        <v>12534</v>
      </c>
      <c r="BP304" s="401">
        <v>125000</v>
      </c>
      <c r="BQ304" s="401">
        <v>510362</v>
      </c>
      <c r="BR304" s="401">
        <v>297313</v>
      </c>
      <c r="BS304" s="401">
        <v>796914</v>
      </c>
      <c r="BT304" s="401">
        <v>1159334</v>
      </c>
      <c r="BU304" s="401">
        <v>424000</v>
      </c>
      <c r="BV304" s="401">
        <v>0</v>
      </c>
      <c r="BW304" s="401">
        <v>0</v>
      </c>
      <c r="BX304" s="401">
        <v>0</v>
      </c>
      <c r="BY304" s="401">
        <v>0</v>
      </c>
      <c r="BZ304" s="401">
        <v>20000</v>
      </c>
      <c r="CA304" s="401">
        <v>1823718</v>
      </c>
      <c r="CB304" s="401">
        <v>0</v>
      </c>
    </row>
    <row r="305" spans="1:80" s="401" customFormat="1" x14ac:dyDescent="0.3">
      <c r="A305" s="1014">
        <v>646</v>
      </c>
      <c r="B305" s="1010"/>
      <c r="C305" s="1010"/>
      <c r="D305" s="1010"/>
      <c r="E305" s="1028"/>
      <c r="F305" s="1029"/>
      <c r="G305" s="1029"/>
      <c r="BC305" s="401">
        <v>1275706</v>
      </c>
      <c r="BD305" s="401">
        <v>0</v>
      </c>
      <c r="BE305" s="401">
        <v>339209</v>
      </c>
      <c r="BF305" s="401">
        <v>534450</v>
      </c>
      <c r="BG305" s="401">
        <v>0</v>
      </c>
      <c r="BH305" s="401">
        <v>0</v>
      </c>
      <c r="BI305" s="401">
        <v>2658780</v>
      </c>
      <c r="BJ305" s="401">
        <v>3020048</v>
      </c>
      <c r="BK305" s="401">
        <v>0</v>
      </c>
      <c r="BL305" s="401">
        <v>2220366</v>
      </c>
      <c r="BM305" s="401">
        <v>4615680</v>
      </c>
      <c r="BN305" s="401">
        <v>0</v>
      </c>
      <c r="BO305" s="401">
        <v>3063843</v>
      </c>
      <c r="BP305" s="401">
        <v>3228718</v>
      </c>
      <c r="BQ305" s="401">
        <v>949757</v>
      </c>
      <c r="BR305" s="401">
        <v>2228673</v>
      </c>
      <c r="BS305" s="401">
        <v>1095473</v>
      </c>
      <c r="BT305" s="401">
        <v>7320281</v>
      </c>
      <c r="BU305" s="401">
        <v>1683484</v>
      </c>
      <c r="BV305" s="401">
        <v>1472029</v>
      </c>
      <c r="BW305" s="401">
        <v>400799</v>
      </c>
      <c r="BX305" s="401">
        <v>761324</v>
      </c>
      <c r="BY305" s="401">
        <v>165153</v>
      </c>
      <c r="BZ305" s="401">
        <v>172770</v>
      </c>
      <c r="CA305" s="401">
        <v>10427779</v>
      </c>
      <c r="CB305" s="401">
        <v>94313</v>
      </c>
    </row>
    <row r="306" spans="1:80" s="401" customFormat="1" x14ac:dyDescent="0.3">
      <c r="A306" s="1014">
        <v>647</v>
      </c>
      <c r="B306" s="1010"/>
      <c r="C306" s="1010"/>
      <c r="D306" s="1010"/>
      <c r="E306" s="1028"/>
      <c r="F306" s="1029"/>
      <c r="G306" s="1029"/>
      <c r="BC306" s="401">
        <v>0</v>
      </c>
      <c r="BD306" s="401">
        <v>0</v>
      </c>
      <c r="BE306" s="401">
        <v>0</v>
      </c>
      <c r="BF306" s="401">
        <v>0</v>
      </c>
      <c r="BG306" s="401">
        <v>0</v>
      </c>
      <c r="BH306" s="401">
        <v>0</v>
      </c>
      <c r="BI306" s="401">
        <v>0</v>
      </c>
      <c r="BJ306" s="401">
        <v>0</v>
      </c>
      <c r="BK306" s="401">
        <v>0</v>
      </c>
      <c r="BL306" s="401">
        <v>0</v>
      </c>
      <c r="BM306" s="401">
        <v>0</v>
      </c>
      <c r="BN306" s="401">
        <v>0</v>
      </c>
      <c r="BO306" s="401">
        <v>0</v>
      </c>
      <c r="BP306" s="401">
        <v>0</v>
      </c>
      <c r="BQ306" s="401">
        <v>0</v>
      </c>
      <c r="BR306" s="401">
        <v>0</v>
      </c>
      <c r="BS306" s="401">
        <v>0</v>
      </c>
      <c r="BT306" s="401">
        <v>0</v>
      </c>
      <c r="BU306" s="401">
        <v>0</v>
      </c>
      <c r="BV306" s="401">
        <v>0</v>
      </c>
      <c r="BW306" s="401">
        <v>0</v>
      </c>
      <c r="BX306" s="401">
        <v>0</v>
      </c>
      <c r="BY306" s="401">
        <v>0</v>
      </c>
      <c r="BZ306" s="401">
        <v>0</v>
      </c>
      <c r="CA306" s="401">
        <v>0</v>
      </c>
      <c r="CB306" s="401">
        <v>0</v>
      </c>
    </row>
    <row r="307" spans="1:80" s="401" customFormat="1" x14ac:dyDescent="0.3">
      <c r="A307" s="1014">
        <v>654</v>
      </c>
      <c r="B307" s="1010"/>
      <c r="C307" s="1010"/>
      <c r="D307" s="1010"/>
      <c r="E307" s="1028"/>
      <c r="F307" s="1029"/>
      <c r="G307" s="1029"/>
      <c r="BC307" s="401">
        <v>827367</v>
      </c>
      <c r="BD307" s="401">
        <v>0</v>
      </c>
      <c r="BE307" s="401">
        <v>0</v>
      </c>
      <c r="BF307" s="401">
        <v>6031181</v>
      </c>
      <c r="BG307" s="401">
        <v>0</v>
      </c>
      <c r="BH307" s="401">
        <v>0</v>
      </c>
      <c r="BI307" s="401">
        <v>939408</v>
      </c>
      <c r="BJ307" s="401">
        <v>2086026</v>
      </c>
      <c r="BK307" s="401">
        <v>0</v>
      </c>
      <c r="BL307" s="401">
        <v>5097090</v>
      </c>
      <c r="BM307" s="401">
        <v>3221981</v>
      </c>
      <c r="BN307" s="401">
        <v>0</v>
      </c>
      <c r="BO307" s="401">
        <v>2575415</v>
      </c>
      <c r="BP307" s="401">
        <v>4090262</v>
      </c>
      <c r="BQ307" s="401">
        <v>1114058</v>
      </c>
      <c r="BR307" s="401">
        <v>1954421</v>
      </c>
      <c r="BS307" s="401">
        <v>0</v>
      </c>
      <c r="BT307" s="401">
        <v>0</v>
      </c>
      <c r="BU307" s="401">
        <v>1286428</v>
      </c>
      <c r="BV307" s="401">
        <v>2231693</v>
      </c>
      <c r="BW307" s="401">
        <v>326523</v>
      </c>
      <c r="BX307" s="401">
        <v>1509425</v>
      </c>
      <c r="BY307" s="401">
        <v>0</v>
      </c>
      <c r="BZ307" s="401">
        <v>0</v>
      </c>
      <c r="CA307" s="401">
        <v>9996425</v>
      </c>
      <c r="CB307" s="401">
        <v>0</v>
      </c>
    </row>
    <row r="308" spans="1:80" s="401" customFormat="1" x14ac:dyDescent="0.3">
      <c r="A308" s="1014">
        <v>655</v>
      </c>
      <c r="B308" s="1010"/>
      <c r="C308" s="1010"/>
      <c r="D308" s="1010"/>
      <c r="E308" s="1028"/>
      <c r="F308" s="1029"/>
      <c r="G308" s="1029"/>
      <c r="BC308" s="401">
        <v>89518</v>
      </c>
      <c r="BD308" s="401">
        <v>0</v>
      </c>
      <c r="BE308" s="401">
        <v>0</v>
      </c>
      <c r="BF308" s="401">
        <v>40370</v>
      </c>
      <c r="BG308" s="401">
        <v>0</v>
      </c>
      <c r="BH308" s="401">
        <v>0</v>
      </c>
      <c r="BI308" s="401">
        <v>41630</v>
      </c>
      <c r="BJ308" s="401">
        <v>0</v>
      </c>
      <c r="BK308" s="401">
        <v>0</v>
      </c>
      <c r="BL308" s="401">
        <v>38980</v>
      </c>
      <c r="BM308" s="401">
        <v>183172</v>
      </c>
      <c r="BN308" s="401">
        <v>0</v>
      </c>
      <c r="BO308" s="401">
        <v>248740</v>
      </c>
      <c r="BP308" s="401">
        <v>320529</v>
      </c>
      <c r="BQ308" s="401">
        <v>39450</v>
      </c>
      <c r="BR308" s="401">
        <v>64381</v>
      </c>
      <c r="BS308" s="401">
        <v>0</v>
      </c>
      <c r="BT308" s="401">
        <v>0</v>
      </c>
      <c r="BU308" s="401">
        <v>0</v>
      </c>
      <c r="BV308" s="401">
        <v>0</v>
      </c>
      <c r="BW308" s="401">
        <v>42761</v>
      </c>
      <c r="BX308" s="401">
        <v>26655</v>
      </c>
      <c r="BY308" s="401">
        <v>0</v>
      </c>
      <c r="BZ308" s="401">
        <v>0</v>
      </c>
      <c r="CA308" s="401">
        <v>1573791</v>
      </c>
      <c r="CB308" s="401">
        <v>0</v>
      </c>
    </row>
    <row r="309" spans="1:80" s="401" customFormat="1" x14ac:dyDescent="0.3">
      <c r="A309" s="1014">
        <v>656</v>
      </c>
      <c r="B309" s="1010"/>
      <c r="C309" s="1010"/>
      <c r="D309" s="1010"/>
      <c r="E309" s="1028"/>
      <c r="F309" s="1029"/>
      <c r="G309" s="1029"/>
      <c r="BC309" s="401">
        <v>0</v>
      </c>
      <c r="BD309" s="401">
        <v>0</v>
      </c>
      <c r="BE309" s="401">
        <v>2</v>
      </c>
      <c r="BF309" s="401">
        <v>0</v>
      </c>
      <c r="BG309" s="401">
        <v>0</v>
      </c>
      <c r="BH309" s="401">
        <v>0</v>
      </c>
      <c r="BI309" s="401">
        <v>0</v>
      </c>
      <c r="BJ309" s="401">
        <v>0</v>
      </c>
      <c r="BK309" s="401">
        <v>0</v>
      </c>
      <c r="BL309" s="401">
        <v>2</v>
      </c>
      <c r="BM309" s="401">
        <v>2</v>
      </c>
      <c r="BN309" s="401">
        <v>2</v>
      </c>
      <c r="BO309" s="401">
        <v>2</v>
      </c>
      <c r="BP309" s="401">
        <v>2</v>
      </c>
      <c r="BQ309" s="401">
        <v>2</v>
      </c>
      <c r="BR309" s="401">
        <v>2</v>
      </c>
      <c r="BS309" s="401">
        <v>2</v>
      </c>
      <c r="BT309" s="401">
        <v>2</v>
      </c>
      <c r="BU309" s="401">
        <v>0</v>
      </c>
      <c r="BV309" s="401">
        <v>2</v>
      </c>
      <c r="BW309" s="401">
        <v>2</v>
      </c>
      <c r="BX309" s="401">
        <v>2</v>
      </c>
      <c r="BY309" s="401">
        <v>2</v>
      </c>
      <c r="BZ309" s="401">
        <v>0</v>
      </c>
      <c r="CA309" s="401">
        <v>2</v>
      </c>
      <c r="CB309" s="401">
        <v>2</v>
      </c>
    </row>
    <row r="310" spans="1:80" s="401" customFormat="1" ht="43.2" x14ac:dyDescent="0.3">
      <c r="A310" s="1014">
        <v>657</v>
      </c>
      <c r="B310" s="1014">
        <v>657</v>
      </c>
      <c r="C310" s="1010"/>
      <c r="D310" s="1060" t="s">
        <v>741</v>
      </c>
      <c r="E310" s="1028">
        <v>3084157</v>
      </c>
      <c r="F310" s="1029">
        <v>168096000</v>
      </c>
      <c r="G310" s="1029">
        <v>493980000</v>
      </c>
      <c r="BC310" s="401">
        <v>0</v>
      </c>
      <c r="BD310" s="401">
        <v>0</v>
      </c>
      <c r="BE310" s="401">
        <v>0</v>
      </c>
      <c r="BF310" s="401">
        <v>14755146</v>
      </c>
      <c r="BG310" s="401">
        <v>0</v>
      </c>
      <c r="BH310" s="401">
        <v>0</v>
      </c>
      <c r="BI310" s="401">
        <v>0</v>
      </c>
      <c r="BJ310" s="401">
        <v>0</v>
      </c>
      <c r="BK310" s="401">
        <v>0</v>
      </c>
      <c r="BL310" s="401">
        <v>3572360</v>
      </c>
      <c r="BM310" s="401">
        <v>0</v>
      </c>
      <c r="BN310" s="401">
        <v>0</v>
      </c>
      <c r="BO310" s="401">
        <v>0</v>
      </c>
      <c r="BP310" s="401">
        <v>0</v>
      </c>
      <c r="BQ310" s="401">
        <v>0</v>
      </c>
      <c r="BR310" s="401">
        <v>0</v>
      </c>
      <c r="BS310" s="401">
        <v>0</v>
      </c>
      <c r="BT310" s="401">
        <v>0</v>
      </c>
      <c r="BU310" s="401">
        <v>0</v>
      </c>
      <c r="BV310" s="401">
        <v>0</v>
      </c>
      <c r="BW310" s="401">
        <v>0</v>
      </c>
      <c r="BX310" s="401">
        <v>0</v>
      </c>
      <c r="BY310" s="401">
        <v>0</v>
      </c>
      <c r="BZ310" s="401">
        <v>0</v>
      </c>
      <c r="CA310" s="401">
        <v>0</v>
      </c>
      <c r="CB310" s="401">
        <v>0</v>
      </c>
    </row>
    <row r="311" spans="1:80" s="401" customFormat="1" x14ac:dyDescent="0.3">
      <c r="A311" s="1014">
        <v>658</v>
      </c>
      <c r="B311" s="1014">
        <v>658</v>
      </c>
      <c r="C311" s="1010"/>
      <c r="D311" s="1010" t="s">
        <v>807</v>
      </c>
      <c r="E311" s="1028" t="s">
        <v>1682</v>
      </c>
      <c r="F311" s="1029" t="s">
        <v>1683</v>
      </c>
      <c r="G311" s="1029" t="s">
        <v>1684</v>
      </c>
      <c r="BC311" s="401">
        <v>0</v>
      </c>
      <c r="BD311" s="401">
        <v>0</v>
      </c>
      <c r="BE311" s="401">
        <v>0</v>
      </c>
      <c r="BF311" s="401">
        <v>1300338</v>
      </c>
      <c r="BG311" s="401">
        <v>0</v>
      </c>
      <c r="BH311" s="401">
        <v>0</v>
      </c>
      <c r="BI311" s="401">
        <v>0</v>
      </c>
      <c r="BJ311" s="401">
        <v>0</v>
      </c>
      <c r="BK311" s="401">
        <v>0</v>
      </c>
      <c r="BL311" s="401">
        <v>126513</v>
      </c>
      <c r="BM311" s="401">
        <v>0</v>
      </c>
      <c r="BN311" s="401">
        <v>0</v>
      </c>
      <c r="BO311" s="401">
        <v>0</v>
      </c>
      <c r="BP311" s="401">
        <v>0</v>
      </c>
      <c r="BQ311" s="401">
        <v>0</v>
      </c>
      <c r="BR311" s="401">
        <v>0</v>
      </c>
      <c r="BS311" s="401">
        <v>0</v>
      </c>
      <c r="BT311" s="401">
        <v>0</v>
      </c>
      <c r="BU311" s="401">
        <v>0</v>
      </c>
      <c r="BV311" s="401">
        <v>0</v>
      </c>
      <c r="BW311" s="401">
        <v>0</v>
      </c>
      <c r="BX311" s="401">
        <v>0</v>
      </c>
      <c r="BY311" s="401">
        <v>0</v>
      </c>
      <c r="BZ311" s="401">
        <v>0</v>
      </c>
      <c r="CA311" s="401">
        <v>0</v>
      </c>
      <c r="CB311" s="401">
        <v>0</v>
      </c>
    </row>
    <row r="312" spans="1:80" s="401" customFormat="1" ht="28.8" x14ac:dyDescent="0.3">
      <c r="A312" s="1014">
        <v>659</v>
      </c>
      <c r="B312" s="1014">
        <v>659</v>
      </c>
      <c r="C312" s="1010"/>
      <c r="D312" s="1060" t="s">
        <v>739</v>
      </c>
      <c r="E312" s="1028" t="s">
        <v>1682</v>
      </c>
      <c r="F312" s="1029" t="s">
        <v>1683</v>
      </c>
      <c r="G312" s="1029" t="s">
        <v>1684</v>
      </c>
      <c r="BC312" s="401">
        <v>369689</v>
      </c>
      <c r="BD312" s="401">
        <v>0</v>
      </c>
      <c r="BE312" s="401">
        <v>0</v>
      </c>
      <c r="BF312" s="401">
        <v>39181436</v>
      </c>
      <c r="BG312" s="401">
        <v>0</v>
      </c>
      <c r="BH312" s="401">
        <v>0</v>
      </c>
      <c r="BI312" s="401">
        <v>4232643</v>
      </c>
      <c r="BJ312" s="401">
        <v>208129</v>
      </c>
      <c r="BK312" s="401">
        <v>0</v>
      </c>
      <c r="BL312" s="401">
        <v>504375</v>
      </c>
      <c r="BM312" s="401">
        <v>1823461</v>
      </c>
      <c r="BN312" s="401">
        <v>0</v>
      </c>
      <c r="BO312" s="401">
        <v>104185</v>
      </c>
      <c r="BP312" s="401">
        <v>0</v>
      </c>
      <c r="BQ312" s="401">
        <v>0</v>
      </c>
      <c r="BR312" s="401">
        <v>0</v>
      </c>
      <c r="BS312" s="401">
        <v>0</v>
      </c>
      <c r="BT312" s="401">
        <v>0</v>
      </c>
      <c r="BU312" s="401">
        <v>0</v>
      </c>
      <c r="BV312" s="401">
        <v>4772429</v>
      </c>
      <c r="BW312" s="401">
        <v>0</v>
      </c>
      <c r="BX312" s="401">
        <v>0</v>
      </c>
      <c r="BY312" s="401">
        <v>0</v>
      </c>
      <c r="BZ312" s="401">
        <v>0</v>
      </c>
      <c r="CA312" s="401">
        <v>7870810</v>
      </c>
      <c r="CB312" s="401">
        <v>0</v>
      </c>
    </row>
    <row r="313" spans="1:80" s="401" customFormat="1" ht="43.2" x14ac:dyDescent="0.3">
      <c r="A313" s="1014">
        <v>660</v>
      </c>
      <c r="B313" s="1014">
        <v>660</v>
      </c>
      <c r="C313" s="1010"/>
      <c r="D313" s="1060" t="s">
        <v>740</v>
      </c>
      <c r="E313" s="1028" t="s">
        <v>1682</v>
      </c>
      <c r="F313" s="1029" t="s">
        <v>1683</v>
      </c>
      <c r="G313" s="1029" t="s">
        <v>1684</v>
      </c>
      <c r="BC313" s="401">
        <v>0</v>
      </c>
      <c r="BD313" s="401">
        <v>0</v>
      </c>
      <c r="BE313" s="401">
        <v>0</v>
      </c>
      <c r="BF313" s="401">
        <v>0</v>
      </c>
      <c r="BG313" s="401">
        <v>0</v>
      </c>
      <c r="BH313" s="401">
        <v>0</v>
      </c>
      <c r="BI313" s="401">
        <v>0</v>
      </c>
      <c r="BJ313" s="401">
        <v>0</v>
      </c>
      <c r="BK313" s="401">
        <v>0</v>
      </c>
      <c r="BL313" s="401">
        <v>0</v>
      </c>
      <c r="BM313" s="401">
        <v>0</v>
      </c>
      <c r="BN313" s="401">
        <v>0</v>
      </c>
      <c r="BO313" s="401">
        <v>0</v>
      </c>
      <c r="BP313" s="401">
        <v>0</v>
      </c>
      <c r="BQ313" s="401">
        <v>0</v>
      </c>
      <c r="BR313" s="401">
        <v>0</v>
      </c>
      <c r="BS313" s="401">
        <v>0</v>
      </c>
      <c r="BT313" s="401">
        <v>0</v>
      </c>
      <c r="BU313" s="401">
        <v>0</v>
      </c>
      <c r="BV313" s="401">
        <v>0</v>
      </c>
      <c r="BW313" s="401">
        <v>0</v>
      </c>
      <c r="BX313" s="401">
        <v>0</v>
      </c>
      <c r="BY313" s="401">
        <v>0</v>
      </c>
      <c r="BZ313" s="401">
        <v>0</v>
      </c>
      <c r="CA313" s="401">
        <v>0</v>
      </c>
      <c r="CB313" s="401">
        <v>0</v>
      </c>
    </row>
    <row r="314" spans="1:80" s="401" customFormat="1" x14ac:dyDescent="0.3">
      <c r="A314" s="1014">
        <v>661</v>
      </c>
      <c r="B314" s="1014">
        <v>661</v>
      </c>
      <c r="C314" s="1010"/>
      <c r="D314" s="1010" t="s">
        <v>743</v>
      </c>
      <c r="E314" s="1028" t="s">
        <v>1682</v>
      </c>
      <c r="F314" s="1029" t="s">
        <v>1683</v>
      </c>
      <c r="G314" s="1029" t="s">
        <v>1684</v>
      </c>
      <c r="BC314" s="401">
        <v>0</v>
      </c>
      <c r="BD314" s="401">
        <v>0</v>
      </c>
      <c r="BE314" s="401">
        <v>0</v>
      </c>
      <c r="BF314" s="401">
        <v>0</v>
      </c>
      <c r="BG314" s="401">
        <v>0</v>
      </c>
      <c r="BH314" s="401">
        <v>0</v>
      </c>
      <c r="BI314" s="401">
        <v>0</v>
      </c>
      <c r="BJ314" s="401">
        <v>0</v>
      </c>
      <c r="BK314" s="401">
        <v>0</v>
      </c>
      <c r="BL314" s="401">
        <v>0</v>
      </c>
      <c r="BM314" s="401">
        <v>0</v>
      </c>
      <c r="BN314" s="401">
        <v>0</v>
      </c>
      <c r="BO314" s="401">
        <v>0</v>
      </c>
      <c r="BP314" s="401">
        <v>0</v>
      </c>
      <c r="BQ314" s="401">
        <v>0</v>
      </c>
      <c r="BR314" s="401">
        <v>0</v>
      </c>
      <c r="BS314" s="401">
        <v>0</v>
      </c>
      <c r="BT314" s="401">
        <v>0</v>
      </c>
      <c r="BU314" s="401">
        <v>0</v>
      </c>
      <c r="BV314" s="401">
        <v>0</v>
      </c>
      <c r="BW314" s="401">
        <v>0</v>
      </c>
      <c r="BX314" s="401">
        <v>0</v>
      </c>
      <c r="BY314" s="401">
        <v>0</v>
      </c>
      <c r="BZ314" s="401">
        <v>0</v>
      </c>
      <c r="CA314" s="401">
        <v>0</v>
      </c>
      <c r="CB314" s="401">
        <v>0</v>
      </c>
    </row>
    <row r="315" spans="1:80" s="401" customFormat="1" x14ac:dyDescent="0.3">
      <c r="A315" s="1014">
        <v>662</v>
      </c>
      <c r="B315" s="1010"/>
      <c r="C315" s="1010"/>
      <c r="D315" s="1010"/>
      <c r="E315" s="1028"/>
      <c r="F315" s="1029"/>
      <c r="G315" s="1029"/>
      <c r="BC315" s="401">
        <v>0</v>
      </c>
      <c r="BD315" s="401">
        <v>0</v>
      </c>
      <c r="BE315" s="401">
        <v>0</v>
      </c>
      <c r="BF315" s="401">
        <v>0</v>
      </c>
      <c r="BG315" s="401">
        <v>0</v>
      </c>
      <c r="BH315" s="401">
        <v>0</v>
      </c>
      <c r="BI315" s="401">
        <v>0</v>
      </c>
      <c r="BJ315" s="401">
        <v>0</v>
      </c>
      <c r="BK315" s="401">
        <v>0</v>
      </c>
      <c r="BL315" s="401">
        <v>0</v>
      </c>
      <c r="BM315" s="401">
        <v>0</v>
      </c>
      <c r="BN315" s="401">
        <v>0</v>
      </c>
      <c r="BO315" s="401">
        <v>0</v>
      </c>
      <c r="BP315" s="401">
        <v>0</v>
      </c>
      <c r="BQ315" s="401">
        <v>0</v>
      </c>
      <c r="BR315" s="401">
        <v>0</v>
      </c>
      <c r="BS315" s="401">
        <v>0</v>
      </c>
      <c r="BT315" s="401">
        <v>184000</v>
      </c>
      <c r="BU315" s="401">
        <v>0</v>
      </c>
      <c r="BV315" s="401">
        <v>0</v>
      </c>
      <c r="BW315" s="401">
        <v>0</v>
      </c>
      <c r="BX315" s="401">
        <v>0</v>
      </c>
      <c r="BY315" s="401">
        <v>0</v>
      </c>
      <c r="BZ315" s="401">
        <v>0</v>
      </c>
      <c r="CA315" s="401">
        <v>54610</v>
      </c>
      <c r="CB315" s="401">
        <v>0</v>
      </c>
    </row>
    <row r="316" spans="1:80" s="401" customFormat="1" x14ac:dyDescent="0.3">
      <c r="A316" s="1014">
        <v>663</v>
      </c>
      <c r="B316" s="1010"/>
      <c r="C316" s="1010"/>
      <c r="D316" s="1010"/>
      <c r="E316" s="1028"/>
      <c r="F316" s="1029"/>
      <c r="G316" s="1029"/>
      <c r="BC316" s="401">
        <v>0</v>
      </c>
      <c r="BD316" s="401">
        <v>0</v>
      </c>
      <c r="BE316" s="401">
        <v>0</v>
      </c>
      <c r="BF316" s="401">
        <v>0</v>
      </c>
      <c r="BG316" s="401">
        <v>0</v>
      </c>
      <c r="BH316" s="401">
        <v>0</v>
      </c>
      <c r="BI316" s="401">
        <v>0</v>
      </c>
      <c r="BJ316" s="401">
        <v>0</v>
      </c>
      <c r="BK316" s="401">
        <v>0</v>
      </c>
      <c r="BL316" s="401">
        <v>0</v>
      </c>
      <c r="BM316" s="401">
        <v>0</v>
      </c>
      <c r="BN316" s="401">
        <v>0</v>
      </c>
      <c r="BO316" s="401">
        <v>0</v>
      </c>
      <c r="BP316" s="401">
        <v>0</v>
      </c>
      <c r="BQ316" s="401">
        <v>0</v>
      </c>
      <c r="BR316" s="401">
        <v>0</v>
      </c>
      <c r="BS316" s="401">
        <v>0</v>
      </c>
      <c r="BT316" s="401">
        <v>0</v>
      </c>
      <c r="BU316" s="401">
        <v>0</v>
      </c>
      <c r="BV316" s="401">
        <v>0</v>
      </c>
      <c r="BW316" s="401">
        <v>0</v>
      </c>
      <c r="BX316" s="401">
        <v>0</v>
      </c>
      <c r="BY316" s="401">
        <v>0</v>
      </c>
      <c r="BZ316" s="401">
        <v>0</v>
      </c>
      <c r="CA316" s="401">
        <v>0</v>
      </c>
      <c r="CB316" s="401">
        <v>0</v>
      </c>
    </row>
    <row r="317" spans="1:80" s="401" customFormat="1" x14ac:dyDescent="0.3">
      <c r="A317" s="1014">
        <v>906</v>
      </c>
      <c r="B317" s="1014">
        <v>906</v>
      </c>
      <c r="C317" s="1010"/>
      <c r="D317" s="1010"/>
      <c r="E317" s="1028">
        <v>1</v>
      </c>
      <c r="F317" s="1029">
        <v>1</v>
      </c>
      <c r="G317" s="1029">
        <v>1</v>
      </c>
      <c r="BC317" s="401">
        <v>1</v>
      </c>
      <c r="BD317" s="401">
        <v>0</v>
      </c>
      <c r="BE317" s="401">
        <v>1</v>
      </c>
      <c r="BF317" s="401">
        <v>1</v>
      </c>
      <c r="BG317" s="401">
        <v>0</v>
      </c>
      <c r="BH317" s="401">
        <v>1</v>
      </c>
      <c r="BI317" s="401">
        <v>1</v>
      </c>
      <c r="BJ317" s="401">
        <v>1</v>
      </c>
      <c r="BK317" s="401">
        <v>0</v>
      </c>
      <c r="BL317" s="401">
        <v>1</v>
      </c>
      <c r="BM317" s="401">
        <v>1</v>
      </c>
      <c r="BN317" s="401">
        <v>1</v>
      </c>
      <c r="BO317" s="401">
        <v>1</v>
      </c>
      <c r="BP317" s="401">
        <v>1</v>
      </c>
      <c r="BQ317" s="401">
        <v>1</v>
      </c>
      <c r="BR317" s="401">
        <v>1</v>
      </c>
      <c r="BS317" s="401">
        <v>1</v>
      </c>
      <c r="BT317" s="401">
        <v>1</v>
      </c>
      <c r="BU317" s="401">
        <v>1</v>
      </c>
      <c r="BV317" s="401">
        <v>1</v>
      </c>
      <c r="BW317" s="401">
        <v>1</v>
      </c>
      <c r="BX317" s="401">
        <v>1</v>
      </c>
      <c r="BY317" s="401">
        <v>1</v>
      </c>
      <c r="BZ317" s="401">
        <v>1</v>
      </c>
      <c r="CA317" s="401">
        <v>1</v>
      </c>
      <c r="CB317" s="401">
        <v>1</v>
      </c>
    </row>
    <row r="318" spans="1:80" s="401" customFormat="1" x14ac:dyDescent="0.3">
      <c r="A318" s="1014">
        <v>907</v>
      </c>
      <c r="B318" s="1014">
        <v>907</v>
      </c>
      <c r="C318" s="1010"/>
      <c r="D318" s="1010"/>
      <c r="E318" s="1028">
        <v>2</v>
      </c>
      <c r="F318" s="1029">
        <v>2</v>
      </c>
      <c r="G318" s="1029">
        <v>2</v>
      </c>
      <c r="BC318" s="401">
        <v>1</v>
      </c>
      <c r="BD318" s="401">
        <v>0</v>
      </c>
      <c r="BE318" s="401">
        <v>1</v>
      </c>
      <c r="BF318" s="401">
        <v>2</v>
      </c>
      <c r="BG318" s="401">
        <v>0</v>
      </c>
      <c r="BH318" s="401">
        <v>1</v>
      </c>
      <c r="BI318" s="401">
        <v>2</v>
      </c>
      <c r="BJ318" s="401">
        <v>1</v>
      </c>
      <c r="BK318" s="401">
        <v>0</v>
      </c>
      <c r="BL318" s="401">
        <v>2</v>
      </c>
      <c r="BM318" s="401">
        <v>1</v>
      </c>
      <c r="BN318" s="401">
        <v>1</v>
      </c>
      <c r="BO318" s="401">
        <v>2</v>
      </c>
      <c r="BP318" s="401">
        <v>1</v>
      </c>
      <c r="BQ318" s="401">
        <v>1</v>
      </c>
      <c r="BR318" s="401">
        <v>2</v>
      </c>
      <c r="BS318" s="401">
        <v>1</v>
      </c>
      <c r="BT318" s="401">
        <v>2</v>
      </c>
      <c r="BU318" s="401">
        <v>2</v>
      </c>
      <c r="BV318" s="401">
        <v>1</v>
      </c>
      <c r="BW318" s="401">
        <v>1</v>
      </c>
      <c r="BX318" s="401">
        <v>1</v>
      </c>
      <c r="BY318" s="401">
        <v>1</v>
      </c>
      <c r="BZ318" s="401">
        <v>2</v>
      </c>
      <c r="CA318" s="401">
        <v>2</v>
      </c>
      <c r="CB318" s="401">
        <v>2</v>
      </c>
    </row>
    <row r="319" spans="1:80" s="401" customFormat="1" x14ac:dyDescent="0.3">
      <c r="A319" s="1014">
        <v>951</v>
      </c>
      <c r="B319" s="1014">
        <v>951</v>
      </c>
      <c r="C319" s="1010"/>
      <c r="D319" s="1010"/>
      <c r="E319" s="1028">
        <v>2</v>
      </c>
      <c r="F319" s="1029">
        <v>2</v>
      </c>
      <c r="G319" s="1029">
        <v>2</v>
      </c>
      <c r="BC319" s="401">
        <v>2</v>
      </c>
      <c r="BD319" s="401">
        <v>0</v>
      </c>
      <c r="BE319" s="401">
        <v>2</v>
      </c>
      <c r="BF319" s="401">
        <v>2</v>
      </c>
      <c r="BG319" s="401">
        <v>0</v>
      </c>
      <c r="BH319" s="401">
        <v>2</v>
      </c>
      <c r="BI319" s="401">
        <v>2</v>
      </c>
      <c r="BJ319" s="401">
        <v>2</v>
      </c>
      <c r="BK319" s="401">
        <v>0</v>
      </c>
      <c r="BL319" s="401">
        <v>2</v>
      </c>
      <c r="BM319" s="401">
        <v>2</v>
      </c>
      <c r="BN319" s="401">
        <v>2</v>
      </c>
      <c r="BO319" s="401">
        <v>2</v>
      </c>
      <c r="BP319" s="401">
        <v>2</v>
      </c>
      <c r="BQ319" s="401">
        <v>2</v>
      </c>
      <c r="BR319" s="401">
        <v>2</v>
      </c>
      <c r="BS319" s="401">
        <v>2</v>
      </c>
      <c r="BT319" s="401">
        <v>2</v>
      </c>
      <c r="BU319" s="401">
        <v>2</v>
      </c>
      <c r="BV319" s="401">
        <v>2</v>
      </c>
      <c r="BW319" s="401">
        <v>2</v>
      </c>
      <c r="BX319" s="401">
        <v>2</v>
      </c>
      <c r="BY319" s="401">
        <v>2</v>
      </c>
      <c r="BZ319" s="401">
        <v>2</v>
      </c>
      <c r="CA319" s="401">
        <v>2</v>
      </c>
      <c r="CB319" s="401">
        <v>2</v>
      </c>
    </row>
    <row r="320" spans="1:80" s="401" customFormat="1" x14ac:dyDescent="0.3">
      <c r="A320" s="1014">
        <v>953</v>
      </c>
      <c r="B320" s="1014">
        <v>953</v>
      </c>
      <c r="C320" s="1010"/>
      <c r="D320" s="1010"/>
      <c r="E320" s="1028">
        <v>2</v>
      </c>
      <c r="F320" s="1029">
        <v>2</v>
      </c>
      <c r="G320" s="1029">
        <v>2</v>
      </c>
      <c r="BC320" s="401">
        <v>2</v>
      </c>
      <c r="BD320" s="401">
        <v>0</v>
      </c>
      <c r="BE320" s="401">
        <v>2</v>
      </c>
      <c r="BF320" s="401">
        <v>2</v>
      </c>
      <c r="BG320" s="401">
        <v>0</v>
      </c>
      <c r="BH320" s="401">
        <v>2</v>
      </c>
      <c r="BI320" s="401">
        <v>2</v>
      </c>
      <c r="BJ320" s="401">
        <v>2</v>
      </c>
      <c r="BK320" s="401">
        <v>0</v>
      </c>
      <c r="BL320" s="401">
        <v>2</v>
      </c>
      <c r="BM320" s="401">
        <v>2</v>
      </c>
      <c r="BN320" s="401">
        <v>2</v>
      </c>
      <c r="BO320" s="401">
        <v>2</v>
      </c>
      <c r="BP320" s="401">
        <v>2</v>
      </c>
      <c r="BQ320" s="401">
        <v>2</v>
      </c>
      <c r="BR320" s="401">
        <v>2</v>
      </c>
      <c r="BS320" s="401">
        <v>2</v>
      </c>
      <c r="BT320" s="401">
        <v>2</v>
      </c>
      <c r="BU320" s="401">
        <v>2</v>
      </c>
      <c r="BV320" s="401">
        <v>2</v>
      </c>
      <c r="BW320" s="401">
        <v>2</v>
      </c>
      <c r="BX320" s="401">
        <v>2</v>
      </c>
      <c r="BY320" s="401">
        <v>2</v>
      </c>
      <c r="BZ320" s="401">
        <v>2</v>
      </c>
      <c r="CA320" s="401">
        <v>2</v>
      </c>
      <c r="CB320" s="401">
        <v>2</v>
      </c>
    </row>
    <row r="321" spans="1:80" s="401" customFormat="1" x14ac:dyDescent="0.3">
      <c r="A321" s="1014">
        <v>955</v>
      </c>
      <c r="B321" s="1014">
        <v>955</v>
      </c>
      <c r="C321" s="1010"/>
      <c r="D321" s="1010"/>
      <c r="E321" s="1028" t="s">
        <v>1682</v>
      </c>
      <c r="F321" s="1029" t="s">
        <v>1683</v>
      </c>
      <c r="G321" s="1029" t="s">
        <v>1684</v>
      </c>
      <c r="BC321" s="401">
        <v>0</v>
      </c>
      <c r="BD321" s="401">
        <v>0</v>
      </c>
      <c r="BE321" s="401">
        <v>0</v>
      </c>
      <c r="BF321" s="401">
        <v>0</v>
      </c>
      <c r="BG321" s="401">
        <v>0</v>
      </c>
      <c r="BH321" s="401">
        <v>0</v>
      </c>
      <c r="BI321" s="401">
        <v>0</v>
      </c>
      <c r="BJ321" s="401">
        <v>0</v>
      </c>
      <c r="BK321" s="401">
        <v>0</v>
      </c>
      <c r="BL321" s="401">
        <v>0</v>
      </c>
      <c r="BM321" s="401">
        <v>0</v>
      </c>
      <c r="BN321" s="401">
        <v>0</v>
      </c>
      <c r="BO321" s="401">
        <v>0</v>
      </c>
      <c r="BP321" s="401">
        <v>0</v>
      </c>
      <c r="BQ321" s="401">
        <v>0</v>
      </c>
      <c r="BR321" s="401">
        <v>0</v>
      </c>
      <c r="BS321" s="401">
        <v>0</v>
      </c>
      <c r="BT321" s="401">
        <v>0</v>
      </c>
      <c r="BU321" s="401">
        <v>0</v>
      </c>
      <c r="BV321" s="401">
        <v>1</v>
      </c>
      <c r="BW321" s="401">
        <v>0</v>
      </c>
      <c r="BX321" s="401">
        <v>0</v>
      </c>
      <c r="BY321" s="401">
        <v>0</v>
      </c>
      <c r="BZ321" s="401">
        <v>0</v>
      </c>
      <c r="CA321" s="401">
        <v>0</v>
      </c>
      <c r="CB321" s="401">
        <v>0</v>
      </c>
    </row>
    <row r="322" spans="1:80" s="401" customFormat="1" x14ac:dyDescent="0.3">
      <c r="A322" s="1014">
        <v>957</v>
      </c>
      <c r="B322" s="1014">
        <v>957</v>
      </c>
      <c r="C322" s="1010"/>
      <c r="D322" s="1010"/>
      <c r="E322" s="1028" t="s">
        <v>1682</v>
      </c>
      <c r="F322" s="1029" t="s">
        <v>1683</v>
      </c>
      <c r="G322" s="1029" t="s">
        <v>1684</v>
      </c>
      <c r="BC322" s="401">
        <v>0</v>
      </c>
      <c r="BD322" s="401">
        <v>0</v>
      </c>
      <c r="BE322" s="401">
        <v>0</v>
      </c>
      <c r="BF322" s="401">
        <v>1</v>
      </c>
      <c r="BG322" s="401">
        <v>0</v>
      </c>
      <c r="BH322" s="401">
        <v>0</v>
      </c>
      <c r="BI322" s="401">
        <v>0</v>
      </c>
      <c r="BJ322" s="401">
        <v>0</v>
      </c>
      <c r="BK322" s="401">
        <v>0</v>
      </c>
      <c r="BL322" s="401">
        <v>0</v>
      </c>
      <c r="BM322" s="401">
        <v>0</v>
      </c>
      <c r="BN322" s="401">
        <v>0</v>
      </c>
      <c r="BO322" s="401">
        <v>0</v>
      </c>
      <c r="BP322" s="401">
        <v>0</v>
      </c>
      <c r="BQ322" s="401">
        <v>0</v>
      </c>
      <c r="BR322" s="401">
        <v>0</v>
      </c>
      <c r="BS322" s="401">
        <v>0</v>
      </c>
      <c r="BT322" s="401">
        <v>0</v>
      </c>
      <c r="BU322" s="401">
        <v>0</v>
      </c>
      <c r="BV322" s="401">
        <v>0</v>
      </c>
      <c r="BW322" s="401">
        <v>2</v>
      </c>
      <c r="BX322" s="401">
        <v>0</v>
      </c>
      <c r="BY322" s="401">
        <v>0</v>
      </c>
      <c r="BZ322" s="401">
        <v>0</v>
      </c>
      <c r="CA322" s="401">
        <v>0</v>
      </c>
      <c r="CB322" s="401">
        <v>0</v>
      </c>
    </row>
    <row r="323" spans="1:80" s="401" customFormat="1" x14ac:dyDescent="0.3">
      <c r="A323" s="1014">
        <v>959</v>
      </c>
      <c r="B323" s="1014">
        <v>959</v>
      </c>
      <c r="C323" s="1010"/>
      <c r="D323" s="1010"/>
      <c r="E323" s="1028">
        <v>2</v>
      </c>
      <c r="F323" s="1029">
        <v>2</v>
      </c>
      <c r="G323" s="1029">
        <v>2</v>
      </c>
      <c r="BC323" s="401">
        <v>3</v>
      </c>
      <c r="BD323" s="401">
        <v>0</v>
      </c>
      <c r="BE323" s="401">
        <v>3</v>
      </c>
      <c r="BF323" s="401">
        <v>2</v>
      </c>
      <c r="BG323" s="401">
        <v>0</v>
      </c>
      <c r="BH323" s="401">
        <v>2</v>
      </c>
      <c r="BI323" s="401">
        <v>2</v>
      </c>
      <c r="BJ323" s="401">
        <v>2</v>
      </c>
      <c r="BK323" s="401">
        <v>0</v>
      </c>
      <c r="BL323" s="401">
        <v>2</v>
      </c>
      <c r="BM323" s="401">
        <v>2</v>
      </c>
      <c r="BN323" s="401">
        <v>3</v>
      </c>
      <c r="BO323" s="401">
        <v>2</v>
      </c>
      <c r="BP323" s="401">
        <v>2</v>
      </c>
      <c r="BQ323" s="401">
        <v>3</v>
      </c>
      <c r="BR323" s="401">
        <v>2</v>
      </c>
      <c r="BS323" s="401">
        <v>3</v>
      </c>
      <c r="BT323" s="401">
        <v>2</v>
      </c>
      <c r="BU323" s="401">
        <v>2</v>
      </c>
      <c r="BV323" s="401">
        <v>2</v>
      </c>
      <c r="BW323" s="401">
        <v>3</v>
      </c>
      <c r="BX323" s="401">
        <v>3</v>
      </c>
      <c r="BY323" s="401">
        <v>3</v>
      </c>
      <c r="BZ323" s="401">
        <v>2</v>
      </c>
      <c r="CA323" s="401">
        <v>2</v>
      </c>
      <c r="CB323" s="401">
        <v>2</v>
      </c>
    </row>
    <row r="324" spans="1:80" s="401" customFormat="1" x14ac:dyDescent="0.3">
      <c r="A324" s="1014">
        <v>961</v>
      </c>
      <c r="B324" s="1014">
        <v>961</v>
      </c>
      <c r="C324" s="1010"/>
      <c r="D324" s="1010"/>
      <c r="E324" s="1028">
        <v>3</v>
      </c>
      <c r="F324" s="1029">
        <v>2</v>
      </c>
      <c r="G324" s="1029">
        <v>2</v>
      </c>
      <c r="BC324" s="401">
        <v>3</v>
      </c>
      <c r="BD324" s="401">
        <v>0</v>
      </c>
      <c r="BE324" s="401">
        <v>3</v>
      </c>
      <c r="BF324" s="401">
        <v>2</v>
      </c>
      <c r="BG324" s="401">
        <v>0</v>
      </c>
      <c r="BH324" s="401">
        <v>2</v>
      </c>
      <c r="BI324" s="401">
        <v>2</v>
      </c>
      <c r="BJ324" s="401">
        <v>2</v>
      </c>
      <c r="BK324" s="401">
        <v>0</v>
      </c>
      <c r="BL324" s="401">
        <v>2</v>
      </c>
      <c r="BM324" s="401">
        <v>2</v>
      </c>
      <c r="BN324" s="401">
        <v>3</v>
      </c>
      <c r="BO324" s="401">
        <v>2</v>
      </c>
      <c r="BP324" s="401">
        <v>2</v>
      </c>
      <c r="BQ324" s="401">
        <v>3</v>
      </c>
      <c r="BR324" s="401">
        <v>2</v>
      </c>
      <c r="BS324" s="401">
        <v>2</v>
      </c>
      <c r="BT324" s="401">
        <v>2</v>
      </c>
      <c r="BU324" s="401">
        <v>2</v>
      </c>
      <c r="BV324" s="401">
        <v>2</v>
      </c>
      <c r="BW324" s="401">
        <v>2</v>
      </c>
      <c r="BX324" s="401">
        <v>3</v>
      </c>
      <c r="BY324" s="401">
        <v>3</v>
      </c>
      <c r="BZ324" s="401">
        <v>3</v>
      </c>
      <c r="CA324" s="401">
        <v>2</v>
      </c>
      <c r="CB324" s="401">
        <v>2</v>
      </c>
    </row>
    <row r="325" spans="1:80" s="401" customFormat="1" x14ac:dyDescent="0.3">
      <c r="A325" s="1014">
        <v>963</v>
      </c>
      <c r="B325" s="1014">
        <v>963</v>
      </c>
      <c r="C325" s="1010"/>
      <c r="D325" s="1010"/>
      <c r="E325" s="1028">
        <v>3</v>
      </c>
      <c r="F325" s="1029">
        <v>1</v>
      </c>
      <c r="G325" s="1029">
        <v>1</v>
      </c>
      <c r="BC325" s="401">
        <v>3</v>
      </c>
      <c r="BD325" s="401">
        <v>0</v>
      </c>
      <c r="BE325" s="401">
        <v>3</v>
      </c>
      <c r="BF325" s="401">
        <v>1</v>
      </c>
      <c r="BG325" s="401">
        <v>0</v>
      </c>
      <c r="BH325" s="401">
        <v>3</v>
      </c>
      <c r="BI325" s="401">
        <v>1</v>
      </c>
      <c r="BJ325" s="401">
        <v>3</v>
      </c>
      <c r="BK325" s="401">
        <v>0</v>
      </c>
      <c r="BL325" s="401">
        <v>3</v>
      </c>
      <c r="BM325" s="401">
        <v>1</v>
      </c>
      <c r="BN325" s="401">
        <v>3</v>
      </c>
      <c r="BO325" s="401">
        <v>3</v>
      </c>
      <c r="BP325" s="401">
        <v>3</v>
      </c>
      <c r="BQ325" s="401">
        <v>3</v>
      </c>
      <c r="BR325" s="401">
        <v>1</v>
      </c>
      <c r="BS325" s="401">
        <v>1</v>
      </c>
      <c r="BT325" s="401">
        <v>3</v>
      </c>
      <c r="BU325" s="401">
        <v>3</v>
      </c>
      <c r="BV325" s="401">
        <v>3</v>
      </c>
      <c r="BW325" s="401">
        <v>3</v>
      </c>
      <c r="BX325" s="401">
        <v>3</v>
      </c>
      <c r="BY325" s="401">
        <v>3</v>
      </c>
      <c r="BZ325" s="401">
        <v>3</v>
      </c>
      <c r="CA325" s="401">
        <v>3</v>
      </c>
      <c r="CB325" s="401">
        <v>3</v>
      </c>
    </row>
    <row r="326" spans="1:80" s="401" customFormat="1" x14ac:dyDescent="0.3">
      <c r="A326" s="1014">
        <v>965</v>
      </c>
      <c r="B326" s="1014">
        <v>965</v>
      </c>
      <c r="C326" s="1010"/>
      <c r="D326" s="1010"/>
      <c r="E326" s="1028">
        <v>1</v>
      </c>
      <c r="F326" s="1029">
        <v>1</v>
      </c>
      <c r="G326" s="1029">
        <v>1</v>
      </c>
      <c r="BC326" s="401">
        <v>1</v>
      </c>
      <c r="BD326" s="401">
        <v>0</v>
      </c>
      <c r="BE326" s="401">
        <v>1</v>
      </c>
      <c r="BF326" s="401">
        <v>1</v>
      </c>
      <c r="BG326" s="401">
        <v>0</v>
      </c>
      <c r="BH326" s="401">
        <v>1</v>
      </c>
      <c r="BI326" s="401">
        <v>1</v>
      </c>
      <c r="BJ326" s="401">
        <v>1</v>
      </c>
      <c r="BK326" s="401">
        <v>0</v>
      </c>
      <c r="BL326" s="401">
        <v>1</v>
      </c>
      <c r="BM326" s="401">
        <v>1</v>
      </c>
      <c r="BN326" s="401">
        <v>1</v>
      </c>
      <c r="BO326" s="401">
        <v>1</v>
      </c>
      <c r="BP326" s="401">
        <v>1</v>
      </c>
      <c r="BQ326" s="401">
        <v>1</v>
      </c>
      <c r="BR326" s="401">
        <v>1</v>
      </c>
      <c r="BS326" s="401">
        <v>1</v>
      </c>
      <c r="BT326" s="401">
        <v>1</v>
      </c>
      <c r="BU326" s="401">
        <v>1</v>
      </c>
      <c r="BV326" s="401">
        <v>1</v>
      </c>
      <c r="BW326" s="401">
        <v>1</v>
      </c>
      <c r="BX326" s="401">
        <v>1</v>
      </c>
      <c r="BY326" s="401">
        <v>1</v>
      </c>
      <c r="BZ326" s="401">
        <v>1</v>
      </c>
      <c r="CA326" s="401">
        <v>1</v>
      </c>
      <c r="CB326" s="401">
        <v>1</v>
      </c>
    </row>
    <row r="327" spans="1:80" s="401" customFormat="1" x14ac:dyDescent="0.3">
      <c r="A327" s="1014">
        <v>603</v>
      </c>
      <c r="B327" s="1014">
        <v>603</v>
      </c>
      <c r="C327" s="1010"/>
      <c r="D327" s="1010"/>
      <c r="E327" s="1028" t="s">
        <v>1682</v>
      </c>
      <c r="F327" s="1029" t="s">
        <v>1683</v>
      </c>
      <c r="G327" s="1029" t="s">
        <v>1684</v>
      </c>
      <c r="BC327" s="401">
        <v>0</v>
      </c>
      <c r="BD327" s="401">
        <v>0</v>
      </c>
      <c r="BE327" s="401">
        <v>0</v>
      </c>
      <c r="BF327" s="401">
        <v>4</v>
      </c>
      <c r="BG327" s="401">
        <v>0</v>
      </c>
      <c r="BH327" s="401">
        <v>0</v>
      </c>
      <c r="BI327" s="401">
        <v>0</v>
      </c>
      <c r="BJ327" s="401">
        <v>2</v>
      </c>
      <c r="BK327" s="401">
        <v>0</v>
      </c>
      <c r="BL327" s="401">
        <v>0</v>
      </c>
      <c r="BM327" s="401">
        <v>0</v>
      </c>
      <c r="BN327" s="401">
        <v>2</v>
      </c>
      <c r="BO327" s="401">
        <v>1</v>
      </c>
      <c r="BP327" s="401">
        <v>0</v>
      </c>
      <c r="BQ327" s="401">
        <v>2</v>
      </c>
      <c r="BR327" s="401">
        <v>1</v>
      </c>
      <c r="BS327" s="401">
        <v>0</v>
      </c>
      <c r="BT327" s="401">
        <v>1</v>
      </c>
      <c r="BU327" s="401">
        <v>1</v>
      </c>
      <c r="BV327" s="401">
        <v>0</v>
      </c>
      <c r="BW327" s="401">
        <v>4</v>
      </c>
      <c r="BX327" s="401">
        <v>0</v>
      </c>
      <c r="BY327" s="401">
        <v>2</v>
      </c>
      <c r="BZ327" s="401">
        <v>1</v>
      </c>
      <c r="CA327" s="401">
        <v>1</v>
      </c>
      <c r="CB327" s="401">
        <v>0</v>
      </c>
    </row>
    <row r="328" spans="1:80" s="401" customFormat="1" x14ac:dyDescent="0.3">
      <c r="A328" s="1014">
        <v>929</v>
      </c>
      <c r="B328" s="1014">
        <v>929</v>
      </c>
      <c r="C328" s="1010"/>
      <c r="D328" s="1010"/>
      <c r="E328" s="1028" t="s">
        <v>1682</v>
      </c>
      <c r="F328" s="1029" t="s">
        <v>1683</v>
      </c>
      <c r="G328" s="1029" t="s">
        <v>1684</v>
      </c>
      <c r="BC328" s="401">
        <v>0</v>
      </c>
      <c r="BD328" s="401">
        <v>0</v>
      </c>
      <c r="BE328" s="401">
        <v>0</v>
      </c>
      <c r="BF328" s="401">
        <v>1</v>
      </c>
      <c r="BG328" s="401">
        <v>0</v>
      </c>
      <c r="BH328" s="401">
        <v>0</v>
      </c>
      <c r="BI328" s="401">
        <v>0</v>
      </c>
      <c r="BJ328" s="401">
        <v>2</v>
      </c>
      <c r="BK328" s="401">
        <v>0</v>
      </c>
      <c r="BL328" s="401">
        <v>0</v>
      </c>
      <c r="BM328" s="401">
        <v>0</v>
      </c>
      <c r="BN328" s="401">
        <v>2</v>
      </c>
      <c r="BO328" s="401">
        <v>2</v>
      </c>
      <c r="BP328" s="401">
        <v>0</v>
      </c>
      <c r="BQ328" s="401">
        <v>2</v>
      </c>
      <c r="BR328" s="401">
        <v>2</v>
      </c>
      <c r="BS328" s="401">
        <v>0</v>
      </c>
      <c r="BT328" s="401">
        <v>2</v>
      </c>
      <c r="BU328" s="401">
        <v>2</v>
      </c>
      <c r="BV328" s="401">
        <v>0</v>
      </c>
      <c r="BW328" s="401">
        <v>1</v>
      </c>
      <c r="BX328" s="401">
        <v>0</v>
      </c>
      <c r="BY328" s="401">
        <v>2</v>
      </c>
      <c r="BZ328" s="401">
        <v>2</v>
      </c>
      <c r="CA328" s="401">
        <v>2</v>
      </c>
      <c r="CB328" s="401">
        <v>0</v>
      </c>
    </row>
    <row r="329" spans="1:80" s="401" customFormat="1" x14ac:dyDescent="0.3">
      <c r="A329" s="1014">
        <v>930</v>
      </c>
      <c r="B329" s="1014">
        <v>930</v>
      </c>
      <c r="C329" s="1010"/>
      <c r="D329" s="1010"/>
      <c r="E329" s="1028" t="s">
        <v>1682</v>
      </c>
      <c r="F329" s="1029" t="s">
        <v>1683</v>
      </c>
      <c r="G329" s="1029" t="s">
        <v>1684</v>
      </c>
      <c r="BC329" s="401">
        <v>0</v>
      </c>
      <c r="BD329" s="401">
        <v>0</v>
      </c>
      <c r="BE329" s="401">
        <v>0</v>
      </c>
      <c r="BF329" s="401">
        <v>2</v>
      </c>
      <c r="BG329" s="401">
        <v>0</v>
      </c>
      <c r="BH329" s="401">
        <v>0</v>
      </c>
      <c r="BI329" s="401">
        <v>0</v>
      </c>
      <c r="BJ329" s="401">
        <v>2</v>
      </c>
      <c r="BK329" s="401">
        <v>0</v>
      </c>
      <c r="BL329" s="401">
        <v>0</v>
      </c>
      <c r="BM329" s="401">
        <v>0</v>
      </c>
      <c r="BN329" s="401">
        <v>2</v>
      </c>
      <c r="BO329" s="401">
        <v>2</v>
      </c>
      <c r="BP329" s="401">
        <v>0</v>
      </c>
      <c r="BQ329" s="401">
        <v>2</v>
      </c>
      <c r="BR329" s="401">
        <v>2</v>
      </c>
      <c r="BS329" s="401">
        <v>0</v>
      </c>
      <c r="BT329" s="401">
        <v>2</v>
      </c>
      <c r="BU329" s="401">
        <v>2</v>
      </c>
      <c r="BV329" s="401">
        <v>0</v>
      </c>
      <c r="BW329" s="401">
        <v>2</v>
      </c>
      <c r="BX329" s="401">
        <v>0</v>
      </c>
      <c r="BY329" s="401">
        <v>2</v>
      </c>
      <c r="BZ329" s="401">
        <v>2</v>
      </c>
      <c r="CA329" s="401">
        <v>2</v>
      </c>
      <c r="CB329" s="401">
        <v>0</v>
      </c>
    </row>
    <row r="330" spans="1:80" s="401" customFormat="1" x14ac:dyDescent="0.3">
      <c r="A330" s="1014">
        <v>931</v>
      </c>
      <c r="B330" s="1014">
        <v>931</v>
      </c>
      <c r="C330" s="1010"/>
      <c r="D330" s="1010"/>
      <c r="E330" s="1028" t="s">
        <v>1682</v>
      </c>
      <c r="F330" s="1029" t="s">
        <v>1683</v>
      </c>
      <c r="G330" s="1029" t="s">
        <v>1684</v>
      </c>
      <c r="BC330" s="401">
        <v>0</v>
      </c>
      <c r="BD330" s="401">
        <v>0</v>
      </c>
      <c r="BE330" s="401">
        <v>0</v>
      </c>
      <c r="BF330" s="401">
        <v>2</v>
      </c>
      <c r="BG330" s="401">
        <v>0</v>
      </c>
      <c r="BH330" s="401">
        <v>0</v>
      </c>
      <c r="BI330" s="401">
        <v>0</v>
      </c>
      <c r="BJ330" s="401">
        <v>2</v>
      </c>
      <c r="BK330" s="401">
        <v>0</v>
      </c>
      <c r="BL330" s="401">
        <v>0</v>
      </c>
      <c r="BM330" s="401">
        <v>0</v>
      </c>
      <c r="BN330" s="401">
        <v>2</v>
      </c>
      <c r="BO330" s="401">
        <v>2</v>
      </c>
      <c r="BP330" s="401">
        <v>0</v>
      </c>
      <c r="BQ330" s="401">
        <v>2</v>
      </c>
      <c r="BR330" s="401">
        <v>2</v>
      </c>
      <c r="BS330" s="401">
        <v>0</v>
      </c>
      <c r="BT330" s="401">
        <v>2</v>
      </c>
      <c r="BU330" s="401">
        <v>2</v>
      </c>
      <c r="BV330" s="401">
        <v>0</v>
      </c>
      <c r="BW330" s="401">
        <v>2</v>
      </c>
      <c r="BX330" s="401">
        <v>0</v>
      </c>
      <c r="BY330" s="401">
        <v>2</v>
      </c>
      <c r="BZ330" s="401">
        <v>2</v>
      </c>
      <c r="CA330" s="401">
        <v>2</v>
      </c>
      <c r="CB330" s="401">
        <v>0</v>
      </c>
    </row>
    <row r="331" spans="1:80" s="401" customFormat="1" x14ac:dyDescent="0.3">
      <c r="A331" s="1014">
        <v>932</v>
      </c>
      <c r="B331" s="1014">
        <v>932</v>
      </c>
      <c r="C331" s="1010"/>
      <c r="D331" s="1010"/>
      <c r="E331" s="1028" t="s">
        <v>1682</v>
      </c>
      <c r="F331" s="1029" t="s">
        <v>1683</v>
      </c>
      <c r="G331" s="1029" t="s">
        <v>1684</v>
      </c>
      <c r="BC331" s="401">
        <v>0</v>
      </c>
      <c r="BD331" s="401">
        <v>0</v>
      </c>
      <c r="BE331" s="401">
        <v>0</v>
      </c>
      <c r="BF331" s="401">
        <v>2</v>
      </c>
      <c r="BG331" s="401">
        <v>0</v>
      </c>
      <c r="BH331" s="401">
        <v>0</v>
      </c>
      <c r="BI331" s="401">
        <v>0</v>
      </c>
      <c r="BJ331" s="401">
        <v>2</v>
      </c>
      <c r="BK331" s="401">
        <v>0</v>
      </c>
      <c r="BL331" s="401">
        <v>0</v>
      </c>
      <c r="BM331" s="401">
        <v>0</v>
      </c>
      <c r="BN331" s="401">
        <v>2</v>
      </c>
      <c r="BO331" s="401">
        <v>2</v>
      </c>
      <c r="BP331" s="401">
        <v>0</v>
      </c>
      <c r="BQ331" s="401">
        <v>2</v>
      </c>
      <c r="BR331" s="401">
        <v>2</v>
      </c>
      <c r="BS331" s="401">
        <v>0</v>
      </c>
      <c r="BT331" s="401">
        <v>2</v>
      </c>
      <c r="BU331" s="401">
        <v>2</v>
      </c>
      <c r="BV331" s="401">
        <v>0</v>
      </c>
      <c r="BW331" s="401">
        <v>2</v>
      </c>
      <c r="BX331" s="401">
        <v>0</v>
      </c>
      <c r="BY331" s="401">
        <v>2</v>
      </c>
      <c r="BZ331" s="401">
        <v>2</v>
      </c>
      <c r="CA331" s="401">
        <v>2</v>
      </c>
      <c r="CB331" s="401">
        <v>0</v>
      </c>
    </row>
    <row r="332" spans="1:80" s="401" customFormat="1" x14ac:dyDescent="0.3">
      <c r="A332" s="1061" t="s">
        <v>1669</v>
      </c>
      <c r="B332" s="1010"/>
      <c r="C332" s="1010"/>
      <c r="D332" s="1010"/>
      <c r="E332" s="1010"/>
      <c r="F332" s="1010"/>
      <c r="G332" s="1010"/>
    </row>
    <row r="333" spans="1:80" s="401" customFormat="1" x14ac:dyDescent="0.3">
      <c r="A333" s="1061" t="s">
        <v>1669</v>
      </c>
      <c r="B333" s="1010"/>
      <c r="C333" s="1010"/>
      <c r="D333" s="1010"/>
      <c r="E333" s="1010"/>
      <c r="F333" s="1010"/>
      <c r="G333" s="1010"/>
    </row>
    <row r="334" spans="1:80" s="401" customFormat="1" ht="28.8" x14ac:dyDescent="0.3">
      <c r="A334" s="1061" t="s">
        <v>1670</v>
      </c>
      <c r="B334" s="1010" t="s">
        <v>1024</v>
      </c>
      <c r="C334" s="1010"/>
      <c r="D334" s="1010"/>
      <c r="E334" s="1018">
        <v>0</v>
      </c>
      <c r="F334" s="1018">
        <v>0</v>
      </c>
      <c r="G334" s="1018">
        <v>0</v>
      </c>
      <c r="BC334" s="401">
        <v>2494601</v>
      </c>
      <c r="BD334" s="401">
        <v>0</v>
      </c>
      <c r="BE334" s="401">
        <v>67554</v>
      </c>
      <c r="BF334" s="401">
        <v>27708342</v>
      </c>
      <c r="BG334" s="401">
        <v>0</v>
      </c>
      <c r="BH334" s="401">
        <v>47685</v>
      </c>
      <c r="BI334" s="401">
        <v>3009729</v>
      </c>
      <c r="BJ334" s="401">
        <v>2485704</v>
      </c>
      <c r="BK334" s="401">
        <v>0</v>
      </c>
      <c r="BL334" s="401">
        <v>9454369</v>
      </c>
      <c r="BM334" s="401">
        <v>4163206</v>
      </c>
      <c r="BN334" s="401">
        <v>40551</v>
      </c>
      <c r="BO334" s="401">
        <v>6868959</v>
      </c>
      <c r="BP334" s="401">
        <v>1565361</v>
      </c>
      <c r="BQ334" s="401">
        <v>1043552</v>
      </c>
      <c r="BR334" s="401">
        <v>1983298</v>
      </c>
      <c r="BS334" s="401">
        <v>1104978</v>
      </c>
      <c r="BT334" s="401">
        <v>25453289</v>
      </c>
      <c r="BU334" s="401">
        <v>2020087</v>
      </c>
      <c r="BV334" s="401">
        <v>2776433</v>
      </c>
      <c r="BW334" s="401">
        <v>1435483</v>
      </c>
      <c r="BX334" s="401">
        <v>782442</v>
      </c>
      <c r="BY334" s="401">
        <v>31281</v>
      </c>
      <c r="BZ334" s="401">
        <v>40519</v>
      </c>
      <c r="CA334" s="401">
        <v>18193742</v>
      </c>
      <c r="CB334" s="401">
        <v>157054</v>
      </c>
    </row>
    <row r="335" spans="1:80" s="401" customFormat="1" x14ac:dyDescent="0.3">
      <c r="A335" s="1061"/>
      <c r="B335" s="1010"/>
      <c r="C335" s="1010"/>
      <c r="D335" s="1010"/>
      <c r="E335" s="1018" t="b">
        <v>0</v>
      </c>
      <c r="F335" s="1018" t="b">
        <v>0</v>
      </c>
      <c r="G335" s="1018" t="b">
        <v>0</v>
      </c>
      <c r="BC335" s="401" t="s">
        <v>1186</v>
      </c>
      <c r="BD335" s="401" t="b">
        <v>0</v>
      </c>
      <c r="BE335" s="401" t="s">
        <v>1189</v>
      </c>
      <c r="BF335" s="401" t="s">
        <v>1187</v>
      </c>
      <c r="BG335" s="401" t="b">
        <v>0</v>
      </c>
      <c r="BH335" s="401" t="s">
        <v>1189</v>
      </c>
      <c r="BI335" s="401" t="s">
        <v>1186</v>
      </c>
      <c r="BJ335" s="401" t="s">
        <v>1186</v>
      </c>
      <c r="BK335" s="401" t="b">
        <v>0</v>
      </c>
      <c r="BL335" s="401" t="s">
        <v>1186</v>
      </c>
      <c r="BM335" s="401" t="s">
        <v>1186</v>
      </c>
      <c r="BN335" s="401" t="s">
        <v>1189</v>
      </c>
      <c r="BO335" s="401" t="s">
        <v>1186</v>
      </c>
      <c r="BP335" s="401" t="s">
        <v>1186</v>
      </c>
      <c r="BQ335" s="401" t="s">
        <v>1186</v>
      </c>
      <c r="BR335" s="401" t="s">
        <v>1186</v>
      </c>
      <c r="BS335" s="401" t="s">
        <v>1186</v>
      </c>
      <c r="BT335" s="401" t="s">
        <v>1187</v>
      </c>
      <c r="BU335" s="401" t="s">
        <v>1186</v>
      </c>
      <c r="BV335" s="401" t="s">
        <v>1186</v>
      </c>
      <c r="BW335" s="401" t="s">
        <v>1186</v>
      </c>
      <c r="BX335" s="401" t="s">
        <v>1188</v>
      </c>
      <c r="BY335" s="401" t="s">
        <v>1189</v>
      </c>
      <c r="BZ335" s="401" t="s">
        <v>1189</v>
      </c>
      <c r="CA335" s="401" t="s">
        <v>1187</v>
      </c>
      <c r="CB335" s="401" t="s">
        <v>1188</v>
      </c>
    </row>
    <row r="336" spans="1:80" s="404" customFormat="1" x14ac:dyDescent="0.3">
      <c r="A336" s="1061"/>
      <c r="B336" s="1010"/>
      <c r="C336" s="1010"/>
      <c r="D336" s="1010"/>
      <c r="E336" s="1018" t="b">
        <v>0</v>
      </c>
      <c r="F336" s="1018" t="b">
        <v>0</v>
      </c>
      <c r="G336" s="1018" t="b">
        <v>0</v>
      </c>
      <c r="BC336" s="404">
        <v>0.34</v>
      </c>
      <c r="BE336" s="404">
        <v>1</v>
      </c>
      <c r="BF336" s="404">
        <v>0.25</v>
      </c>
      <c r="BH336" s="404">
        <v>1</v>
      </c>
      <c r="BI336" s="404">
        <v>0.34</v>
      </c>
      <c r="BJ336" s="404">
        <v>0.34</v>
      </c>
      <c r="BL336" s="404">
        <v>0.34</v>
      </c>
      <c r="BM336" s="404">
        <v>0.34</v>
      </c>
      <c r="BN336" s="404">
        <v>1</v>
      </c>
      <c r="BO336" s="404">
        <v>0.34</v>
      </c>
      <c r="BP336" s="404">
        <v>0.34</v>
      </c>
      <c r="BQ336" s="404">
        <v>0.34</v>
      </c>
      <c r="BR336" s="404">
        <v>0.34</v>
      </c>
      <c r="BS336" s="404">
        <v>0.34</v>
      </c>
      <c r="BT336" s="404">
        <v>0.25</v>
      </c>
      <c r="BU336" s="404">
        <v>0.34</v>
      </c>
      <c r="BV336" s="404">
        <v>0.34</v>
      </c>
      <c r="BW336" s="404">
        <v>0.34</v>
      </c>
      <c r="BX336" s="404">
        <v>0.71</v>
      </c>
      <c r="BY336" s="404">
        <v>1</v>
      </c>
      <c r="BZ336" s="404">
        <v>1</v>
      </c>
      <c r="CA336" s="404">
        <v>0.25</v>
      </c>
      <c r="CB336" s="404">
        <v>0.71</v>
      </c>
    </row>
    <row r="337" spans="1:80" s="401" customFormat="1" ht="28.8" x14ac:dyDescent="0.3">
      <c r="A337" s="1061" t="s">
        <v>1025</v>
      </c>
      <c r="B337" s="1010" t="s">
        <v>829</v>
      </c>
      <c r="C337" s="1010"/>
      <c r="D337" s="1010"/>
      <c r="E337" s="1018">
        <v>0</v>
      </c>
      <c r="F337" s="1018">
        <v>0</v>
      </c>
      <c r="G337" s="1018">
        <v>0</v>
      </c>
      <c r="BC337" s="401">
        <v>1275706</v>
      </c>
      <c r="BD337" s="401">
        <v>0</v>
      </c>
      <c r="BE337" s="401">
        <v>380544</v>
      </c>
      <c r="BF337" s="401">
        <v>2580625</v>
      </c>
      <c r="BG337" s="401">
        <v>0</v>
      </c>
      <c r="BH337" s="401">
        <v>151938</v>
      </c>
      <c r="BI337" s="401">
        <v>2696780</v>
      </c>
      <c r="BJ337" s="401">
        <v>3219557</v>
      </c>
      <c r="BK337" s="401">
        <v>0</v>
      </c>
      <c r="BL337" s="401">
        <v>2466858</v>
      </c>
      <c r="BM337" s="401">
        <v>5673126</v>
      </c>
      <c r="BN337" s="401">
        <v>136189</v>
      </c>
      <c r="BO337" s="401">
        <v>3306575</v>
      </c>
      <c r="BP337" s="401">
        <v>3353718</v>
      </c>
      <c r="BQ337" s="401">
        <v>1460119</v>
      </c>
      <c r="BR337" s="401">
        <v>2534604</v>
      </c>
      <c r="BS337" s="401">
        <v>2035149</v>
      </c>
      <c r="BT337" s="401">
        <v>8873551</v>
      </c>
      <c r="BU337" s="401">
        <v>2107484</v>
      </c>
      <c r="BV337" s="401">
        <v>1610680</v>
      </c>
      <c r="BW337" s="401">
        <v>938874</v>
      </c>
      <c r="BX337" s="401">
        <v>807990</v>
      </c>
      <c r="BY337" s="401">
        <v>165153</v>
      </c>
      <c r="BZ337" s="401">
        <v>192770</v>
      </c>
      <c r="CA337" s="401">
        <v>12254939</v>
      </c>
      <c r="CB337" s="401">
        <v>94313</v>
      </c>
    </row>
    <row r="338" spans="1:80" s="401" customFormat="1" x14ac:dyDescent="0.3">
      <c r="A338" s="1061" t="s">
        <v>718</v>
      </c>
      <c r="B338" s="1010" t="s">
        <v>723</v>
      </c>
      <c r="C338" s="1010"/>
      <c r="D338" s="1010"/>
      <c r="E338" s="1018">
        <v>0</v>
      </c>
      <c r="F338" s="1018">
        <v>0</v>
      </c>
      <c r="G338" s="1018">
        <v>0</v>
      </c>
      <c r="BC338" s="401">
        <v>2494601</v>
      </c>
      <c r="BD338" s="401">
        <v>0</v>
      </c>
      <c r="BE338" s="401">
        <v>67554</v>
      </c>
      <c r="BF338" s="401">
        <v>27708342</v>
      </c>
      <c r="BG338" s="401">
        <v>0</v>
      </c>
      <c r="BH338" s="401">
        <v>47685</v>
      </c>
      <c r="BI338" s="401">
        <v>3009729</v>
      </c>
      <c r="BJ338" s="401">
        <v>2485704</v>
      </c>
      <c r="BK338" s="401">
        <v>0</v>
      </c>
      <c r="BL338" s="401">
        <v>9454369</v>
      </c>
      <c r="BM338" s="401">
        <v>4163206</v>
      </c>
      <c r="BN338" s="401">
        <v>40551</v>
      </c>
      <c r="BO338" s="401">
        <v>6868959</v>
      </c>
      <c r="BP338" s="401">
        <v>1565361</v>
      </c>
      <c r="BQ338" s="401">
        <v>1043552</v>
      </c>
      <c r="BR338" s="401">
        <v>1983298</v>
      </c>
      <c r="BS338" s="401">
        <v>1104978</v>
      </c>
      <c r="BT338" s="401">
        <v>25453289</v>
      </c>
      <c r="BU338" s="401">
        <v>2020087</v>
      </c>
      <c r="BV338" s="401">
        <v>2776433</v>
      </c>
      <c r="BW338" s="401">
        <v>1435483</v>
      </c>
      <c r="BX338" s="401">
        <v>782442</v>
      </c>
      <c r="BY338" s="401">
        <v>31281</v>
      </c>
      <c r="BZ338" s="401">
        <v>40519</v>
      </c>
      <c r="CA338" s="401">
        <v>18193742</v>
      </c>
      <c r="CB338" s="401">
        <v>157054</v>
      </c>
    </row>
    <row r="339" spans="1:80" s="404" customFormat="1" ht="28.8" x14ac:dyDescent="0.3">
      <c r="A339" s="1061" t="s">
        <v>1026</v>
      </c>
      <c r="B339" s="1010" t="s">
        <v>828</v>
      </c>
      <c r="C339" s="1010"/>
      <c r="D339" s="1010"/>
      <c r="E339" s="1018" t="e">
        <v>#DIV/0!</v>
      </c>
      <c r="F339" s="1018" t="e">
        <v>#DIV/0!</v>
      </c>
      <c r="G339" s="1018" t="e">
        <v>#DIV/0!</v>
      </c>
      <c r="BC339" s="404">
        <v>0.51138679091365713</v>
      </c>
      <c r="BD339" s="404" t="e">
        <v>#DIV/0!</v>
      </c>
      <c r="BE339" s="404">
        <v>5.633182343014477</v>
      </c>
      <c r="BF339" s="404">
        <v>9.3135309214820577E-2</v>
      </c>
      <c r="BG339" s="404" t="e">
        <v>#DIV/0!</v>
      </c>
      <c r="BH339" s="404">
        <v>3.1862849952815351</v>
      </c>
      <c r="BI339" s="404">
        <v>0.89602087098207184</v>
      </c>
      <c r="BJ339" s="404">
        <v>1.2952294400298667</v>
      </c>
      <c r="BK339" s="404" t="e">
        <v>#DIV/0!</v>
      </c>
      <c r="BL339" s="404">
        <v>0.26092254279476507</v>
      </c>
      <c r="BM339" s="404">
        <v>1.3626820291861608</v>
      </c>
      <c r="BN339" s="404">
        <v>3.3584621834233435</v>
      </c>
      <c r="BO339" s="404">
        <v>0.4813793472926538</v>
      </c>
      <c r="BP339" s="404">
        <v>2.1424565962739583</v>
      </c>
      <c r="BQ339" s="404">
        <v>1.3991818328171477</v>
      </c>
      <c r="BR339" s="404">
        <v>1.2779743639130379</v>
      </c>
      <c r="BS339" s="404">
        <v>1.8418004702356066</v>
      </c>
      <c r="BT339" s="404">
        <v>0.34862099746716424</v>
      </c>
      <c r="BU339" s="404">
        <v>1.0432639782346007</v>
      </c>
      <c r="BV339" s="404">
        <v>0.58012565042988606</v>
      </c>
      <c r="BW339" s="404">
        <v>0.65404745301755574</v>
      </c>
      <c r="BX339" s="404">
        <v>1.032651621462038</v>
      </c>
      <c r="BY339" s="404">
        <v>5.2796585786899399</v>
      </c>
      <c r="BZ339" s="404">
        <v>4.7575211629112264</v>
      </c>
      <c r="CA339" s="404">
        <v>0.67357990456278871</v>
      </c>
      <c r="CB339" s="404">
        <v>0.60051319928177571</v>
      </c>
    </row>
    <row r="340" spans="1:80" s="401" customFormat="1" x14ac:dyDescent="0.3">
      <c r="A340" s="1061" t="s">
        <v>719</v>
      </c>
      <c r="B340" s="1010" t="s">
        <v>1671</v>
      </c>
      <c r="C340" s="1010"/>
      <c r="D340" s="1010"/>
      <c r="E340" s="1010"/>
      <c r="F340" s="1018"/>
      <c r="G340" s="1018"/>
      <c r="BC340" s="401">
        <v>73301</v>
      </c>
      <c r="BD340" s="401">
        <v>0</v>
      </c>
      <c r="BE340" s="401">
        <v>0</v>
      </c>
      <c r="BF340" s="401">
        <v>732939</v>
      </c>
      <c r="BG340" s="401">
        <v>0</v>
      </c>
      <c r="BH340" s="401">
        <v>0</v>
      </c>
      <c r="BI340" s="401">
        <v>317512</v>
      </c>
      <c r="BJ340" s="401">
        <v>193760</v>
      </c>
      <c r="BK340" s="401">
        <v>0</v>
      </c>
      <c r="BL340" s="401">
        <v>79013</v>
      </c>
      <c r="BM340" s="401">
        <v>44138</v>
      </c>
      <c r="BN340" s="401">
        <v>0</v>
      </c>
      <c r="BO340" s="401">
        <v>299338</v>
      </c>
      <c r="BP340" s="401">
        <v>112358</v>
      </c>
      <c r="BQ340" s="401">
        <v>36207</v>
      </c>
      <c r="BR340" s="401">
        <v>97188</v>
      </c>
      <c r="BS340" s="401">
        <v>0</v>
      </c>
      <c r="BT340" s="401">
        <v>0</v>
      </c>
      <c r="BU340" s="401">
        <v>41531</v>
      </c>
      <c r="BV340" s="401">
        <v>368887</v>
      </c>
      <c r="BW340" s="401">
        <v>12132</v>
      </c>
      <c r="BX340" s="401">
        <v>0</v>
      </c>
      <c r="BY340" s="401">
        <v>0</v>
      </c>
      <c r="BZ340" s="401">
        <v>0</v>
      </c>
      <c r="CA340" s="401">
        <v>851748</v>
      </c>
      <c r="CB340" s="401">
        <v>0</v>
      </c>
    </row>
    <row r="341" spans="1:80" s="401" customFormat="1" ht="28.8" x14ac:dyDescent="0.3">
      <c r="A341" s="1061" t="s">
        <v>804</v>
      </c>
      <c r="B341" s="1010" t="s">
        <v>720</v>
      </c>
      <c r="C341" s="1010"/>
      <c r="D341" s="1010"/>
      <c r="E341" s="1010"/>
      <c r="F341" s="1018"/>
      <c r="G341" s="1018"/>
    </row>
    <row r="342" spans="1:80" s="401" customFormat="1" x14ac:dyDescent="0.3">
      <c r="A342" s="1061" t="s">
        <v>722</v>
      </c>
      <c r="B342" s="1010" t="s">
        <v>721</v>
      </c>
      <c r="C342" s="1010"/>
      <c r="D342" s="1010"/>
      <c r="E342" s="1010"/>
      <c r="F342" s="1018"/>
      <c r="G342" s="1018"/>
    </row>
    <row r="343" spans="1:80" s="401" customFormat="1" x14ac:dyDescent="0.3">
      <c r="A343" s="1061" t="s">
        <v>724</v>
      </c>
      <c r="B343" s="1010" t="s">
        <v>726</v>
      </c>
      <c r="C343" s="1010"/>
      <c r="D343" s="1010"/>
      <c r="E343" s="1010"/>
      <c r="F343" s="1018"/>
      <c r="G343" s="1018"/>
    </row>
    <row r="344" spans="1:80" s="401" customFormat="1" x14ac:dyDescent="0.3">
      <c r="A344" s="1061" t="s">
        <v>725</v>
      </c>
      <c r="B344" s="1010" t="s">
        <v>727</v>
      </c>
      <c r="C344" s="1010"/>
      <c r="D344" s="1010"/>
      <c r="E344" s="1010"/>
      <c r="F344" s="1018"/>
      <c r="G344" s="1018"/>
    </row>
    <row r="345" spans="1:80" s="401" customFormat="1" x14ac:dyDescent="0.3">
      <c r="A345" s="1061" t="s">
        <v>826</v>
      </c>
      <c r="B345" s="1010" t="s">
        <v>829</v>
      </c>
      <c r="C345" s="1010"/>
      <c r="D345" s="1010"/>
      <c r="E345" s="1010"/>
      <c r="F345" s="1018"/>
      <c r="G345" s="1018"/>
    </row>
    <row r="346" spans="1:80" s="401" customFormat="1" ht="28.8" x14ac:dyDescent="0.3">
      <c r="A346" s="1061" t="s">
        <v>827</v>
      </c>
      <c r="B346" s="1010" t="s">
        <v>828</v>
      </c>
      <c r="C346" s="1010"/>
      <c r="D346" s="1010"/>
      <c r="E346" s="1010"/>
      <c r="F346" s="1018"/>
      <c r="G346" s="1018"/>
    </row>
    <row r="347" spans="1:80" s="401" customFormat="1" x14ac:dyDescent="0.3">
      <c r="A347" s="1061" t="s">
        <v>1027</v>
      </c>
      <c r="B347" s="1010" t="s">
        <v>745</v>
      </c>
      <c r="C347" s="1010"/>
      <c r="D347" s="1010"/>
      <c r="E347" s="1018" t="e">
        <v>#DIV/0!</v>
      </c>
      <c r="F347" s="1018" t="e">
        <v>#DIV/0!</v>
      </c>
      <c r="G347" s="1018" t="e">
        <v>#DIV/0!</v>
      </c>
      <c r="BC347" s="401">
        <v>3.8671597584722881</v>
      </c>
      <c r="BD347" s="401" t="e">
        <v>#DIV/0!</v>
      </c>
      <c r="BE347" s="401" t="e">
        <v>#DIV/0!</v>
      </c>
      <c r="BF347" s="401">
        <v>5.4242074759058649</v>
      </c>
      <c r="BG347" s="401" t="e">
        <v>#DIV/0!</v>
      </c>
      <c r="BH347" s="401" t="e">
        <v>#DIV/0!</v>
      </c>
      <c r="BI347" s="401">
        <v>2.140739113875135</v>
      </c>
      <c r="BJ347" s="401">
        <v>10.064026612977207</v>
      </c>
      <c r="BK347" s="401" t="e">
        <v>#DIV/0!</v>
      </c>
      <c r="BL347" s="401">
        <v>29.15234895685688</v>
      </c>
      <c r="BM347" s="401">
        <v>16.589920948616601</v>
      </c>
      <c r="BN347" s="401" t="e">
        <v>#DIV/0!</v>
      </c>
      <c r="BO347" s="401">
        <v>6.3453389056426657</v>
      </c>
      <c r="BP347" s="401">
        <v>17.210449873380011</v>
      </c>
      <c r="BQ347" s="401">
        <v>51.483160063239595</v>
      </c>
      <c r="BR347" s="401">
        <v>2.4723680236402372</v>
      </c>
      <c r="BS347" s="401" t="e">
        <v>#DIV/0!</v>
      </c>
      <c r="BT347" s="401" t="e">
        <v>#DIV/0!</v>
      </c>
      <c r="BU347" s="401">
        <v>10.14565902155724</v>
      </c>
      <c r="BV347" s="401">
        <v>7.2586452062864382</v>
      </c>
      <c r="BW347" s="401">
        <v>3.7882354532786775</v>
      </c>
      <c r="BX347" s="401">
        <v>2.6027955920795067</v>
      </c>
      <c r="BY347" s="401" t="e">
        <v>#DIV/0!</v>
      </c>
      <c r="BZ347" s="401" t="e">
        <v>#DIV/0!</v>
      </c>
      <c r="CA347" s="401">
        <v>6.0953589166680535</v>
      </c>
      <c r="CB347" s="401" t="e">
        <v>#DIV/0!</v>
      </c>
    </row>
    <row r="348" spans="1:80" s="401" customFormat="1" ht="57.6" x14ac:dyDescent="0.3">
      <c r="A348" s="1061" t="s">
        <v>1032</v>
      </c>
      <c r="B348" s="1010" t="s">
        <v>1191</v>
      </c>
      <c r="C348" s="1010"/>
      <c r="D348" s="1010"/>
      <c r="E348" s="1018">
        <v>0</v>
      </c>
      <c r="F348" s="1018">
        <v>0</v>
      </c>
      <c r="G348" s="1018">
        <v>0</v>
      </c>
      <c r="BC348" s="401">
        <f t="shared" ref="BC348:BQ348" si="0">+BC48-BC49+BC36-BC97</f>
        <v>27445</v>
      </c>
      <c r="BD348" s="401">
        <f t="shared" si="0"/>
        <v>0</v>
      </c>
      <c r="BE348" s="401">
        <f t="shared" si="0"/>
        <v>0</v>
      </c>
      <c r="BF348" s="401">
        <f t="shared" si="0"/>
        <v>1182128</v>
      </c>
      <c r="BG348" s="401">
        <f t="shared" si="0"/>
        <v>0</v>
      </c>
      <c r="BH348" s="401">
        <f t="shared" si="0"/>
        <v>0</v>
      </c>
      <c r="BI348" s="401">
        <f t="shared" si="0"/>
        <v>81423</v>
      </c>
      <c r="BJ348" s="401">
        <f t="shared" si="0"/>
        <v>143130</v>
      </c>
      <c r="BK348" s="401">
        <f t="shared" si="0"/>
        <v>0</v>
      </c>
      <c r="BL348" s="401">
        <f t="shared" si="0"/>
        <v>197067</v>
      </c>
      <c r="BM348" s="401">
        <f t="shared" si="0"/>
        <v>479062</v>
      </c>
      <c r="BN348" s="401">
        <f t="shared" si="0"/>
        <v>0</v>
      </c>
      <c r="BO348" s="401">
        <f t="shared" si="0"/>
        <v>352606</v>
      </c>
      <c r="BP348" s="401">
        <f t="shared" si="0"/>
        <v>256413</v>
      </c>
      <c r="BQ348" s="401">
        <f t="shared" si="0"/>
        <v>205522</v>
      </c>
      <c r="BR348" s="401">
        <f t="shared" ref="BR348:CB348" si="1">+BR48-BR49+BR36-BR97</f>
        <v>93957</v>
      </c>
      <c r="BS348" s="401">
        <f t="shared" si="1"/>
        <v>0</v>
      </c>
      <c r="BT348" s="401">
        <f t="shared" si="1"/>
        <v>0</v>
      </c>
      <c r="BU348" s="401">
        <f t="shared" si="1"/>
        <v>-45214</v>
      </c>
      <c r="BV348" s="401">
        <f t="shared" si="1"/>
        <v>184535</v>
      </c>
      <c r="BW348" s="401">
        <f t="shared" si="1"/>
        <v>57367</v>
      </c>
      <c r="BX348" s="401">
        <f t="shared" si="1"/>
        <v>661423</v>
      </c>
      <c r="BY348" s="401">
        <f t="shared" si="1"/>
        <v>0</v>
      </c>
      <c r="BZ348" s="401">
        <f t="shared" si="1"/>
        <v>0</v>
      </c>
      <c r="CA348" s="401">
        <f t="shared" si="1"/>
        <v>1246711</v>
      </c>
      <c r="CB348" s="401">
        <f t="shared" si="1"/>
        <v>0</v>
      </c>
    </row>
    <row r="349" spans="1:80" s="401" customFormat="1" ht="57.6" x14ac:dyDescent="0.3">
      <c r="A349" s="1061" t="s">
        <v>1031</v>
      </c>
      <c r="B349" s="1010" t="s">
        <v>1033</v>
      </c>
      <c r="C349" s="1010"/>
      <c r="D349" s="1010"/>
      <c r="E349" s="1018" t="e">
        <v>#DIV/0!</v>
      </c>
      <c r="F349" s="1018" t="e">
        <v>#DIV/0!</v>
      </c>
      <c r="G349" s="1018" t="e">
        <v>#DIV/0!</v>
      </c>
      <c r="BC349" s="401">
        <f t="shared" ref="BC349:BQ349" si="2">+BC44/(BC49+BC115-BC36+BC97)</f>
        <v>0.47608897536815109</v>
      </c>
      <c r="BD349" s="401" t="e">
        <f t="shared" si="2"/>
        <v>#DIV/0!</v>
      </c>
      <c r="BE349" s="401" t="e">
        <f t="shared" si="2"/>
        <v>#DIV/0!</v>
      </c>
      <c r="BF349" s="401">
        <f t="shared" si="2"/>
        <v>0.12070370681443221</v>
      </c>
      <c r="BG349" s="401" t="e">
        <f t="shared" si="2"/>
        <v>#DIV/0!</v>
      </c>
      <c r="BH349" s="401" t="e">
        <f t="shared" si="2"/>
        <v>#DIV/0!</v>
      </c>
      <c r="BI349" s="401">
        <f t="shared" si="2"/>
        <v>0.4469558455527341</v>
      </c>
      <c r="BJ349" s="401">
        <f t="shared" si="2"/>
        <v>2.2517835786090625</v>
      </c>
      <c r="BK349" s="401" t="e">
        <f t="shared" si="2"/>
        <v>#DIV/0!</v>
      </c>
      <c r="BL349" s="401">
        <f t="shared" si="2"/>
        <v>2.2156268927922471</v>
      </c>
      <c r="BM349" s="401">
        <f t="shared" si="2"/>
        <v>1.7881104314201071</v>
      </c>
      <c r="BN349" s="401" t="e">
        <f t="shared" si="2"/>
        <v>#DIV/0!</v>
      </c>
      <c r="BO349" s="401">
        <f t="shared" si="2"/>
        <v>0.50086017791550719</v>
      </c>
      <c r="BP349" s="401">
        <f t="shared" si="2"/>
        <v>4.1043090817196504</v>
      </c>
      <c r="BQ349" s="401">
        <f t="shared" si="2"/>
        <v>1.8411814523494539</v>
      </c>
      <c r="BR349" s="401">
        <f t="shared" ref="BR349:CB349" si="3">+BR44/(BR49+BR115-BR36+BR97)</f>
        <v>1.4020216051734358</v>
      </c>
      <c r="BS349" s="401" t="e">
        <f t="shared" si="3"/>
        <v>#DIV/0!</v>
      </c>
      <c r="BT349" s="401" t="e">
        <f t="shared" si="3"/>
        <v>#DIV/0!</v>
      </c>
      <c r="BU349" s="401">
        <f t="shared" si="3"/>
        <v>1.3777772769395367</v>
      </c>
      <c r="BV349" s="401">
        <f t="shared" si="3"/>
        <v>0.69278725117427076</v>
      </c>
      <c r="BW349" s="401">
        <f t="shared" si="3"/>
        <v>0.36200716085624834</v>
      </c>
      <c r="BX349" s="401">
        <f t="shared" si="3"/>
        <v>1.1283249635358208</v>
      </c>
      <c r="BY349" s="401" t="e">
        <f t="shared" si="3"/>
        <v>#DIV/0!</v>
      </c>
      <c r="BZ349" s="401" t="e">
        <f t="shared" si="3"/>
        <v>#DIV/0!</v>
      </c>
      <c r="CA349" s="401">
        <f t="shared" si="3"/>
        <v>1.167554668186698</v>
      </c>
      <c r="CB349" s="401" t="e">
        <f t="shared" si="3"/>
        <v>#DIV/0!</v>
      </c>
    </row>
    <row r="350" spans="1:80" s="401" customFormat="1" x14ac:dyDescent="0.3">
      <c r="A350" s="1061" t="s">
        <v>1030</v>
      </c>
      <c r="B350" s="1010" t="s">
        <v>1034</v>
      </c>
      <c r="C350" s="1010"/>
      <c r="D350" s="1010"/>
      <c r="E350" s="1062">
        <v>2.4376000000000002</v>
      </c>
      <c r="F350" s="1018">
        <v>3</v>
      </c>
      <c r="G350" s="1018">
        <v>9</v>
      </c>
      <c r="BC350" s="401" t="e">
        <v>#DIV/0!</v>
      </c>
      <c r="BD350" s="401" t="e">
        <v>#DIV/0!</v>
      </c>
      <c r="BE350" s="401" t="e">
        <v>#DIV/0!</v>
      </c>
      <c r="BF350" s="401">
        <v>6.2889184773331381</v>
      </c>
      <c r="BG350" s="401" t="e">
        <v>#DIV/0!</v>
      </c>
      <c r="BH350" s="401" t="e">
        <v>#DIV/0!</v>
      </c>
      <c r="BI350" s="401" t="e">
        <v>#DIV/0!</v>
      </c>
      <c r="BJ350" s="401" t="e">
        <v>#DIV/0!</v>
      </c>
      <c r="BK350" s="401" t="e">
        <v>#DIV/0!</v>
      </c>
      <c r="BL350" s="401">
        <v>49.548571145886584</v>
      </c>
      <c r="BM350" s="401" t="e">
        <v>#DIV/0!</v>
      </c>
      <c r="BN350" s="401" t="e">
        <v>#DIV/0!</v>
      </c>
      <c r="BO350" s="401" t="e">
        <v>#DIV/0!</v>
      </c>
      <c r="BP350" s="401" t="e">
        <v>#DIV/0!</v>
      </c>
      <c r="BQ350" s="401" t="e">
        <v>#DIV/0!</v>
      </c>
      <c r="BR350" s="401" t="e">
        <v>#DIV/0!</v>
      </c>
      <c r="BS350" s="401" t="e">
        <v>#DIV/0!</v>
      </c>
      <c r="BT350" s="401" t="e">
        <v>#DIV/0!</v>
      </c>
      <c r="BU350" s="401" t="e">
        <v>#DIV/0!</v>
      </c>
      <c r="BV350" s="401" t="e">
        <v>#DIV/0!</v>
      </c>
      <c r="BW350" s="401" t="e">
        <v>#DIV/0!</v>
      </c>
      <c r="BX350" s="401" t="e">
        <v>#DIV/0!</v>
      </c>
      <c r="BY350" s="401" t="e">
        <v>#DIV/0!</v>
      </c>
      <c r="BZ350" s="401" t="e">
        <v>#DIV/0!</v>
      </c>
      <c r="CA350" s="401" t="e">
        <v>#DIV/0!</v>
      </c>
      <c r="CB350" s="401" t="e">
        <v>#DIV/0!</v>
      </c>
    </row>
    <row r="351" spans="1:80" s="401" customFormat="1" ht="57.6" x14ac:dyDescent="0.3">
      <c r="A351" s="1061" t="s">
        <v>1036</v>
      </c>
      <c r="B351" s="1010" t="s">
        <v>1192</v>
      </c>
      <c r="C351" s="1010"/>
      <c r="D351" s="1010"/>
      <c r="E351" s="1063">
        <v>1641140</v>
      </c>
      <c r="F351" s="1018">
        <v>4836000</v>
      </c>
      <c r="G351" s="1018">
        <v>131717000</v>
      </c>
      <c r="BC351" s="401">
        <f t="shared" ref="BC351:BQ351" si="4">+BC55-BC56+BC39-BC60</f>
        <v>0</v>
      </c>
      <c r="BD351" s="401">
        <f t="shared" si="4"/>
        <v>0</v>
      </c>
      <c r="BE351" s="401">
        <f t="shared" si="4"/>
        <v>0</v>
      </c>
      <c r="BF351" s="401">
        <f t="shared" si="4"/>
        <v>2047824</v>
      </c>
      <c r="BG351" s="401">
        <f t="shared" si="4"/>
        <v>0</v>
      </c>
      <c r="BH351" s="401">
        <f t="shared" si="4"/>
        <v>0</v>
      </c>
      <c r="BI351" s="401">
        <f t="shared" si="4"/>
        <v>0</v>
      </c>
      <c r="BJ351" s="401">
        <f t="shared" si="4"/>
        <v>0</v>
      </c>
      <c r="BK351" s="401">
        <f t="shared" si="4"/>
        <v>0</v>
      </c>
      <c r="BL351" s="401">
        <f t="shared" si="4"/>
        <v>1095092</v>
      </c>
      <c r="BM351" s="401">
        <f t="shared" si="4"/>
        <v>0</v>
      </c>
      <c r="BN351" s="401">
        <f t="shared" si="4"/>
        <v>0</v>
      </c>
      <c r="BO351" s="401">
        <f t="shared" si="4"/>
        <v>0</v>
      </c>
      <c r="BP351" s="401">
        <f t="shared" si="4"/>
        <v>0</v>
      </c>
      <c r="BQ351" s="401">
        <f t="shared" si="4"/>
        <v>0</v>
      </c>
      <c r="BR351" s="401">
        <f t="shared" ref="BR351:CB351" si="5">+BR55-BR56+BR39-BR60</f>
        <v>0</v>
      </c>
      <c r="BS351" s="401">
        <f t="shared" si="5"/>
        <v>0</v>
      </c>
      <c r="BT351" s="401">
        <f t="shared" si="5"/>
        <v>0</v>
      </c>
      <c r="BU351" s="401">
        <f t="shared" si="5"/>
        <v>0</v>
      </c>
      <c r="BV351" s="401">
        <f t="shared" si="5"/>
        <v>0</v>
      </c>
      <c r="BW351" s="401">
        <f t="shared" si="5"/>
        <v>0</v>
      </c>
      <c r="BX351" s="401">
        <f t="shared" si="5"/>
        <v>0</v>
      </c>
      <c r="BY351" s="401">
        <f t="shared" si="5"/>
        <v>0</v>
      </c>
      <c r="BZ351" s="401">
        <f t="shared" si="5"/>
        <v>0</v>
      </c>
      <c r="CA351" s="401">
        <f t="shared" si="5"/>
        <v>0</v>
      </c>
      <c r="CB351" s="401">
        <f t="shared" si="5"/>
        <v>0</v>
      </c>
    </row>
    <row r="352" spans="1:80" s="401" customFormat="1" ht="57.6" x14ac:dyDescent="0.3">
      <c r="A352" s="1061" t="s">
        <v>1037</v>
      </c>
      <c r="B352" s="1010" t="s">
        <v>1038</v>
      </c>
      <c r="C352" s="1010"/>
      <c r="D352" s="1010"/>
      <c r="E352" s="1018">
        <v>0</v>
      </c>
      <c r="F352" s="1018">
        <v>0</v>
      </c>
      <c r="G352" s="1018">
        <v>1</v>
      </c>
      <c r="BC352" s="401" t="e">
        <f t="shared" ref="BC352:BQ352" si="6">+BC52/(BC125+BC56-BC39+BC60)</f>
        <v>#DIV/0!</v>
      </c>
      <c r="BD352" s="401" t="e">
        <f t="shared" si="6"/>
        <v>#DIV/0!</v>
      </c>
      <c r="BE352" s="401" t="e">
        <f t="shared" si="6"/>
        <v>#DIV/0!</v>
      </c>
      <c r="BF352" s="401">
        <f t="shared" si="6"/>
        <v>0.18437549361039662</v>
      </c>
      <c r="BG352" s="401" t="e">
        <f t="shared" si="6"/>
        <v>#DIV/0!</v>
      </c>
      <c r="BH352" s="401" t="e">
        <f t="shared" si="6"/>
        <v>#DIV/0!</v>
      </c>
      <c r="BI352" s="401" t="e">
        <f t="shared" si="6"/>
        <v>#DIV/0!</v>
      </c>
      <c r="BJ352" s="401" t="e">
        <f t="shared" si="6"/>
        <v>#DIV/0!</v>
      </c>
      <c r="BK352" s="401" t="e">
        <f t="shared" si="6"/>
        <v>#DIV/0!</v>
      </c>
      <c r="BL352" s="401">
        <f t="shared" si="6"/>
        <v>0.36864333071685912</v>
      </c>
      <c r="BM352" s="401" t="e">
        <f t="shared" si="6"/>
        <v>#DIV/0!</v>
      </c>
      <c r="BN352" s="401" t="e">
        <f t="shared" si="6"/>
        <v>#DIV/0!</v>
      </c>
      <c r="BO352" s="401" t="e">
        <f t="shared" si="6"/>
        <v>#DIV/0!</v>
      </c>
      <c r="BP352" s="401" t="e">
        <f t="shared" si="6"/>
        <v>#DIV/0!</v>
      </c>
      <c r="BQ352" s="401" t="e">
        <f t="shared" si="6"/>
        <v>#DIV/0!</v>
      </c>
      <c r="BR352" s="401" t="e">
        <f t="shared" ref="BR352:CB352" si="7">+BR52/(BR125+BR56-BR39+BR60)</f>
        <v>#DIV/0!</v>
      </c>
      <c r="BS352" s="401" t="e">
        <f t="shared" si="7"/>
        <v>#DIV/0!</v>
      </c>
      <c r="BT352" s="401" t="e">
        <f t="shared" si="7"/>
        <v>#DIV/0!</v>
      </c>
      <c r="BU352" s="401" t="e">
        <f t="shared" si="7"/>
        <v>#DIV/0!</v>
      </c>
      <c r="BV352" s="401" t="e">
        <f t="shared" si="7"/>
        <v>#DIV/0!</v>
      </c>
      <c r="BW352" s="401" t="e">
        <f t="shared" si="7"/>
        <v>#DIV/0!</v>
      </c>
      <c r="BX352" s="401" t="e">
        <f t="shared" si="7"/>
        <v>#DIV/0!</v>
      </c>
      <c r="BY352" s="401" t="e">
        <f t="shared" si="7"/>
        <v>#DIV/0!</v>
      </c>
      <c r="BZ352" s="401" t="e">
        <f t="shared" si="7"/>
        <v>#DIV/0!</v>
      </c>
      <c r="CA352" s="401" t="e">
        <f t="shared" si="7"/>
        <v>#DIV/0!</v>
      </c>
      <c r="CB352" s="401" t="e">
        <f t="shared" si="7"/>
        <v>#DIV/0!</v>
      </c>
    </row>
    <row r="353" spans="1:80" s="401" customFormat="1" ht="28.8" x14ac:dyDescent="0.3">
      <c r="A353" s="1061" t="s">
        <v>1672</v>
      </c>
      <c r="B353" s="1010" t="s">
        <v>1052</v>
      </c>
      <c r="C353" s="1010"/>
      <c r="D353" s="1010"/>
      <c r="E353" s="1063">
        <v>29275899</v>
      </c>
      <c r="F353" s="1018">
        <v>33330000</v>
      </c>
      <c r="G353" s="1018">
        <v>2331396000</v>
      </c>
      <c r="BC353" s="401">
        <f t="shared" ref="BC353:BQ353" si="8">+BC177+BC118</f>
        <v>0</v>
      </c>
      <c r="BD353" s="401">
        <f t="shared" si="8"/>
        <v>0</v>
      </c>
      <c r="BE353" s="401">
        <f t="shared" si="8"/>
        <v>0</v>
      </c>
      <c r="BF353" s="401">
        <f t="shared" si="8"/>
        <v>36563025</v>
      </c>
      <c r="BG353" s="401">
        <f t="shared" si="8"/>
        <v>0</v>
      </c>
      <c r="BH353" s="401">
        <f t="shared" si="8"/>
        <v>0</v>
      </c>
      <c r="BI353" s="401">
        <f t="shared" si="8"/>
        <v>0</v>
      </c>
      <c r="BJ353" s="401">
        <f t="shared" si="8"/>
        <v>0</v>
      </c>
      <c r="BK353" s="401">
        <f t="shared" si="8"/>
        <v>0</v>
      </c>
      <c r="BL353" s="401">
        <f t="shared" si="8"/>
        <v>6785633</v>
      </c>
      <c r="BM353" s="401">
        <f t="shared" si="8"/>
        <v>0</v>
      </c>
      <c r="BN353" s="401">
        <f t="shared" si="8"/>
        <v>0</v>
      </c>
      <c r="BO353" s="401">
        <f t="shared" si="8"/>
        <v>0</v>
      </c>
      <c r="BP353" s="401">
        <f t="shared" si="8"/>
        <v>0</v>
      </c>
      <c r="BQ353" s="401">
        <f t="shared" si="8"/>
        <v>0</v>
      </c>
      <c r="BR353" s="401">
        <f t="shared" ref="BR353:CB353" si="9">+BR177+BR118</f>
        <v>0</v>
      </c>
      <c r="BS353" s="401">
        <f t="shared" si="9"/>
        <v>0</v>
      </c>
      <c r="BT353" s="401">
        <f t="shared" si="9"/>
        <v>0</v>
      </c>
      <c r="BU353" s="401">
        <f t="shared" si="9"/>
        <v>0</v>
      </c>
      <c r="BV353" s="401">
        <f t="shared" si="9"/>
        <v>0</v>
      </c>
      <c r="BW353" s="401">
        <f t="shared" si="9"/>
        <v>0</v>
      </c>
      <c r="BX353" s="401">
        <f t="shared" si="9"/>
        <v>0</v>
      </c>
      <c r="BY353" s="401">
        <f t="shared" si="9"/>
        <v>0</v>
      </c>
      <c r="BZ353" s="401">
        <f t="shared" si="9"/>
        <v>0</v>
      </c>
      <c r="CA353" s="401">
        <f t="shared" si="9"/>
        <v>0</v>
      </c>
      <c r="CB353" s="401">
        <f t="shared" si="9"/>
        <v>0</v>
      </c>
    </row>
    <row r="354" spans="1:80" s="401" customFormat="1" ht="28.8" x14ac:dyDescent="0.3">
      <c r="A354" s="1061" t="s">
        <v>1051</v>
      </c>
      <c r="B354" s="1010"/>
      <c r="C354" s="1010"/>
      <c r="D354" s="1010"/>
      <c r="E354" s="1010"/>
      <c r="F354" s="1010"/>
      <c r="G354" s="1010"/>
      <c r="BC354" s="401">
        <f t="shared" ref="BC354:BR354" si="10">+BC55</f>
        <v>0</v>
      </c>
      <c r="BD354" s="401">
        <f t="shared" si="10"/>
        <v>0</v>
      </c>
      <c r="BE354" s="401">
        <f t="shared" si="10"/>
        <v>0</v>
      </c>
      <c r="BF354" s="401">
        <f t="shared" si="10"/>
        <v>31037334</v>
      </c>
      <c r="BG354" s="401">
        <f t="shared" si="10"/>
        <v>0</v>
      </c>
      <c r="BH354" s="401">
        <f t="shared" si="10"/>
        <v>0</v>
      </c>
      <c r="BI354" s="401">
        <f t="shared" si="10"/>
        <v>0</v>
      </c>
      <c r="BJ354" s="401">
        <f t="shared" si="10"/>
        <v>0</v>
      </c>
      <c r="BK354" s="401">
        <f t="shared" si="10"/>
        <v>0</v>
      </c>
      <c r="BL354" s="401">
        <f t="shared" si="10"/>
        <v>8028086</v>
      </c>
      <c r="BM354" s="401">
        <f t="shared" si="10"/>
        <v>0</v>
      </c>
      <c r="BN354" s="401">
        <f t="shared" si="10"/>
        <v>0</v>
      </c>
      <c r="BO354" s="401">
        <f t="shared" si="10"/>
        <v>0</v>
      </c>
      <c r="BP354" s="401">
        <f t="shared" si="10"/>
        <v>0</v>
      </c>
      <c r="BQ354" s="401">
        <f t="shared" si="10"/>
        <v>0</v>
      </c>
      <c r="BR354" s="401">
        <f t="shared" si="10"/>
        <v>0</v>
      </c>
      <c r="BS354" s="401">
        <f t="shared" ref="BS354:CB354" si="11">+BS55</f>
        <v>0</v>
      </c>
      <c r="BT354" s="401">
        <f t="shared" si="11"/>
        <v>0</v>
      </c>
      <c r="BU354" s="401">
        <f t="shared" si="11"/>
        <v>0</v>
      </c>
      <c r="BV354" s="401">
        <f t="shared" si="11"/>
        <v>0</v>
      </c>
      <c r="BW354" s="401">
        <f t="shared" si="11"/>
        <v>0</v>
      </c>
      <c r="BX354" s="401">
        <f t="shared" si="11"/>
        <v>0</v>
      </c>
      <c r="BY354" s="401">
        <f t="shared" si="11"/>
        <v>0</v>
      </c>
      <c r="BZ354" s="401">
        <f t="shared" si="11"/>
        <v>0</v>
      </c>
      <c r="CA354" s="401">
        <f t="shared" si="11"/>
        <v>0</v>
      </c>
      <c r="CB354" s="401">
        <f t="shared" si="11"/>
        <v>0</v>
      </c>
    </row>
    <row r="355" spans="1:80" s="401" customFormat="1" ht="43.2" x14ac:dyDescent="0.3">
      <c r="A355" s="1061" t="s">
        <v>1673</v>
      </c>
      <c r="B355" s="1010"/>
      <c r="C355" s="1010"/>
      <c r="D355" s="1010"/>
      <c r="E355" s="1010"/>
      <c r="F355" s="1010"/>
      <c r="G355" s="1010"/>
    </row>
    <row r="356" spans="1:80" s="401" customFormat="1" ht="43.2" x14ac:dyDescent="0.3">
      <c r="A356" s="1061" t="s">
        <v>1673</v>
      </c>
      <c r="B356" s="1010"/>
      <c r="C356" s="1010"/>
      <c r="D356" s="1010"/>
      <c r="E356" s="1010"/>
      <c r="F356" s="1010"/>
      <c r="G356" s="1010"/>
    </row>
    <row r="357" spans="1:80" x14ac:dyDescent="0.3">
      <c r="A357" s="1064"/>
      <c r="B357" s="1010"/>
      <c r="C357" s="1010"/>
      <c r="D357" s="1010"/>
      <c r="E357" s="1010"/>
      <c r="F357" s="1010"/>
      <c r="G357" s="1010"/>
    </row>
    <row r="360" spans="1:80" x14ac:dyDescent="0.3">
      <c r="A360" s="1010"/>
      <c r="B360" s="1010"/>
      <c r="C360" s="1010"/>
      <c r="D360" s="1010"/>
      <c r="E360" s="1022">
        <v>224028452.09</v>
      </c>
      <c r="F360" s="1022">
        <v>4123549837</v>
      </c>
      <c r="G360" s="1022">
        <v>11820032837</v>
      </c>
    </row>
    <row r="361" spans="1:80" x14ac:dyDescent="0.3">
      <c r="A361" s="1010"/>
      <c r="B361" s="1010"/>
      <c r="C361" s="1010"/>
      <c r="D361" s="1010" t="s">
        <v>1674</v>
      </c>
      <c r="E361" s="1022">
        <v>224028452.09</v>
      </c>
      <c r="F361" s="1022">
        <v>4123549837</v>
      </c>
      <c r="G361" s="1022">
        <v>11820032837</v>
      </c>
    </row>
    <row r="362" spans="1:80" x14ac:dyDescent="0.3">
      <c r="E362" s="99">
        <v>0</v>
      </c>
      <c r="F362" s="99">
        <v>0</v>
      </c>
      <c r="G362" s="99">
        <v>0</v>
      </c>
    </row>
    <row r="366" spans="1:80" x14ac:dyDescent="0.3">
      <c r="A366" s="1014">
        <v>47</v>
      </c>
      <c r="B366" s="1014"/>
      <c r="C366" s="1018">
        <v>47</v>
      </c>
      <c r="D366" s="1019" t="s">
        <v>593</v>
      </c>
      <c r="E366" s="1020">
        <v>3084157</v>
      </c>
      <c r="F366" s="1021" t="s">
        <v>1683</v>
      </c>
      <c r="G366" s="1021" t="s">
        <v>1684</v>
      </c>
    </row>
    <row r="367" spans="1:80" x14ac:dyDescent="0.3">
      <c r="A367" s="1014">
        <v>48</v>
      </c>
      <c r="B367" s="1014"/>
      <c r="C367" s="1018">
        <v>48</v>
      </c>
      <c r="D367" s="1019" t="s">
        <v>123</v>
      </c>
      <c r="E367" s="1020">
        <v>1028369</v>
      </c>
      <c r="F367" s="1021" t="s">
        <v>1683</v>
      </c>
      <c r="G367" s="1021" t="s">
        <v>1684</v>
      </c>
    </row>
    <row r="368" spans="1:80" ht="28.8" x14ac:dyDescent="0.3">
      <c r="A368" s="1014">
        <v>537</v>
      </c>
      <c r="B368" s="1014"/>
      <c r="C368" s="1031">
        <v>537</v>
      </c>
      <c r="D368" s="1032" t="s">
        <v>792</v>
      </c>
      <c r="E368" s="1020" t="s">
        <v>1682</v>
      </c>
      <c r="F368" s="1021" t="s">
        <v>1683</v>
      </c>
      <c r="G368" s="1021" t="s">
        <v>1684</v>
      </c>
    </row>
    <row r="369" spans="1:7" ht="43.2" x14ac:dyDescent="0.3">
      <c r="A369" s="1014">
        <v>538</v>
      </c>
      <c r="B369" s="1014"/>
      <c r="C369" s="1031">
        <v>538</v>
      </c>
      <c r="D369" s="1032" t="s">
        <v>793</v>
      </c>
      <c r="E369" s="1020" t="s">
        <v>1682</v>
      </c>
      <c r="F369" s="1021" t="s">
        <v>1683</v>
      </c>
      <c r="G369" s="1021" t="s">
        <v>1684</v>
      </c>
    </row>
    <row r="370" spans="1:7" ht="28.8" x14ac:dyDescent="0.3">
      <c r="A370" s="1014">
        <v>577</v>
      </c>
      <c r="B370" s="1014">
        <v>577</v>
      </c>
      <c r="C370" s="1033">
        <v>577</v>
      </c>
      <c r="D370" s="1037" t="s">
        <v>604</v>
      </c>
      <c r="E370" s="1028">
        <v>1</v>
      </c>
      <c r="F370" s="1029">
        <v>2</v>
      </c>
      <c r="G370" s="1029">
        <v>2</v>
      </c>
    </row>
    <row r="371" spans="1:7" ht="57.6" x14ac:dyDescent="0.3">
      <c r="A371" s="1014">
        <v>620</v>
      </c>
      <c r="B371" s="1014">
        <v>620</v>
      </c>
      <c r="C371" s="1031">
        <v>620</v>
      </c>
      <c r="D371" s="1035" t="s">
        <v>639</v>
      </c>
      <c r="E371" s="1020">
        <v>2</v>
      </c>
      <c r="F371" s="1021">
        <v>2</v>
      </c>
      <c r="G371" s="1021">
        <v>2</v>
      </c>
    </row>
    <row r="372" spans="1:7" x14ac:dyDescent="0.3">
      <c r="A372" s="1014">
        <v>992</v>
      </c>
      <c r="B372" s="1014"/>
      <c r="C372" s="1018"/>
      <c r="D372" s="1019"/>
      <c r="E372" s="1038"/>
      <c r="F372" s="1039"/>
      <c r="G372" s="1039"/>
    </row>
    <row r="373" spans="1:7" x14ac:dyDescent="0.3">
      <c r="A373" s="1014">
        <v>993</v>
      </c>
      <c r="B373" s="1014"/>
      <c r="C373" s="1018">
        <v>993</v>
      </c>
      <c r="D373" s="1019" t="s">
        <v>511</v>
      </c>
      <c r="E373" s="1038">
        <v>0</v>
      </c>
      <c r="F373" s="1039">
        <v>0</v>
      </c>
      <c r="G373" s="1039">
        <v>0</v>
      </c>
    </row>
    <row r="374" spans="1:7" x14ac:dyDescent="0.3">
      <c r="A374" s="1014">
        <v>994</v>
      </c>
      <c r="B374" s="1014"/>
      <c r="C374" s="1026">
        <v>994</v>
      </c>
      <c r="D374" s="1027" t="s">
        <v>513</v>
      </c>
      <c r="E374" s="1040">
        <v>0</v>
      </c>
      <c r="F374" s="1041">
        <v>0</v>
      </c>
      <c r="G374" s="1041">
        <v>0</v>
      </c>
    </row>
    <row r="375" spans="1:7" x14ac:dyDescent="0.3">
      <c r="A375" s="1014">
        <v>995</v>
      </c>
      <c r="B375" s="1014"/>
      <c r="C375" s="1026">
        <v>995</v>
      </c>
      <c r="D375" s="1027" t="s">
        <v>515</v>
      </c>
      <c r="E375" s="1040">
        <v>0.09</v>
      </c>
      <c r="F375" s="1041">
        <v>0</v>
      </c>
      <c r="G375" s="1041">
        <v>0</v>
      </c>
    </row>
    <row r="376" spans="1:7" x14ac:dyDescent="0.3">
      <c r="A376" s="1014">
        <v>996</v>
      </c>
      <c r="B376" s="1014"/>
      <c r="C376" s="1026">
        <v>996</v>
      </c>
      <c r="D376" s="1027" t="s">
        <v>517</v>
      </c>
      <c r="E376" s="1040">
        <v>0</v>
      </c>
      <c r="F376" s="1041">
        <v>0</v>
      </c>
      <c r="G376" s="1041">
        <v>0</v>
      </c>
    </row>
    <row r="377" spans="1:7" x14ac:dyDescent="0.3">
      <c r="A377" s="1014">
        <v>997</v>
      </c>
      <c r="B377" s="1014"/>
      <c r="C377" s="1026"/>
      <c r="D377" s="1027"/>
      <c r="E377" s="1040"/>
      <c r="F377" s="1041"/>
      <c r="G377" s="1041"/>
    </row>
    <row r="378" spans="1:7" x14ac:dyDescent="0.3">
      <c r="A378" s="1014">
        <v>998</v>
      </c>
      <c r="B378" s="1014"/>
      <c r="C378" s="1030">
        <v>998</v>
      </c>
      <c r="D378" s="1027" t="s">
        <v>288</v>
      </c>
      <c r="E378" s="1042">
        <v>60</v>
      </c>
      <c r="F378" s="1043">
        <v>60</v>
      </c>
      <c r="G378" s="1043">
        <v>60</v>
      </c>
    </row>
    <row r="379" spans="1:7" x14ac:dyDescent="0.3">
      <c r="A379" s="1014">
        <v>999</v>
      </c>
      <c r="B379" s="1014"/>
      <c r="C379" s="1010">
        <v>999</v>
      </c>
      <c r="D379" s="1049" t="s">
        <v>289</v>
      </c>
      <c r="E379" s="1028">
        <v>601754</v>
      </c>
      <c r="F379" s="1029">
        <v>601758</v>
      </c>
      <c r="G379" s="1029">
        <v>601758</v>
      </c>
    </row>
    <row r="380" spans="1:7" x14ac:dyDescent="0.3">
      <c r="A380" s="1014">
        <v>906</v>
      </c>
      <c r="B380" s="1014">
        <v>906</v>
      </c>
      <c r="C380" s="1010"/>
      <c r="D380" s="1010"/>
      <c r="E380" s="1028">
        <v>1</v>
      </c>
      <c r="F380" s="1029">
        <v>1</v>
      </c>
      <c r="G380" s="1029">
        <v>1</v>
      </c>
    </row>
    <row r="381" spans="1:7" x14ac:dyDescent="0.3">
      <c r="A381" s="1014">
        <v>907</v>
      </c>
      <c r="B381" s="1014">
        <v>907</v>
      </c>
      <c r="C381" s="1010"/>
      <c r="D381" s="1010"/>
      <c r="E381" s="1028">
        <v>2</v>
      </c>
      <c r="F381" s="1029">
        <v>2</v>
      </c>
      <c r="G381" s="1029">
        <v>2</v>
      </c>
    </row>
    <row r="382" spans="1:7" x14ac:dyDescent="0.3">
      <c r="A382" s="1014">
        <v>951</v>
      </c>
      <c r="B382" s="1014">
        <v>951</v>
      </c>
      <c r="C382" s="1010"/>
      <c r="D382" s="1010"/>
      <c r="E382" s="1028">
        <v>2</v>
      </c>
      <c r="F382" s="1029">
        <v>2</v>
      </c>
      <c r="G382" s="1029">
        <v>2</v>
      </c>
    </row>
    <row r="383" spans="1:7" x14ac:dyDescent="0.3">
      <c r="A383" s="1014">
        <v>953</v>
      </c>
      <c r="B383" s="1014">
        <v>953</v>
      </c>
      <c r="C383" s="1010"/>
      <c r="D383" s="1010"/>
      <c r="E383" s="1028">
        <v>2</v>
      </c>
      <c r="F383" s="1029">
        <v>2</v>
      </c>
      <c r="G383" s="1029">
        <v>2</v>
      </c>
    </row>
    <row r="384" spans="1:7" x14ac:dyDescent="0.3">
      <c r="A384" s="1014">
        <v>955</v>
      </c>
      <c r="B384" s="1014">
        <v>955</v>
      </c>
      <c r="C384" s="1010"/>
      <c r="D384" s="1010"/>
      <c r="E384" s="1028" t="s">
        <v>1682</v>
      </c>
      <c r="F384" s="1029" t="s">
        <v>1683</v>
      </c>
      <c r="G384" s="1029" t="s">
        <v>1684</v>
      </c>
    </row>
    <row r="385" spans="1:80" x14ac:dyDescent="0.3">
      <c r="A385" s="1014">
        <v>957</v>
      </c>
      <c r="B385" s="1014">
        <v>957</v>
      </c>
      <c r="C385" s="1010"/>
      <c r="D385" s="1010"/>
      <c r="E385" s="1028" t="s">
        <v>1682</v>
      </c>
      <c r="F385" s="1029" t="s">
        <v>1683</v>
      </c>
      <c r="G385" s="1029" t="s">
        <v>1684</v>
      </c>
    </row>
    <row r="386" spans="1:80" x14ac:dyDescent="0.3">
      <c r="A386" s="1014">
        <v>959</v>
      </c>
      <c r="B386" s="1014">
        <v>959</v>
      </c>
      <c r="C386" s="1010"/>
      <c r="D386" s="1010"/>
      <c r="E386" s="1028">
        <v>2</v>
      </c>
      <c r="F386" s="1029">
        <v>2</v>
      </c>
      <c r="G386" s="1029">
        <v>2</v>
      </c>
    </row>
    <row r="387" spans="1:80" x14ac:dyDescent="0.3">
      <c r="A387" s="1014">
        <v>961</v>
      </c>
      <c r="B387" s="1014">
        <v>961</v>
      </c>
      <c r="C387" s="1010"/>
      <c r="D387" s="1010"/>
      <c r="E387" s="1028">
        <v>3</v>
      </c>
      <c r="F387" s="1029">
        <v>2</v>
      </c>
      <c r="G387" s="1029">
        <v>2</v>
      </c>
    </row>
    <row r="388" spans="1:80" x14ac:dyDescent="0.3">
      <c r="A388" s="1014">
        <v>963</v>
      </c>
      <c r="B388" s="1014">
        <v>963</v>
      </c>
      <c r="C388" s="1010"/>
      <c r="D388" s="1010"/>
      <c r="E388" s="1028">
        <v>3</v>
      </c>
      <c r="F388" s="1029">
        <v>1</v>
      </c>
      <c r="G388" s="1029">
        <v>1</v>
      </c>
    </row>
    <row r="389" spans="1:80" x14ac:dyDescent="0.3">
      <c r="A389" s="1014">
        <v>965</v>
      </c>
      <c r="B389" s="1014">
        <v>965</v>
      </c>
      <c r="C389" s="1010"/>
      <c r="D389" s="1010"/>
      <c r="E389" s="1028">
        <v>1</v>
      </c>
      <c r="F389" s="1029">
        <v>1</v>
      </c>
      <c r="G389" s="1029">
        <v>1</v>
      </c>
    </row>
    <row r="390" spans="1:80" x14ac:dyDescent="0.3">
      <c r="A390" s="1014">
        <v>603</v>
      </c>
      <c r="B390" s="1014">
        <v>603</v>
      </c>
      <c r="C390" s="1010"/>
      <c r="D390" s="1010"/>
      <c r="E390" s="1028" t="s">
        <v>1682</v>
      </c>
      <c r="F390" s="1029" t="s">
        <v>1683</v>
      </c>
      <c r="G390" s="1029" t="s">
        <v>1684</v>
      </c>
    </row>
    <row r="391" spans="1:80" x14ac:dyDescent="0.3">
      <c r="A391" s="1014">
        <v>929</v>
      </c>
      <c r="B391" s="1014">
        <v>929</v>
      </c>
      <c r="C391" s="1010"/>
      <c r="D391" s="1010"/>
      <c r="E391" s="1028" t="s">
        <v>1682</v>
      </c>
      <c r="F391" s="1029" t="s">
        <v>1683</v>
      </c>
      <c r="G391" s="1029" t="s">
        <v>1684</v>
      </c>
    </row>
    <row r="392" spans="1:80" x14ac:dyDescent="0.3">
      <c r="A392" s="1014">
        <v>930</v>
      </c>
      <c r="B392" s="1014">
        <v>930</v>
      </c>
      <c r="C392" s="1010"/>
      <c r="D392" s="1010"/>
      <c r="E392" s="1028" t="s">
        <v>1682</v>
      </c>
      <c r="F392" s="1029" t="s">
        <v>1683</v>
      </c>
      <c r="G392" s="1029" t="s">
        <v>1684</v>
      </c>
    </row>
    <row r="393" spans="1:80" x14ac:dyDescent="0.3">
      <c r="A393" s="1014">
        <v>931</v>
      </c>
      <c r="B393" s="1014">
        <v>931</v>
      </c>
      <c r="C393" s="1010"/>
      <c r="D393" s="1010"/>
      <c r="E393" s="1028" t="s">
        <v>1682</v>
      </c>
      <c r="F393" s="1029" t="s">
        <v>1683</v>
      </c>
      <c r="G393" s="1029" t="s">
        <v>1684</v>
      </c>
    </row>
    <row r="394" spans="1:80" x14ac:dyDescent="0.3">
      <c r="A394" s="1014">
        <v>932</v>
      </c>
      <c r="B394" s="1014">
        <v>932</v>
      </c>
      <c r="C394" s="1010"/>
      <c r="D394" s="1010"/>
      <c r="E394" s="1028" t="s">
        <v>1682</v>
      </c>
      <c r="F394" s="1029" t="s">
        <v>1683</v>
      </c>
      <c r="G394" s="1029" t="s">
        <v>1684</v>
      </c>
    </row>
    <row r="395" spans="1:80" x14ac:dyDescent="0.3">
      <c r="A395" s="1010"/>
      <c r="B395" s="1014"/>
      <c r="C395" s="1010"/>
      <c r="D395" s="1010"/>
      <c r="E395" s="1018">
        <v>4714359</v>
      </c>
      <c r="F395" s="1018">
        <v>601835</v>
      </c>
      <c r="G395" s="1018">
        <v>601835</v>
      </c>
    </row>
    <row r="396" spans="1:80" x14ac:dyDescent="0.3">
      <c r="A396" s="1010"/>
      <c r="B396" s="1014"/>
      <c r="C396" s="1010"/>
      <c r="D396" s="1010"/>
      <c r="E396" s="1010"/>
      <c r="F396" s="1010"/>
      <c r="G396" s="1010"/>
      <c r="H396" s="400"/>
      <c r="I396" s="400"/>
      <c r="J396" s="400"/>
      <c r="K396" s="400"/>
      <c r="L396" s="400"/>
      <c r="M396" s="400"/>
      <c r="N396" s="400"/>
      <c r="O396" s="400"/>
      <c r="P396" s="400"/>
      <c r="Q396" s="400"/>
      <c r="R396" s="400"/>
      <c r="S396" s="400"/>
      <c r="T396" s="400"/>
      <c r="U396" s="400"/>
      <c r="V396" s="400"/>
      <c r="W396" s="400"/>
      <c r="X396" s="400"/>
      <c r="Y396" s="400"/>
      <c r="Z396" s="400"/>
      <c r="AA396" s="400"/>
      <c r="AB396" s="400"/>
      <c r="AC396" s="400"/>
      <c r="AD396" s="400"/>
      <c r="AE396" s="400"/>
      <c r="AF396" s="400"/>
      <c r="AG396" s="400"/>
      <c r="AH396" s="400"/>
      <c r="AI396" s="400"/>
      <c r="AJ396" s="400"/>
      <c r="AK396" s="400"/>
      <c r="AL396" s="400"/>
      <c r="AM396" s="400"/>
      <c r="AN396" s="400"/>
      <c r="AO396" s="400"/>
      <c r="AP396" s="400"/>
      <c r="AQ396" s="400"/>
      <c r="AR396" s="400"/>
      <c r="AS396" s="400"/>
      <c r="AT396" s="400"/>
      <c r="AU396" s="400"/>
      <c r="AV396" s="400"/>
      <c r="AW396" s="400"/>
      <c r="AX396" s="400"/>
      <c r="AY396" s="400"/>
      <c r="AZ396" s="400"/>
      <c r="BA396" s="400"/>
      <c r="BB396" s="400"/>
      <c r="BC396" s="400">
        <v>70270835.769999996</v>
      </c>
      <c r="BD396" s="400">
        <v>9.9999999999999992E-2</v>
      </c>
      <c r="BE396" s="400">
        <v>3539252.45</v>
      </c>
      <c r="BF396" s="400">
        <v>1079840787.5300002</v>
      </c>
      <c r="BG396" s="400">
        <v>9.9999999999999992E-2</v>
      </c>
      <c r="BH396" s="400">
        <v>1854805.9</v>
      </c>
      <c r="BI396" s="400">
        <v>110790692.17</v>
      </c>
      <c r="BJ396" s="400">
        <v>112690578.48</v>
      </c>
      <c r="BK396" s="400">
        <v>0.01</v>
      </c>
      <c r="BL396" s="400">
        <v>303639561.58999997</v>
      </c>
      <c r="BM396" s="400">
        <v>155900898.44</v>
      </c>
      <c r="BN396" s="400">
        <v>1514376</v>
      </c>
      <c r="BO396" s="400">
        <v>250217394.79999998</v>
      </c>
      <c r="BP396" s="400">
        <v>133707149.79000001</v>
      </c>
      <c r="BQ396" s="400">
        <v>70929674.940000013</v>
      </c>
      <c r="BR396" s="400">
        <v>84916797.150000006</v>
      </c>
      <c r="BS396" s="400">
        <v>59448838.159999996</v>
      </c>
      <c r="BT396" s="400">
        <v>1032784966.46</v>
      </c>
      <c r="BU396" s="400">
        <v>80149153.910000011</v>
      </c>
      <c r="BV396" s="400">
        <v>163234566.41999999</v>
      </c>
      <c r="BW396" s="400">
        <v>53953388.990000002</v>
      </c>
      <c r="BX396" s="400">
        <v>44775966.809999995</v>
      </c>
      <c r="BY396" s="400">
        <v>1653275.52</v>
      </c>
      <c r="BZ396" s="400">
        <v>1959376.27</v>
      </c>
      <c r="CA396" s="400">
        <v>782248469.95000005</v>
      </c>
      <c r="CB396" s="400">
        <v>2207035.62</v>
      </c>
    </row>
    <row r="397" spans="1:80" x14ac:dyDescent="0.3">
      <c r="A397" s="1010"/>
      <c r="B397" s="1014"/>
      <c r="C397" s="1010"/>
      <c r="D397" s="1010" t="s">
        <v>1675</v>
      </c>
      <c r="E397" s="1063">
        <v>219314093</v>
      </c>
      <c r="F397" s="1010"/>
      <c r="G397" s="1010"/>
      <c r="H397" s="400"/>
      <c r="I397" s="400"/>
      <c r="J397" s="400"/>
      <c r="K397" s="400"/>
      <c r="L397" s="400"/>
      <c r="M397" s="400"/>
      <c r="N397" s="400"/>
      <c r="O397" s="400"/>
      <c r="P397" s="400"/>
      <c r="Q397" s="400"/>
      <c r="R397" s="400"/>
      <c r="S397" s="400"/>
      <c r="T397" s="400"/>
      <c r="U397" s="400"/>
      <c r="V397" s="400"/>
      <c r="W397" s="400"/>
      <c r="X397" s="400"/>
      <c r="Y397" s="400"/>
      <c r="Z397" s="400"/>
      <c r="AA397" s="400"/>
      <c r="AB397" s="400"/>
      <c r="AC397" s="400"/>
      <c r="AD397" s="400"/>
      <c r="AE397" s="400"/>
      <c r="AF397" s="400"/>
      <c r="AG397" s="400"/>
      <c r="AH397" s="400"/>
      <c r="AI397" s="400"/>
      <c r="AJ397" s="400"/>
      <c r="AK397" s="400"/>
      <c r="AL397" s="400"/>
      <c r="AM397" s="400"/>
      <c r="AN397" s="400"/>
      <c r="AO397" s="400"/>
      <c r="AP397" s="400"/>
      <c r="AQ397" s="400"/>
      <c r="AR397" s="400"/>
      <c r="AS397" s="400"/>
      <c r="AT397" s="400"/>
      <c r="AU397" s="400"/>
      <c r="AV397" s="400"/>
      <c r="AW397" s="400"/>
      <c r="AX397" s="400"/>
      <c r="AY397" s="400"/>
      <c r="AZ397" s="400"/>
      <c r="BA397" s="400"/>
      <c r="BB397" s="400"/>
      <c r="BC397" s="400">
        <v>70270835.769999996</v>
      </c>
      <c r="BD397" s="400">
        <v>0.1</v>
      </c>
      <c r="BE397" s="400">
        <v>3539252.45</v>
      </c>
      <c r="BF397" s="400">
        <v>1079840787.53</v>
      </c>
      <c r="BG397" s="400">
        <v>0.1</v>
      </c>
      <c r="BH397" s="400">
        <v>1854805.9</v>
      </c>
      <c r="BI397" s="400">
        <v>110790692.17</v>
      </c>
      <c r="BJ397" s="400">
        <v>112690578.48</v>
      </c>
      <c r="BK397" s="400">
        <v>0.01</v>
      </c>
      <c r="BL397" s="400">
        <v>303639561.58999997</v>
      </c>
      <c r="BM397" s="400">
        <v>155900898.44</v>
      </c>
      <c r="BN397" s="400">
        <v>1514376</v>
      </c>
      <c r="BO397" s="400">
        <v>250217394.80000001</v>
      </c>
      <c r="BP397" s="400">
        <v>133707149.79000001</v>
      </c>
      <c r="BQ397" s="400">
        <v>70929674.939999998</v>
      </c>
      <c r="BR397" s="400">
        <v>84916797.150000006</v>
      </c>
      <c r="BS397" s="400">
        <v>59448838.159999996</v>
      </c>
      <c r="BT397" s="400">
        <v>1032784966.46</v>
      </c>
      <c r="BU397" s="400">
        <v>80149153.909999996</v>
      </c>
      <c r="BV397" s="400">
        <v>163234566.41999999</v>
      </c>
      <c r="BW397" s="400">
        <v>53953388.990000002</v>
      </c>
      <c r="BX397" s="400">
        <v>44775966.810000002</v>
      </c>
      <c r="BY397" s="400">
        <v>1653275.52</v>
      </c>
      <c r="BZ397" s="400">
        <v>1959376.27</v>
      </c>
      <c r="CA397" s="400">
        <v>782248469.95000005</v>
      </c>
      <c r="CB397" s="400">
        <v>2207035.62</v>
      </c>
    </row>
    <row r="398" spans="1:80" x14ac:dyDescent="0.3">
      <c r="A398" s="1010"/>
      <c r="B398" s="1014"/>
      <c r="C398" s="1010"/>
      <c r="D398" s="1010"/>
      <c r="E398" s="1010"/>
      <c r="F398" s="1010"/>
      <c r="G398" s="1010"/>
      <c r="H398" s="400"/>
      <c r="I398" s="400"/>
      <c r="J398" s="400"/>
      <c r="K398" s="400"/>
      <c r="L398" s="400"/>
      <c r="M398" s="400"/>
      <c r="N398" s="400"/>
      <c r="O398" s="400"/>
      <c r="P398" s="400"/>
      <c r="Q398" s="400"/>
      <c r="R398" s="400"/>
      <c r="S398" s="400"/>
      <c r="T398" s="400"/>
      <c r="U398" s="400"/>
      <c r="V398" s="400"/>
      <c r="W398" s="400"/>
      <c r="X398" s="400"/>
      <c r="Y398" s="400"/>
      <c r="Z398" s="400"/>
      <c r="AA398" s="400"/>
      <c r="AB398" s="400"/>
      <c r="AC398" s="400"/>
      <c r="AD398" s="400"/>
      <c r="AE398" s="400"/>
      <c r="AF398" s="400"/>
      <c r="AG398" s="400"/>
      <c r="AH398" s="400"/>
      <c r="AI398" s="400"/>
      <c r="AJ398" s="400"/>
      <c r="AK398" s="400"/>
      <c r="AL398" s="400"/>
      <c r="AM398" s="400"/>
      <c r="AN398" s="400"/>
      <c r="AO398" s="400"/>
      <c r="AP398" s="400"/>
      <c r="AQ398" s="400"/>
      <c r="AR398" s="400"/>
      <c r="AS398" s="400"/>
      <c r="AT398" s="400"/>
      <c r="AU398" s="400"/>
      <c r="AV398" s="400"/>
      <c r="AW398" s="400"/>
      <c r="AX398" s="400"/>
      <c r="AY398" s="400"/>
      <c r="AZ398" s="400"/>
      <c r="BA398" s="400"/>
      <c r="BB398" s="400"/>
      <c r="BC398" s="400">
        <v>0</v>
      </c>
      <c r="BD398" s="400">
        <v>0</v>
      </c>
      <c r="BE398" s="400">
        <v>0</v>
      </c>
      <c r="BF398" s="400">
        <v>0</v>
      </c>
      <c r="BG398" s="400">
        <v>0</v>
      </c>
      <c r="BH398" s="400">
        <v>0</v>
      </c>
      <c r="BI398" s="400">
        <v>0</v>
      </c>
      <c r="BJ398" s="400">
        <v>0</v>
      </c>
      <c r="BK398" s="400">
        <v>0</v>
      </c>
      <c r="BL398" s="400">
        <v>0</v>
      </c>
      <c r="BM398" s="400">
        <v>0</v>
      </c>
      <c r="BN398" s="400">
        <v>0</v>
      </c>
      <c r="BO398" s="400">
        <v>0</v>
      </c>
      <c r="BP398" s="400">
        <v>0</v>
      </c>
      <c r="BQ398" s="400">
        <v>0</v>
      </c>
      <c r="BR398" s="400">
        <v>0</v>
      </c>
      <c r="BS398" s="400">
        <v>0</v>
      </c>
      <c r="BT398" s="400">
        <v>0</v>
      </c>
      <c r="BU398" s="400">
        <v>0</v>
      </c>
      <c r="BV398" s="400">
        <v>0</v>
      </c>
      <c r="BW398" s="400">
        <v>0</v>
      </c>
      <c r="BX398" s="400">
        <v>0</v>
      </c>
      <c r="BY398" s="400">
        <v>0</v>
      </c>
      <c r="BZ398" s="400">
        <v>0</v>
      </c>
      <c r="CA398" s="400">
        <v>0</v>
      </c>
      <c r="CB398" s="400">
        <v>0</v>
      </c>
    </row>
    <row r="399" spans="1:80" x14ac:dyDescent="0.3">
      <c r="A399" s="1010"/>
      <c r="B399" s="1014"/>
      <c r="C399" s="1010"/>
      <c r="D399" s="1010"/>
      <c r="E399" s="1010"/>
      <c r="F399" s="1010"/>
      <c r="G399" s="1010"/>
    </row>
    <row r="400" spans="1:80" x14ac:dyDescent="0.3">
      <c r="A400" s="1010"/>
      <c r="B400" s="1014"/>
      <c r="C400" s="1010"/>
      <c r="D400" s="1010"/>
      <c r="E400" s="1010"/>
      <c r="F400" s="1010"/>
      <c r="G400" s="1010"/>
    </row>
    <row r="401" spans="2:2" x14ac:dyDescent="0.3">
      <c r="B401" s="1014"/>
    </row>
    <row r="402" spans="2:2" x14ac:dyDescent="0.3">
      <c r="B402" s="1014"/>
    </row>
    <row r="403" spans="2:2" x14ac:dyDescent="0.3">
      <c r="B403" s="1014"/>
    </row>
    <row r="404" spans="2:2" x14ac:dyDescent="0.3">
      <c r="B404" s="1014"/>
    </row>
    <row r="405" spans="2:2" x14ac:dyDescent="0.3">
      <c r="B405" s="1014"/>
    </row>
    <row r="406" spans="2:2" x14ac:dyDescent="0.3">
      <c r="B406" s="1014"/>
    </row>
    <row r="407" spans="2:2" x14ac:dyDescent="0.3">
      <c r="B407" s="1014"/>
    </row>
    <row r="408" spans="2:2" x14ac:dyDescent="0.3">
      <c r="B408" s="1014"/>
    </row>
    <row r="409" spans="2:2" x14ac:dyDescent="0.3">
      <c r="B409" s="1014"/>
    </row>
    <row r="410" spans="2:2" x14ac:dyDescent="0.3">
      <c r="B410" s="1014"/>
    </row>
    <row r="411" spans="2:2" x14ac:dyDescent="0.3">
      <c r="B411" s="1014"/>
    </row>
    <row r="412" spans="2:2" x14ac:dyDescent="0.3">
      <c r="B412" s="1014"/>
    </row>
    <row r="413" spans="2:2" x14ac:dyDescent="0.3">
      <c r="B413" s="1014"/>
    </row>
    <row r="414" spans="2:2" x14ac:dyDescent="0.3">
      <c r="B414" s="1014"/>
    </row>
    <row r="415" spans="2:2" x14ac:dyDescent="0.3">
      <c r="B415" s="1014"/>
    </row>
    <row r="416" spans="2:2" x14ac:dyDescent="0.3">
      <c r="B416" s="1014"/>
    </row>
    <row r="417" spans="2:2" x14ac:dyDescent="0.3">
      <c r="B417" s="1014"/>
    </row>
    <row r="418" spans="2:2" x14ac:dyDescent="0.3">
      <c r="B418" s="1014"/>
    </row>
    <row r="419" spans="2:2" x14ac:dyDescent="0.3">
      <c r="B419" s="1014"/>
    </row>
    <row r="420" spans="2:2" x14ac:dyDescent="0.3">
      <c r="B420" s="1014"/>
    </row>
    <row r="421" spans="2:2" x14ac:dyDescent="0.3">
      <c r="B421" s="1014"/>
    </row>
    <row r="422" spans="2:2" x14ac:dyDescent="0.3">
      <c r="B422" s="1014"/>
    </row>
    <row r="423" spans="2:2" x14ac:dyDescent="0.3">
      <c r="B423" s="1014"/>
    </row>
    <row r="424" spans="2:2" x14ac:dyDescent="0.3">
      <c r="B424" s="1014"/>
    </row>
    <row r="425" spans="2:2" x14ac:dyDescent="0.3">
      <c r="B425" s="1014"/>
    </row>
    <row r="426" spans="2:2" x14ac:dyDescent="0.3">
      <c r="B426" s="1014"/>
    </row>
    <row r="427" spans="2:2" x14ac:dyDescent="0.3">
      <c r="B427" s="1014"/>
    </row>
    <row r="428" spans="2:2" x14ac:dyDescent="0.3">
      <c r="B428" s="1014"/>
    </row>
    <row r="429" spans="2:2" x14ac:dyDescent="0.3">
      <c r="B429" s="1014"/>
    </row>
    <row r="430" spans="2:2" x14ac:dyDescent="0.3">
      <c r="B430" s="1014"/>
    </row>
    <row r="431" spans="2:2" x14ac:dyDescent="0.3">
      <c r="B431" s="1014"/>
    </row>
    <row r="432" spans="2:2" x14ac:dyDescent="0.3">
      <c r="B432" s="1014"/>
    </row>
    <row r="433" spans="2:2" x14ac:dyDescent="0.3">
      <c r="B433" s="1014"/>
    </row>
    <row r="434" spans="2:2" x14ac:dyDescent="0.3">
      <c r="B434" s="1014"/>
    </row>
    <row r="435" spans="2:2" x14ac:dyDescent="0.3">
      <c r="B435" s="1014"/>
    </row>
    <row r="436" spans="2:2" x14ac:dyDescent="0.3">
      <c r="B436" s="1014"/>
    </row>
    <row r="437" spans="2:2" x14ac:dyDescent="0.3">
      <c r="B437" s="1014"/>
    </row>
    <row r="438" spans="2:2" x14ac:dyDescent="0.3">
      <c r="B438" s="1014"/>
    </row>
    <row r="439" spans="2:2" x14ac:dyDescent="0.3">
      <c r="B439" s="1014"/>
    </row>
    <row r="440" spans="2:2" x14ac:dyDescent="0.3">
      <c r="B440" s="1014"/>
    </row>
    <row r="441" spans="2:2" x14ac:dyDescent="0.3">
      <c r="B441" s="1014"/>
    </row>
    <row r="442" spans="2:2" x14ac:dyDescent="0.3">
      <c r="B442" s="1014"/>
    </row>
    <row r="443" spans="2:2" x14ac:dyDescent="0.3">
      <c r="B443" s="1014"/>
    </row>
    <row r="444" spans="2:2" x14ac:dyDescent="0.3">
      <c r="B444" s="1014"/>
    </row>
    <row r="445" spans="2:2" x14ac:dyDescent="0.3">
      <c r="B445" s="1014"/>
    </row>
    <row r="446" spans="2:2" x14ac:dyDescent="0.3">
      <c r="B446" s="1014"/>
    </row>
    <row r="447" spans="2:2" x14ac:dyDescent="0.3">
      <c r="B447" s="1014"/>
    </row>
    <row r="448" spans="2:2" x14ac:dyDescent="0.3">
      <c r="B448" s="1014"/>
    </row>
    <row r="449" spans="2:2" x14ac:dyDescent="0.3">
      <c r="B449" s="1014"/>
    </row>
    <row r="450" spans="2:2" x14ac:dyDescent="0.3">
      <c r="B450" s="1014"/>
    </row>
    <row r="451" spans="2:2" x14ac:dyDescent="0.3">
      <c r="B451" s="1014"/>
    </row>
    <row r="452" spans="2:2" x14ac:dyDescent="0.3">
      <c r="B452" s="1014"/>
    </row>
    <row r="453" spans="2:2" x14ac:dyDescent="0.3">
      <c r="B453" s="1014"/>
    </row>
    <row r="454" spans="2:2" x14ac:dyDescent="0.3">
      <c r="B454" s="1014"/>
    </row>
    <row r="455" spans="2:2" x14ac:dyDescent="0.3">
      <c r="B455" s="1014"/>
    </row>
    <row r="456" spans="2:2" x14ac:dyDescent="0.3">
      <c r="B456" s="1014"/>
    </row>
    <row r="457" spans="2:2" x14ac:dyDescent="0.3">
      <c r="B457" s="1014"/>
    </row>
    <row r="458" spans="2:2" x14ac:dyDescent="0.3">
      <c r="B458" s="1014"/>
    </row>
    <row r="459" spans="2:2" x14ac:dyDescent="0.3">
      <c r="B459" s="1014"/>
    </row>
    <row r="460" spans="2:2" x14ac:dyDescent="0.3">
      <c r="B460" s="1014"/>
    </row>
    <row r="461" spans="2:2" x14ac:dyDescent="0.3">
      <c r="B461" s="1014"/>
    </row>
    <row r="462" spans="2:2" x14ac:dyDescent="0.3">
      <c r="B462" s="1014"/>
    </row>
    <row r="463" spans="2:2" x14ac:dyDescent="0.3">
      <c r="B463" s="1014"/>
    </row>
    <row r="464" spans="2:2" x14ac:dyDescent="0.3">
      <c r="B464" s="1014"/>
    </row>
    <row r="465" spans="2:2" x14ac:dyDescent="0.3">
      <c r="B465" s="1014"/>
    </row>
    <row r="466" spans="2:2" x14ac:dyDescent="0.3">
      <c r="B466" s="1014"/>
    </row>
    <row r="467" spans="2:2" x14ac:dyDescent="0.3">
      <c r="B467" s="1014"/>
    </row>
    <row r="468" spans="2:2" x14ac:dyDescent="0.3">
      <c r="B468" s="1014"/>
    </row>
    <row r="469" spans="2:2" x14ac:dyDescent="0.3">
      <c r="B469" s="1014"/>
    </row>
    <row r="470" spans="2:2" x14ac:dyDescent="0.3">
      <c r="B470" s="1014"/>
    </row>
    <row r="471" spans="2:2" x14ac:dyDescent="0.3">
      <c r="B471" s="1014"/>
    </row>
    <row r="472" spans="2:2" x14ac:dyDescent="0.3">
      <c r="B472" s="1014"/>
    </row>
    <row r="473" spans="2:2" x14ac:dyDescent="0.3">
      <c r="B473" s="1014"/>
    </row>
    <row r="474" spans="2:2" x14ac:dyDescent="0.3">
      <c r="B474" s="1014"/>
    </row>
    <row r="475" spans="2:2" x14ac:dyDescent="0.3">
      <c r="B475" s="1014"/>
    </row>
    <row r="476" spans="2:2" x14ac:dyDescent="0.3">
      <c r="B476" s="1014"/>
    </row>
    <row r="477" spans="2:2" x14ac:dyDescent="0.3">
      <c r="B477" s="1014"/>
    </row>
    <row r="478" spans="2:2" x14ac:dyDescent="0.3">
      <c r="B478" s="1014"/>
    </row>
    <row r="479" spans="2:2" x14ac:dyDescent="0.3">
      <c r="B479" s="1014"/>
    </row>
    <row r="480" spans="2:2" x14ac:dyDescent="0.3">
      <c r="B480" s="1014"/>
    </row>
    <row r="481" spans="2:2" x14ac:dyDescent="0.3">
      <c r="B481" s="1014"/>
    </row>
    <row r="482" spans="2:2" x14ac:dyDescent="0.3">
      <c r="B482" s="1014"/>
    </row>
    <row r="483" spans="2:2" x14ac:dyDescent="0.3">
      <c r="B483" s="1014"/>
    </row>
    <row r="484" spans="2:2" x14ac:dyDescent="0.3">
      <c r="B484" s="1014"/>
    </row>
    <row r="485" spans="2:2" x14ac:dyDescent="0.3">
      <c r="B485" s="1014"/>
    </row>
    <row r="486" spans="2:2" x14ac:dyDescent="0.3">
      <c r="B486" s="1014"/>
    </row>
    <row r="487" spans="2:2" x14ac:dyDescent="0.3">
      <c r="B487" s="1014"/>
    </row>
    <row r="488" spans="2:2" x14ac:dyDescent="0.3">
      <c r="B488" s="1014"/>
    </row>
    <row r="489" spans="2:2" x14ac:dyDescent="0.3">
      <c r="B489" s="1014"/>
    </row>
    <row r="490" spans="2:2" x14ac:dyDescent="0.3">
      <c r="B490" s="1014"/>
    </row>
    <row r="491" spans="2:2" x14ac:dyDescent="0.3">
      <c r="B491" s="1014"/>
    </row>
    <row r="492" spans="2:2" x14ac:dyDescent="0.3">
      <c r="B492" s="1014"/>
    </row>
    <row r="493" spans="2:2" x14ac:dyDescent="0.3">
      <c r="B493" s="1065"/>
    </row>
    <row r="494" spans="2:2" x14ac:dyDescent="0.3">
      <c r="B494" s="1065"/>
    </row>
    <row r="495" spans="2:2" x14ac:dyDescent="0.3">
      <c r="B495" s="1065"/>
    </row>
    <row r="496" spans="2:2" x14ac:dyDescent="0.3">
      <c r="B496" s="1065"/>
    </row>
    <row r="497" spans="2:2" x14ac:dyDescent="0.3">
      <c r="B497" s="1065"/>
    </row>
    <row r="498" spans="2:2" x14ac:dyDescent="0.3">
      <c r="B498" s="1065"/>
    </row>
    <row r="499" spans="2:2" x14ac:dyDescent="0.3">
      <c r="B499" s="1065"/>
    </row>
    <row r="500" spans="2:2" x14ac:dyDescent="0.3">
      <c r="B500" s="1065"/>
    </row>
    <row r="501" spans="2:2" x14ac:dyDescent="0.3">
      <c r="B501" s="1065"/>
    </row>
    <row r="502" spans="2:2" x14ac:dyDescent="0.3">
      <c r="B502" s="1065"/>
    </row>
    <row r="503" spans="2:2" x14ac:dyDescent="0.3">
      <c r="B503" s="1065"/>
    </row>
    <row r="504" spans="2:2" x14ac:dyDescent="0.3">
      <c r="B504" s="1065"/>
    </row>
    <row r="505" spans="2:2" x14ac:dyDescent="0.3">
      <c r="B505" s="1065"/>
    </row>
    <row r="506" spans="2:2" x14ac:dyDescent="0.3">
      <c r="B506" s="1065"/>
    </row>
    <row r="507" spans="2:2" x14ac:dyDescent="0.3">
      <c r="B507" s="1065"/>
    </row>
    <row r="508" spans="2:2" x14ac:dyDescent="0.3">
      <c r="B508" s="1065"/>
    </row>
    <row r="509" spans="2:2" x14ac:dyDescent="0.3">
      <c r="B509" s="1065"/>
    </row>
    <row r="510" spans="2:2" x14ac:dyDescent="0.3">
      <c r="B510" s="1065"/>
    </row>
    <row r="511" spans="2:2" x14ac:dyDescent="0.3">
      <c r="B511" s="1065"/>
    </row>
    <row r="512" spans="2:2" x14ac:dyDescent="0.3">
      <c r="B512" s="1065"/>
    </row>
    <row r="513" spans="2:2" x14ac:dyDescent="0.3">
      <c r="B513" s="1065"/>
    </row>
    <row r="514" spans="2:2" x14ac:dyDescent="0.3">
      <c r="B514" s="1065"/>
    </row>
    <row r="515" spans="2:2" x14ac:dyDescent="0.3">
      <c r="B515" s="1065"/>
    </row>
    <row r="516" spans="2:2" x14ac:dyDescent="0.3">
      <c r="B516" s="1065"/>
    </row>
    <row r="517" spans="2:2" x14ac:dyDescent="0.3">
      <c r="B517" s="1065"/>
    </row>
    <row r="518" spans="2:2" x14ac:dyDescent="0.3">
      <c r="B518" s="1065"/>
    </row>
    <row r="519" spans="2:2" x14ac:dyDescent="0.3">
      <c r="B519" s="1065"/>
    </row>
    <row r="520" spans="2:2" x14ac:dyDescent="0.3">
      <c r="B520" s="1065"/>
    </row>
    <row r="521" spans="2:2" x14ac:dyDescent="0.3">
      <c r="B521" s="1065"/>
    </row>
    <row r="522" spans="2:2" x14ac:dyDescent="0.3">
      <c r="B522" s="1065"/>
    </row>
    <row r="523" spans="2:2" x14ac:dyDescent="0.3">
      <c r="B523" s="1065"/>
    </row>
    <row r="524" spans="2:2" x14ac:dyDescent="0.3">
      <c r="B524" s="1066"/>
    </row>
    <row r="525" spans="2:2" x14ac:dyDescent="0.3">
      <c r="B525" s="1066"/>
    </row>
    <row r="526" spans="2:2" x14ac:dyDescent="0.3">
      <c r="B526" s="1014"/>
    </row>
    <row r="527" spans="2:2" x14ac:dyDescent="0.3">
      <c r="B527" s="1014"/>
    </row>
    <row r="528" spans="2:2" x14ac:dyDescent="0.3">
      <c r="B528" s="1014"/>
    </row>
    <row r="529" spans="2:2" x14ac:dyDescent="0.3">
      <c r="B529" s="1014"/>
    </row>
    <row r="530" spans="2:2" x14ac:dyDescent="0.3">
      <c r="B530" s="1014"/>
    </row>
    <row r="531" spans="2:2" x14ac:dyDescent="0.3">
      <c r="B531" s="1014"/>
    </row>
    <row r="532" spans="2:2" x14ac:dyDescent="0.3">
      <c r="B532" s="1014"/>
    </row>
    <row r="533" spans="2:2" x14ac:dyDescent="0.3">
      <c r="B533" s="1014"/>
    </row>
    <row r="534" spans="2:2" x14ac:dyDescent="0.3">
      <c r="B534" s="1014"/>
    </row>
    <row r="535" spans="2:2" x14ac:dyDescent="0.3">
      <c r="B535" s="1014"/>
    </row>
    <row r="536" spans="2:2" x14ac:dyDescent="0.3">
      <c r="B536" s="1014"/>
    </row>
    <row r="537" spans="2:2" x14ac:dyDescent="0.3">
      <c r="B537" s="1014"/>
    </row>
    <row r="538" spans="2:2" x14ac:dyDescent="0.3">
      <c r="B538" s="1014"/>
    </row>
    <row r="539" spans="2:2" x14ac:dyDescent="0.3">
      <c r="B539" s="1014"/>
    </row>
    <row r="540" spans="2:2" x14ac:dyDescent="0.3">
      <c r="B540" s="1014"/>
    </row>
    <row r="541" spans="2:2" x14ac:dyDescent="0.3">
      <c r="B541" s="1014"/>
    </row>
    <row r="542" spans="2:2" x14ac:dyDescent="0.3">
      <c r="B542" s="1014"/>
    </row>
    <row r="543" spans="2:2" x14ac:dyDescent="0.3">
      <c r="B543" s="1014"/>
    </row>
    <row r="544" spans="2:2" x14ac:dyDescent="0.3">
      <c r="B544" s="1014"/>
    </row>
    <row r="545" spans="2:2" x14ac:dyDescent="0.3">
      <c r="B545" s="1014"/>
    </row>
    <row r="546" spans="2:2" x14ac:dyDescent="0.3">
      <c r="B546" s="1014"/>
    </row>
    <row r="547" spans="2:2" x14ac:dyDescent="0.3">
      <c r="B547" s="1014"/>
    </row>
    <row r="548" spans="2:2" x14ac:dyDescent="0.3">
      <c r="B548" s="1014"/>
    </row>
    <row r="549" spans="2:2" x14ac:dyDescent="0.3">
      <c r="B549" s="1065"/>
    </row>
    <row r="551" spans="2:2" x14ac:dyDescent="0.3">
      <c r="B551" s="1014"/>
    </row>
    <row r="552" spans="2:2" x14ac:dyDescent="0.3">
      <c r="B552" s="1065"/>
    </row>
    <row r="553" spans="2:2" x14ac:dyDescent="0.3">
      <c r="B553" s="1014"/>
    </row>
    <row r="554" spans="2:2" x14ac:dyDescent="0.3">
      <c r="B554" s="1014"/>
    </row>
    <row r="555" spans="2:2" x14ac:dyDescent="0.3">
      <c r="B555" s="1014"/>
    </row>
    <row r="556" spans="2:2" x14ac:dyDescent="0.3">
      <c r="B556" s="1014"/>
    </row>
    <row r="557" spans="2:2" x14ac:dyDescent="0.3">
      <c r="B557" s="1014"/>
    </row>
    <row r="558" spans="2:2" x14ac:dyDescent="0.3">
      <c r="B558" s="1014"/>
    </row>
    <row r="559" spans="2:2" x14ac:dyDescent="0.3">
      <c r="B559" s="1065"/>
    </row>
    <row r="560" spans="2:2" x14ac:dyDescent="0.3">
      <c r="B560" s="1014"/>
    </row>
    <row r="561" spans="2:2" x14ac:dyDescent="0.3">
      <c r="B561" s="1014"/>
    </row>
    <row r="562" spans="2:2" x14ac:dyDescent="0.3">
      <c r="B562" s="1065"/>
    </row>
    <row r="563" spans="2:2" x14ac:dyDescent="0.3">
      <c r="B563" s="1065"/>
    </row>
    <row r="564" spans="2:2" x14ac:dyDescent="0.3">
      <c r="B564" s="1014"/>
    </row>
    <row r="565" spans="2:2" x14ac:dyDescent="0.3">
      <c r="B565" s="1065"/>
    </row>
    <row r="566" spans="2:2" x14ac:dyDescent="0.3">
      <c r="B566" s="1065"/>
    </row>
    <row r="567" spans="2:2" x14ac:dyDescent="0.3">
      <c r="B567" s="1065"/>
    </row>
    <row r="568" spans="2:2" x14ac:dyDescent="0.3">
      <c r="B568" s="1065"/>
    </row>
    <row r="569" spans="2:2" x14ac:dyDescent="0.3">
      <c r="B569" s="1065"/>
    </row>
    <row r="570" spans="2:2" x14ac:dyDescent="0.3">
      <c r="B570" s="1065"/>
    </row>
    <row r="571" spans="2:2" x14ac:dyDescent="0.3">
      <c r="B571" s="1065"/>
    </row>
    <row r="572" spans="2:2" x14ac:dyDescent="0.3">
      <c r="B572" s="1014"/>
    </row>
    <row r="573" spans="2:2" x14ac:dyDescent="0.3">
      <c r="B573" s="1014"/>
    </row>
    <row r="574" spans="2:2" x14ac:dyDescent="0.3">
      <c r="B574" s="1014"/>
    </row>
    <row r="575" spans="2:2" x14ac:dyDescent="0.3">
      <c r="B575" s="1014"/>
    </row>
    <row r="576" spans="2:2" x14ac:dyDescent="0.3">
      <c r="B576" s="1014"/>
    </row>
    <row r="577" spans="2:2" x14ac:dyDescent="0.3">
      <c r="B577" s="1014"/>
    </row>
    <row r="578" spans="2:2" x14ac:dyDescent="0.3">
      <c r="B578" s="1014"/>
    </row>
    <row r="579" spans="2:2" x14ac:dyDescent="0.3">
      <c r="B579" s="1014"/>
    </row>
    <row r="580" spans="2:2" x14ac:dyDescent="0.3">
      <c r="B580" s="1014"/>
    </row>
    <row r="581" spans="2:2" x14ac:dyDescent="0.3">
      <c r="B581" s="1014"/>
    </row>
    <row r="582" spans="2:2" x14ac:dyDescent="0.3">
      <c r="B582" s="1014"/>
    </row>
    <row r="583" spans="2:2" x14ac:dyDescent="0.3">
      <c r="B583" s="1065"/>
    </row>
    <row r="584" spans="2:2" x14ac:dyDescent="0.3">
      <c r="B584" s="1014"/>
    </row>
    <row r="585" spans="2:2" x14ac:dyDescent="0.3">
      <c r="B585" s="1014"/>
    </row>
    <row r="586" spans="2:2" x14ac:dyDescent="0.3">
      <c r="B586" s="1014"/>
    </row>
    <row r="587" spans="2:2" x14ac:dyDescent="0.3">
      <c r="B587" s="1014"/>
    </row>
    <row r="588" spans="2:2" x14ac:dyDescent="0.3">
      <c r="B588" s="1014"/>
    </row>
    <row r="589" spans="2:2" x14ac:dyDescent="0.3">
      <c r="B589" s="1014"/>
    </row>
    <row r="590" spans="2:2" x14ac:dyDescent="0.3">
      <c r="B590" s="1014"/>
    </row>
    <row r="591" spans="2:2" x14ac:dyDescent="0.3">
      <c r="B591" s="1014"/>
    </row>
    <row r="592" spans="2:2" x14ac:dyDescent="0.3">
      <c r="B592" s="1014"/>
    </row>
    <row r="593" spans="2:2" x14ac:dyDescent="0.3">
      <c r="B593" s="1014"/>
    </row>
    <row r="594" spans="2:2" x14ac:dyDescent="0.3">
      <c r="B594" s="1014"/>
    </row>
    <row r="595" spans="2:2" x14ac:dyDescent="0.3">
      <c r="B595" s="1014"/>
    </row>
    <row r="596" spans="2:2" x14ac:dyDescent="0.3">
      <c r="B596" s="1014"/>
    </row>
    <row r="597" spans="2:2" x14ac:dyDescent="0.3">
      <c r="B597" s="1067"/>
    </row>
    <row r="598" spans="2:2" x14ac:dyDescent="0.3">
      <c r="B598" s="1067"/>
    </row>
    <row r="599" spans="2:2" x14ac:dyDescent="0.3">
      <c r="B599" s="1067"/>
    </row>
    <row r="600" spans="2:2" x14ac:dyDescent="0.3">
      <c r="B600" s="1067"/>
    </row>
    <row r="601" spans="2:2" x14ac:dyDescent="0.3">
      <c r="B601" s="1067"/>
    </row>
    <row r="602" spans="2:2" x14ac:dyDescent="0.3">
      <c r="B602" s="1067"/>
    </row>
    <row r="603" spans="2:2" x14ac:dyDescent="0.3">
      <c r="B603" s="1065"/>
    </row>
    <row r="604" spans="2:2" x14ac:dyDescent="0.3">
      <c r="B604" s="1065"/>
    </row>
    <row r="605" spans="2:2" x14ac:dyDescent="0.3">
      <c r="B605" s="1014"/>
    </row>
    <row r="606" spans="2:2" x14ac:dyDescent="0.3">
      <c r="B606" s="1014"/>
    </row>
    <row r="607" spans="2:2" x14ac:dyDescent="0.3">
      <c r="B607" s="1014"/>
    </row>
    <row r="608" spans="2:2" x14ac:dyDescent="0.3">
      <c r="B608" s="1014"/>
    </row>
    <row r="609" spans="2:2" x14ac:dyDescent="0.3">
      <c r="B609" s="1014"/>
    </row>
    <row r="610" spans="2:2" x14ac:dyDescent="0.3">
      <c r="B610" s="1014"/>
    </row>
    <row r="611" spans="2:2" x14ac:dyDescent="0.3">
      <c r="B611" s="1014"/>
    </row>
    <row r="612" spans="2:2" x14ac:dyDescent="0.3">
      <c r="B612" s="1014"/>
    </row>
    <row r="613" spans="2:2" x14ac:dyDescent="0.3">
      <c r="B613" s="1014"/>
    </row>
    <row r="614" spans="2:2" x14ac:dyDescent="0.3">
      <c r="B614" s="1014"/>
    </row>
    <row r="615" spans="2:2" x14ac:dyDescent="0.3">
      <c r="B615" s="1014"/>
    </row>
    <row r="616" spans="2:2" x14ac:dyDescent="0.3">
      <c r="B616" s="1014"/>
    </row>
    <row r="617" spans="2:2" x14ac:dyDescent="0.3">
      <c r="B617" s="1014"/>
    </row>
    <row r="618" spans="2:2" x14ac:dyDescent="0.3">
      <c r="B618" s="1014"/>
    </row>
    <row r="619" spans="2:2" x14ac:dyDescent="0.3">
      <c r="B619" s="1014"/>
    </row>
    <row r="620" spans="2:2" x14ac:dyDescent="0.3">
      <c r="B620" s="1014"/>
    </row>
    <row r="621" spans="2:2" x14ac:dyDescent="0.3">
      <c r="B621" s="1014"/>
    </row>
    <row r="622" spans="2:2" x14ac:dyDescent="0.3">
      <c r="B622" s="1014"/>
    </row>
    <row r="623" spans="2:2" x14ac:dyDescent="0.3">
      <c r="B623" s="1014"/>
    </row>
    <row r="624" spans="2:2" x14ac:dyDescent="0.3">
      <c r="B624" s="1014"/>
    </row>
    <row r="625" spans="2:2" x14ac:dyDescent="0.3">
      <c r="B625" s="1014"/>
    </row>
    <row r="626" spans="2:2" x14ac:dyDescent="0.3">
      <c r="B626" s="1014"/>
    </row>
    <row r="627" spans="2:2" x14ac:dyDescent="0.3">
      <c r="B627" s="1014"/>
    </row>
    <row r="628" spans="2:2" x14ac:dyDescent="0.3">
      <c r="B628" s="1014"/>
    </row>
    <row r="629" spans="2:2" x14ac:dyDescent="0.3">
      <c r="B629" s="1014"/>
    </row>
    <row r="630" spans="2:2" x14ac:dyDescent="0.3">
      <c r="B630" s="1014"/>
    </row>
    <row r="631" spans="2:2" x14ac:dyDescent="0.3">
      <c r="B631" s="1065"/>
    </row>
    <row r="632" spans="2:2" x14ac:dyDescent="0.3">
      <c r="B632" s="1065"/>
    </row>
    <row r="633" spans="2:2" x14ac:dyDescent="0.3">
      <c r="B633" s="1065"/>
    </row>
    <row r="634" spans="2:2" x14ac:dyDescent="0.3">
      <c r="B634" s="1065"/>
    </row>
    <row r="635" spans="2:2" x14ac:dyDescent="0.3">
      <c r="B635" s="1065"/>
    </row>
    <row r="636" spans="2:2" x14ac:dyDescent="0.3">
      <c r="B636" s="1065"/>
    </row>
    <row r="637" spans="2:2" x14ac:dyDescent="0.3">
      <c r="B637" s="1065"/>
    </row>
    <row r="638" spans="2:2" x14ac:dyDescent="0.3">
      <c r="B638" s="1014"/>
    </row>
    <row r="639" spans="2:2" x14ac:dyDescent="0.3">
      <c r="B639" s="1014"/>
    </row>
    <row r="640" spans="2:2" x14ac:dyDescent="0.3">
      <c r="B640" s="1014"/>
    </row>
    <row r="641" spans="2:2" x14ac:dyDescent="0.3">
      <c r="B641" s="1014"/>
    </row>
    <row r="642" spans="2:2" x14ac:dyDescent="0.3">
      <c r="B642" s="1014"/>
    </row>
    <row r="643" spans="2:2" x14ac:dyDescent="0.3">
      <c r="B643" s="1014"/>
    </row>
    <row r="644" spans="2:2" x14ac:dyDescent="0.3">
      <c r="B644" s="1014"/>
    </row>
    <row r="645" spans="2:2" x14ac:dyDescent="0.3">
      <c r="B645" s="1014"/>
    </row>
    <row r="646" spans="2:2" x14ac:dyDescent="0.3">
      <c r="B646" s="1014"/>
    </row>
    <row r="647" spans="2:2" x14ac:dyDescent="0.3">
      <c r="B647" s="1065"/>
    </row>
    <row r="648" spans="2:2" x14ac:dyDescent="0.3">
      <c r="B648" s="1014"/>
    </row>
    <row r="649" spans="2:2" x14ac:dyDescent="0.3">
      <c r="B649" s="1014"/>
    </row>
    <row r="650" spans="2:2" x14ac:dyDescent="0.3">
      <c r="B650" s="1014"/>
    </row>
    <row r="651" spans="2:2" x14ac:dyDescent="0.3">
      <c r="B651" s="1065"/>
    </row>
    <row r="652" spans="2:2" x14ac:dyDescent="0.3">
      <c r="B652" s="1014"/>
    </row>
    <row r="653" spans="2:2" x14ac:dyDescent="0.3">
      <c r="B653" s="1065"/>
    </row>
    <row r="654" spans="2:2" x14ac:dyDescent="0.3">
      <c r="B654" s="1014"/>
    </row>
    <row r="655" spans="2:2" x14ac:dyDescent="0.3">
      <c r="B655" s="1014"/>
    </row>
    <row r="656" spans="2:2" x14ac:dyDescent="0.3">
      <c r="B656" s="1014"/>
    </row>
    <row r="657" spans="2:2" x14ac:dyDescent="0.3">
      <c r="B657" s="1014"/>
    </row>
    <row r="658" spans="2:2" x14ac:dyDescent="0.3">
      <c r="B658" s="1014"/>
    </row>
    <row r="659" spans="2:2" x14ac:dyDescent="0.3">
      <c r="B659" s="1014"/>
    </row>
    <row r="660" spans="2:2" x14ac:dyDescent="0.3">
      <c r="B660" s="1014"/>
    </row>
    <row r="661" spans="2:2" x14ac:dyDescent="0.3">
      <c r="B661" s="1014"/>
    </row>
    <row r="662" spans="2:2" x14ac:dyDescent="0.3">
      <c r="B662" s="1065"/>
    </row>
    <row r="663" spans="2:2" x14ac:dyDescent="0.3">
      <c r="B663" s="1065"/>
    </row>
    <row r="664" spans="2:2" x14ac:dyDescent="0.3">
      <c r="B664" s="1014"/>
    </row>
    <row r="665" spans="2:2" x14ac:dyDescent="0.3">
      <c r="B665" s="1014"/>
    </row>
    <row r="666" spans="2:2" x14ac:dyDescent="0.3">
      <c r="B666" s="1014"/>
    </row>
    <row r="667" spans="2:2" x14ac:dyDescent="0.3">
      <c r="B667" s="1014"/>
    </row>
    <row r="668" spans="2:2" x14ac:dyDescent="0.3">
      <c r="B668" s="1014"/>
    </row>
    <row r="669" spans="2:2" x14ac:dyDescent="0.3">
      <c r="B669" s="1014"/>
    </row>
    <row r="670" spans="2:2" x14ac:dyDescent="0.3">
      <c r="B670" s="1014"/>
    </row>
    <row r="671" spans="2:2" x14ac:dyDescent="0.3">
      <c r="B671" s="1065"/>
    </row>
    <row r="672" spans="2:2" x14ac:dyDescent="0.3">
      <c r="B672" s="1014"/>
    </row>
    <row r="673" spans="2:2" x14ac:dyDescent="0.3">
      <c r="B673" s="1014"/>
    </row>
    <row r="674" spans="2:2" x14ac:dyDescent="0.3">
      <c r="B674" s="1014"/>
    </row>
    <row r="675" spans="2:2" x14ac:dyDescent="0.3">
      <c r="B675" s="1014"/>
    </row>
    <row r="676" spans="2:2" x14ac:dyDescent="0.3">
      <c r="B676" s="1014"/>
    </row>
    <row r="677" spans="2:2" x14ac:dyDescent="0.3">
      <c r="B677" s="1014"/>
    </row>
    <row r="678" spans="2:2" x14ac:dyDescent="0.3">
      <c r="B678" s="1014"/>
    </row>
    <row r="679" spans="2:2" x14ac:dyDescent="0.3">
      <c r="B679" s="1014"/>
    </row>
    <row r="680" spans="2:2" x14ac:dyDescent="0.3">
      <c r="B680" s="1014"/>
    </row>
    <row r="681" spans="2:2" x14ac:dyDescent="0.3">
      <c r="B681" s="1014"/>
    </row>
    <row r="682" spans="2:2" x14ac:dyDescent="0.3">
      <c r="B682" s="1014"/>
    </row>
    <row r="683" spans="2:2" x14ac:dyDescent="0.3">
      <c r="B683" s="1014"/>
    </row>
    <row r="684" spans="2:2" x14ac:dyDescent="0.3">
      <c r="B684" s="1014"/>
    </row>
    <row r="685" spans="2:2" x14ac:dyDescent="0.3">
      <c r="B685" s="1014"/>
    </row>
    <row r="686" spans="2:2" x14ac:dyDescent="0.3">
      <c r="B686" s="1014"/>
    </row>
    <row r="687" spans="2:2" x14ac:dyDescent="0.3">
      <c r="B687" s="1065"/>
    </row>
    <row r="688" spans="2:2" x14ac:dyDescent="0.3">
      <c r="B688" s="1014"/>
    </row>
    <row r="689" spans="2:2" x14ac:dyDescent="0.3">
      <c r="B689" s="1014"/>
    </row>
    <row r="690" spans="2:2" x14ac:dyDescent="0.3">
      <c r="B690" s="1014"/>
    </row>
    <row r="691" spans="2:2" x14ac:dyDescent="0.3">
      <c r="B691" s="1014"/>
    </row>
    <row r="692" spans="2:2" x14ac:dyDescent="0.3">
      <c r="B692" s="1014"/>
    </row>
    <row r="693" spans="2:2" x14ac:dyDescent="0.3">
      <c r="B693" s="1014"/>
    </row>
    <row r="694" spans="2:2" x14ac:dyDescent="0.3">
      <c r="B694" s="1014"/>
    </row>
    <row r="695" spans="2:2" x14ac:dyDescent="0.3">
      <c r="B695" s="1014"/>
    </row>
    <row r="696" spans="2:2" x14ac:dyDescent="0.3">
      <c r="B696" s="1014"/>
    </row>
    <row r="697" spans="2:2" x14ac:dyDescent="0.3">
      <c r="B697" s="1014"/>
    </row>
    <row r="698" spans="2:2" x14ac:dyDescent="0.3">
      <c r="B698" s="1014"/>
    </row>
    <row r="699" spans="2:2" x14ac:dyDescent="0.3">
      <c r="B699" s="1067"/>
    </row>
    <row r="700" spans="2:2" x14ac:dyDescent="0.3">
      <c r="B700" s="1014"/>
    </row>
    <row r="701" spans="2:2" x14ac:dyDescent="0.3">
      <c r="B701" s="1014"/>
    </row>
    <row r="702" spans="2:2" x14ac:dyDescent="0.3">
      <c r="B702" s="1014"/>
    </row>
    <row r="703" spans="2:2" x14ac:dyDescent="0.3">
      <c r="B703" s="1014"/>
    </row>
    <row r="704" spans="2:2" x14ac:dyDescent="0.3">
      <c r="B704" s="1014"/>
    </row>
    <row r="705" spans="2:2" x14ac:dyDescent="0.3">
      <c r="B705" s="1014"/>
    </row>
    <row r="706" spans="2:2" x14ac:dyDescent="0.3">
      <c r="B706" s="1014"/>
    </row>
    <row r="707" spans="2:2" x14ac:dyDescent="0.3">
      <c r="B707" s="1065"/>
    </row>
    <row r="708" spans="2:2" x14ac:dyDescent="0.3">
      <c r="B708" s="1014"/>
    </row>
    <row r="709" spans="2:2" x14ac:dyDescent="0.3">
      <c r="B709" s="1014"/>
    </row>
    <row r="710" spans="2:2" x14ac:dyDescent="0.3">
      <c r="B710" s="1025"/>
    </row>
    <row r="711" spans="2:2" x14ac:dyDescent="0.3">
      <c r="B711" s="1025"/>
    </row>
    <row r="712" spans="2:2" x14ac:dyDescent="0.3">
      <c r="B712" s="1025"/>
    </row>
    <row r="713" spans="2:2" x14ac:dyDescent="0.3">
      <c r="B713" s="1025"/>
    </row>
    <row r="714" spans="2:2" x14ac:dyDescent="0.3">
      <c r="B714" s="1014"/>
    </row>
    <row r="715" spans="2:2" x14ac:dyDescent="0.3">
      <c r="B715" s="1067"/>
    </row>
    <row r="716" spans="2:2" x14ac:dyDescent="0.3">
      <c r="B716" s="1065"/>
    </row>
    <row r="717" spans="2:2" x14ac:dyDescent="0.3">
      <c r="B717" s="1066"/>
    </row>
    <row r="718" spans="2:2" x14ac:dyDescent="0.3">
      <c r="B718" s="1065"/>
    </row>
    <row r="719" spans="2:2" x14ac:dyDescent="0.3">
      <c r="B719" s="1065"/>
    </row>
    <row r="720" spans="2:2" x14ac:dyDescent="0.3">
      <c r="B720" s="1014"/>
    </row>
    <row r="721" spans="2:2" x14ac:dyDescent="0.3">
      <c r="B721" s="1068"/>
    </row>
    <row r="722" spans="2:2" x14ac:dyDescent="0.3">
      <c r="B722" s="1014"/>
    </row>
    <row r="723" spans="2:2" x14ac:dyDescent="0.3">
      <c r="B723" s="1069"/>
    </row>
    <row r="724" spans="2:2" x14ac:dyDescent="0.3">
      <c r="B724" s="1069"/>
    </row>
    <row r="725" spans="2:2" x14ac:dyDescent="0.3">
      <c r="B725" s="1069"/>
    </row>
    <row r="726" spans="2:2" x14ac:dyDescent="0.3">
      <c r="B726" s="1070"/>
    </row>
    <row r="727" spans="2:2" x14ac:dyDescent="0.3">
      <c r="B727" s="1070"/>
    </row>
    <row r="728" spans="2:2" x14ac:dyDescent="0.3">
      <c r="B728" s="1070"/>
    </row>
    <row r="729" spans="2:2" x14ac:dyDescent="0.3">
      <c r="B729" s="1070"/>
    </row>
    <row r="730" spans="2:2" x14ac:dyDescent="0.3">
      <c r="B730" s="1070"/>
    </row>
    <row r="731" spans="2:2" x14ac:dyDescent="0.3">
      <c r="B731" s="1070"/>
    </row>
    <row r="732" spans="2:2" x14ac:dyDescent="0.3">
      <c r="B732" s="1070"/>
    </row>
    <row r="733" spans="2:2" x14ac:dyDescent="0.3">
      <c r="B733" s="1070"/>
    </row>
    <row r="734" spans="2:2" x14ac:dyDescent="0.3">
      <c r="B734" s="1070"/>
    </row>
    <row r="735" spans="2:2" x14ac:dyDescent="0.3">
      <c r="B735" s="1070"/>
    </row>
    <row r="736" spans="2:2" x14ac:dyDescent="0.3">
      <c r="B736" s="1070"/>
    </row>
    <row r="737" spans="2:2" x14ac:dyDescent="0.3">
      <c r="B737" s="1071"/>
    </row>
    <row r="738" spans="2:2" x14ac:dyDescent="0.3">
      <c r="B738" s="1072"/>
    </row>
    <row r="739" spans="2:2" x14ac:dyDescent="0.3">
      <c r="B739" s="1014"/>
    </row>
    <row r="740" spans="2:2" x14ac:dyDescent="0.3">
      <c r="B740" s="1014"/>
    </row>
    <row r="741" spans="2:2" x14ac:dyDescent="0.3">
      <c r="B741" s="1014"/>
    </row>
    <row r="742" spans="2:2" x14ac:dyDescent="0.3">
      <c r="B742" s="1014"/>
    </row>
    <row r="743" spans="2:2" x14ac:dyDescent="0.3">
      <c r="B743" s="1014"/>
    </row>
    <row r="744" spans="2:2" x14ac:dyDescent="0.3">
      <c r="B744" s="1014"/>
    </row>
    <row r="745" spans="2:2" x14ac:dyDescent="0.3">
      <c r="B745" s="1014"/>
    </row>
    <row r="746" spans="2:2" x14ac:dyDescent="0.3">
      <c r="B746" s="1014"/>
    </row>
    <row r="747" spans="2:2" x14ac:dyDescent="0.3">
      <c r="B747" s="1014"/>
    </row>
    <row r="748" spans="2:2" x14ac:dyDescent="0.3">
      <c r="B748" s="1014"/>
    </row>
    <row r="749" spans="2:2" x14ac:dyDescent="0.3">
      <c r="B749" s="1014"/>
    </row>
    <row r="750" spans="2:2" x14ac:dyDescent="0.3">
      <c r="B750" s="1014"/>
    </row>
    <row r="751" spans="2:2" x14ac:dyDescent="0.3">
      <c r="B751" s="1073"/>
    </row>
    <row r="752" spans="2:2" x14ac:dyDescent="0.3">
      <c r="B752" s="1073"/>
    </row>
    <row r="753" spans="2:2" x14ac:dyDescent="0.3">
      <c r="B753" s="1073"/>
    </row>
    <row r="754" spans="2:2" x14ac:dyDescent="0.3">
      <c r="B754" s="1073"/>
    </row>
    <row r="755" spans="2:2" x14ac:dyDescent="0.3">
      <c r="B755" s="1073"/>
    </row>
    <row r="756" spans="2:2" x14ac:dyDescent="0.3">
      <c r="B756" s="1073"/>
    </row>
    <row r="757" spans="2:2" x14ac:dyDescent="0.3">
      <c r="B757" s="1073"/>
    </row>
    <row r="758" spans="2:2" x14ac:dyDescent="0.3">
      <c r="B758" s="1073"/>
    </row>
    <row r="759" spans="2:2" x14ac:dyDescent="0.3">
      <c r="B759" s="1073"/>
    </row>
    <row r="760" spans="2:2" x14ac:dyDescent="0.3">
      <c r="B760" s="1073"/>
    </row>
    <row r="761" spans="2:2" x14ac:dyDescent="0.3">
      <c r="B761" s="1073"/>
    </row>
    <row r="762" spans="2:2" x14ac:dyDescent="0.3">
      <c r="B762" s="1073"/>
    </row>
    <row r="763" spans="2:2" x14ac:dyDescent="0.3">
      <c r="B763" s="1073"/>
    </row>
    <row r="764" spans="2:2" x14ac:dyDescent="0.3">
      <c r="B764" s="1073"/>
    </row>
    <row r="765" spans="2:2" x14ac:dyDescent="0.3">
      <c r="B765" s="1073"/>
    </row>
    <row r="766" spans="2:2" x14ac:dyDescent="0.3">
      <c r="B766" s="1073"/>
    </row>
    <row r="767" spans="2:2" x14ac:dyDescent="0.3">
      <c r="B767" s="1073"/>
    </row>
    <row r="768" spans="2:2" x14ac:dyDescent="0.3">
      <c r="B768" s="1073"/>
    </row>
    <row r="769" spans="2:2" x14ac:dyDescent="0.3">
      <c r="B769" s="1073"/>
    </row>
    <row r="770" spans="2:2" x14ac:dyDescent="0.3">
      <c r="B770" s="1073"/>
    </row>
    <row r="771" spans="2:2" x14ac:dyDescent="0.3">
      <c r="B771" s="1073"/>
    </row>
    <row r="772" spans="2:2" x14ac:dyDescent="0.3">
      <c r="B772" s="1073"/>
    </row>
    <row r="773" spans="2:2" x14ac:dyDescent="0.3">
      <c r="B773" s="1073"/>
    </row>
    <row r="774" spans="2:2" x14ac:dyDescent="0.3">
      <c r="B774" s="1073"/>
    </row>
    <row r="775" spans="2:2" x14ac:dyDescent="0.3">
      <c r="B775" s="1073"/>
    </row>
    <row r="776" spans="2:2" x14ac:dyDescent="0.3">
      <c r="B776" s="1073"/>
    </row>
    <row r="777" spans="2:2" x14ac:dyDescent="0.3">
      <c r="B777" s="1074"/>
    </row>
    <row r="778" spans="2:2" x14ac:dyDescent="0.3">
      <c r="B778" s="1014"/>
    </row>
    <row r="779" spans="2:2" x14ac:dyDescent="0.3">
      <c r="B779" s="1014"/>
    </row>
    <row r="780" spans="2:2" x14ac:dyDescent="0.3">
      <c r="B780" s="1014"/>
    </row>
    <row r="781" spans="2:2" x14ac:dyDescent="0.3">
      <c r="B781" s="1014"/>
    </row>
    <row r="782" spans="2:2" x14ac:dyDescent="0.3">
      <c r="B782" s="1014"/>
    </row>
    <row r="783" spans="2:2" x14ac:dyDescent="0.3">
      <c r="B783" s="1014"/>
    </row>
    <row r="784" spans="2:2" x14ac:dyDescent="0.3">
      <c r="B784" s="1014"/>
    </row>
    <row r="785" spans="2:2" x14ac:dyDescent="0.3">
      <c r="B785" s="1014"/>
    </row>
    <row r="786" spans="2:2" x14ac:dyDescent="0.3">
      <c r="B786" s="1014"/>
    </row>
    <row r="787" spans="2:2" x14ac:dyDescent="0.3">
      <c r="B787" s="1075"/>
    </row>
    <row r="788" spans="2:2" x14ac:dyDescent="0.3">
      <c r="B788" s="1075"/>
    </row>
    <row r="789" spans="2:2" x14ac:dyDescent="0.3">
      <c r="B789" s="1075"/>
    </row>
    <row r="790" spans="2:2" x14ac:dyDescent="0.3">
      <c r="B790" s="1075"/>
    </row>
    <row r="791" spans="2:2" x14ac:dyDescent="0.3">
      <c r="B791" s="1075"/>
    </row>
    <row r="792" spans="2:2" x14ac:dyDescent="0.3">
      <c r="B792" s="1014"/>
    </row>
    <row r="793" spans="2:2" x14ac:dyDescent="0.3">
      <c r="B793" s="1075"/>
    </row>
    <row r="794" spans="2:2" x14ac:dyDescent="0.3">
      <c r="B794" s="1075"/>
    </row>
    <row r="795" spans="2:2" x14ac:dyDescent="0.3">
      <c r="B795" s="1075"/>
    </row>
    <row r="796" spans="2:2" x14ac:dyDescent="0.3">
      <c r="B796" s="1075"/>
    </row>
    <row r="797" spans="2:2" x14ac:dyDescent="0.3">
      <c r="B797" s="1075"/>
    </row>
    <row r="798" spans="2:2" x14ac:dyDescent="0.3">
      <c r="B798" s="1075"/>
    </row>
    <row r="799" spans="2:2" x14ac:dyDescent="0.3">
      <c r="B799" s="1075"/>
    </row>
    <row r="800" spans="2:2" x14ac:dyDescent="0.3">
      <c r="B800" s="1075"/>
    </row>
    <row r="801" spans="2:2" x14ac:dyDescent="0.3">
      <c r="B801" s="1075"/>
    </row>
    <row r="802" spans="2:2" x14ac:dyDescent="0.3">
      <c r="B802" s="1075"/>
    </row>
    <row r="803" spans="2:2" x14ac:dyDescent="0.3">
      <c r="B803" s="1076"/>
    </row>
    <row r="808" spans="2:2" x14ac:dyDescent="0.3">
      <c r="B808" s="1076"/>
    </row>
    <row r="809" spans="2:2" x14ac:dyDescent="0.3">
      <c r="B809" s="1076"/>
    </row>
    <row r="810" spans="2:2" x14ac:dyDescent="0.3">
      <c r="B810" s="1076"/>
    </row>
    <row r="811" spans="2:2" x14ac:dyDescent="0.3">
      <c r="B811" s="1076"/>
    </row>
    <row r="812" spans="2:2" x14ac:dyDescent="0.3">
      <c r="B812" s="1076"/>
    </row>
    <row r="813" spans="2:2" x14ac:dyDescent="0.3">
      <c r="B813" s="1076"/>
    </row>
    <row r="814" spans="2:2" x14ac:dyDescent="0.3">
      <c r="B814" s="1076"/>
    </row>
    <row r="815" spans="2:2" x14ac:dyDescent="0.3">
      <c r="B815" s="1076"/>
    </row>
    <row r="816" spans="2:2" x14ac:dyDescent="0.3">
      <c r="B816" s="1076"/>
    </row>
    <row r="817" spans="2:2" x14ac:dyDescent="0.3">
      <c r="B817" s="1076"/>
    </row>
    <row r="823" spans="2:2" x14ac:dyDescent="0.3">
      <c r="B823" s="1076"/>
    </row>
    <row r="824" spans="2:2" x14ac:dyDescent="0.3">
      <c r="B824" s="1076"/>
    </row>
    <row r="825" spans="2:2" x14ac:dyDescent="0.3">
      <c r="B825" s="1076"/>
    </row>
    <row r="828" spans="2:2" x14ac:dyDescent="0.3">
      <c r="B828" s="1076"/>
    </row>
    <row r="830" spans="2:2" x14ac:dyDescent="0.3">
      <c r="B830" s="1076"/>
    </row>
    <row r="831" spans="2:2" x14ac:dyDescent="0.3">
      <c r="B831" s="1076"/>
    </row>
    <row r="832" spans="2:2" x14ac:dyDescent="0.3">
      <c r="B832" s="1076"/>
    </row>
    <row r="833" spans="2:2" x14ac:dyDescent="0.3">
      <c r="B833" s="1076"/>
    </row>
    <row r="834" spans="2:2" x14ac:dyDescent="0.3">
      <c r="B834" s="1076"/>
    </row>
    <row r="835" spans="2:2" x14ac:dyDescent="0.3">
      <c r="B835" s="1076"/>
    </row>
    <row r="836" spans="2:2" x14ac:dyDescent="0.3">
      <c r="B836" s="1076"/>
    </row>
    <row r="837" spans="2:2" x14ac:dyDescent="0.3">
      <c r="B837" s="1076"/>
    </row>
    <row r="838" spans="2:2" x14ac:dyDescent="0.3">
      <c r="B838" s="1076"/>
    </row>
    <row r="839" spans="2:2" x14ac:dyDescent="0.3">
      <c r="B839" s="1076"/>
    </row>
    <row r="840" spans="2:2" x14ac:dyDescent="0.3">
      <c r="B840" s="1076"/>
    </row>
    <row r="841" spans="2:2" x14ac:dyDescent="0.3">
      <c r="B841" s="1076"/>
    </row>
    <row r="842" spans="2:2" x14ac:dyDescent="0.3">
      <c r="B842" s="1076"/>
    </row>
    <row r="843" spans="2:2" x14ac:dyDescent="0.3">
      <c r="B843" s="1076"/>
    </row>
    <row r="844" spans="2:2" x14ac:dyDescent="0.3">
      <c r="B844" s="1076"/>
    </row>
    <row r="845" spans="2:2" x14ac:dyDescent="0.3">
      <c r="B845" s="1076"/>
    </row>
    <row r="846" spans="2:2" x14ac:dyDescent="0.3">
      <c r="B846" s="1076"/>
    </row>
    <row r="847" spans="2:2" x14ac:dyDescent="0.3">
      <c r="B847" s="1076"/>
    </row>
    <row r="848" spans="2:2" x14ac:dyDescent="0.3">
      <c r="B848" s="1076"/>
    </row>
    <row r="849" spans="2:2" x14ac:dyDescent="0.3">
      <c r="B849" s="1076"/>
    </row>
    <row r="850" spans="2:2" x14ac:dyDescent="0.3">
      <c r="B850" s="1076"/>
    </row>
    <row r="851" spans="2:2" x14ac:dyDescent="0.3">
      <c r="B851" s="1076"/>
    </row>
    <row r="852" spans="2:2" x14ac:dyDescent="0.3">
      <c r="B852" s="1076"/>
    </row>
    <row r="853" spans="2:2" x14ac:dyDescent="0.3">
      <c r="B853" s="1076"/>
    </row>
    <row r="854" spans="2:2" x14ac:dyDescent="0.3">
      <c r="B854" s="1076"/>
    </row>
    <row r="855" spans="2:2" x14ac:dyDescent="0.3">
      <c r="B855" s="1076"/>
    </row>
    <row r="856" spans="2:2" x14ac:dyDescent="0.3">
      <c r="B856" s="1076"/>
    </row>
    <row r="857" spans="2:2" x14ac:dyDescent="0.3">
      <c r="B857" s="1076"/>
    </row>
    <row r="858" spans="2:2" x14ac:dyDescent="0.3">
      <c r="B858" s="1076"/>
    </row>
    <row r="859" spans="2:2" x14ac:dyDescent="0.3">
      <c r="B859" s="1076"/>
    </row>
    <row r="860" spans="2:2" x14ac:dyDescent="0.3">
      <c r="B860" s="1076"/>
    </row>
    <row r="861" spans="2:2" x14ac:dyDescent="0.3">
      <c r="B861" s="1076"/>
    </row>
    <row r="862" spans="2:2" x14ac:dyDescent="0.3">
      <c r="B862" s="1076"/>
    </row>
    <row r="863" spans="2:2" x14ac:dyDescent="0.3">
      <c r="B863" s="1076"/>
    </row>
    <row r="864" spans="2:2" x14ac:dyDescent="0.3">
      <c r="B864" s="1076"/>
    </row>
    <row r="865" spans="2:2" x14ac:dyDescent="0.3">
      <c r="B865" s="1076"/>
    </row>
    <row r="866" spans="2:2" x14ac:dyDescent="0.3">
      <c r="B866" s="1076"/>
    </row>
    <row r="867" spans="2:2" x14ac:dyDescent="0.3">
      <c r="B867" s="1076"/>
    </row>
  </sheetData>
  <sheetProtection algorithmName="SHA-512" hashValue="Wuc6Dp3LHhWHvEDkkj5W6kDBi3xFa4OAl+wcjxFi47MQKp4llta6JPhh536Z/ewmCVpZWxw+DD3jv+XmAEy1Mw==" saltValue="0L99qV4wQCdgMP1BzK6/rg=="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BB258"/>
  <sheetViews>
    <sheetView zoomScale="120" zoomScaleNormal="120" workbookViewId="0">
      <selection activeCell="A2" sqref="A2:H2"/>
    </sheetView>
  </sheetViews>
  <sheetFormatPr defaultColWidth="9.109375" defaultRowHeight="14.4" x14ac:dyDescent="0.3"/>
  <cols>
    <col min="1" max="1" width="9.109375" style="99"/>
    <col min="2" max="2" width="12" style="99" customWidth="1"/>
    <col min="3" max="3" width="43.44140625" style="99" customWidth="1"/>
    <col min="4" max="4" width="10" style="972" customWidth="1"/>
    <col min="5" max="5" width="17.6640625" style="972" customWidth="1"/>
    <col min="6" max="6" width="20.109375" style="99" customWidth="1"/>
    <col min="7" max="7" width="21.33203125" style="99" customWidth="1"/>
    <col min="8" max="54" width="10.44140625" style="99" bestFit="1" customWidth="1"/>
    <col min="55" max="16384" width="9.109375" style="99"/>
  </cols>
  <sheetData>
    <row r="1" spans="1:54" ht="43.2" x14ac:dyDescent="0.3">
      <c r="A1" s="99" t="s">
        <v>1579</v>
      </c>
      <c r="E1" s="973" t="s">
        <v>1576</v>
      </c>
      <c r="F1" s="973" t="s">
        <v>1577</v>
      </c>
      <c r="G1" s="973" t="s">
        <v>1578</v>
      </c>
    </row>
    <row r="2" spans="1:54" s="974" customFormat="1" x14ac:dyDescent="0.3">
      <c r="A2" s="99"/>
      <c r="D2" s="974" t="s">
        <v>293</v>
      </c>
      <c r="E2" s="975">
        <v>601754</v>
      </c>
      <c r="F2" s="976">
        <v>601757</v>
      </c>
      <c r="G2" s="976">
        <v>601758</v>
      </c>
    </row>
    <row r="3" spans="1:54" x14ac:dyDescent="0.3">
      <c r="B3" s="972">
        <v>4</v>
      </c>
      <c r="C3" s="977" t="s">
        <v>581</v>
      </c>
      <c r="D3" s="99" t="s">
        <v>294</v>
      </c>
      <c r="E3" s="978">
        <v>0</v>
      </c>
      <c r="F3" s="979">
        <v>0</v>
      </c>
      <c r="G3" s="979">
        <v>0</v>
      </c>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0"/>
      <c r="AG3" s="980"/>
      <c r="AH3" s="980"/>
      <c r="AI3" s="980"/>
      <c r="AJ3" s="980"/>
      <c r="AK3" s="980"/>
      <c r="AL3" s="980"/>
      <c r="AM3" s="980"/>
      <c r="AN3" s="980"/>
      <c r="AO3" s="980"/>
      <c r="AP3" s="980"/>
      <c r="AQ3" s="980"/>
      <c r="AR3" s="980"/>
      <c r="AS3" s="980"/>
      <c r="AT3" s="980"/>
      <c r="AU3" s="980"/>
      <c r="AV3" s="980"/>
      <c r="AW3" s="980"/>
      <c r="AX3" s="980"/>
      <c r="AY3" s="980"/>
      <c r="AZ3" s="980"/>
      <c r="BA3" s="980"/>
      <c r="BB3" s="980"/>
    </row>
    <row r="4" spans="1:54" ht="28.8" x14ac:dyDescent="0.3">
      <c r="B4" s="972">
        <v>5</v>
      </c>
      <c r="C4" s="977" t="s">
        <v>120</v>
      </c>
      <c r="D4" s="99" t="s">
        <v>295</v>
      </c>
      <c r="E4" s="978">
        <v>0</v>
      </c>
      <c r="F4" s="979">
        <v>0</v>
      </c>
      <c r="G4" s="979">
        <v>0</v>
      </c>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0"/>
      <c r="AZ4" s="980"/>
      <c r="BA4" s="980"/>
      <c r="BB4" s="980"/>
    </row>
    <row r="5" spans="1:54" x14ac:dyDescent="0.3">
      <c r="B5" s="972">
        <v>6</v>
      </c>
      <c r="C5" s="977" t="s">
        <v>1580</v>
      </c>
      <c r="D5" s="99" t="s">
        <v>296</v>
      </c>
      <c r="E5" s="978">
        <v>0</v>
      </c>
      <c r="F5" s="979">
        <v>0</v>
      </c>
      <c r="G5" s="979">
        <v>0</v>
      </c>
      <c r="H5" s="980"/>
      <c r="I5" s="980"/>
      <c r="J5" s="980"/>
      <c r="K5" s="980"/>
      <c r="L5" s="980"/>
      <c r="M5" s="980"/>
      <c r="N5" s="980"/>
      <c r="O5" s="980"/>
      <c r="P5" s="980"/>
      <c r="Q5" s="980"/>
      <c r="R5" s="980"/>
      <c r="S5" s="980"/>
      <c r="T5" s="980"/>
      <c r="U5" s="980"/>
      <c r="V5" s="980"/>
      <c r="W5" s="980"/>
      <c r="X5" s="980"/>
      <c r="Y5" s="980"/>
      <c r="Z5" s="980"/>
      <c r="AA5" s="980"/>
      <c r="AB5" s="980"/>
      <c r="AC5" s="980"/>
      <c r="AD5" s="980"/>
      <c r="AE5" s="980"/>
      <c r="AF5" s="980"/>
      <c r="AG5" s="980"/>
      <c r="AH5" s="980"/>
      <c r="AI5" s="980"/>
      <c r="AJ5" s="980"/>
      <c r="AK5" s="980"/>
      <c r="AL5" s="980"/>
      <c r="AM5" s="980"/>
      <c r="AN5" s="980"/>
      <c r="AO5" s="980"/>
      <c r="AP5" s="980"/>
      <c r="AQ5" s="980"/>
      <c r="AR5" s="980"/>
      <c r="AS5" s="980"/>
      <c r="AT5" s="980"/>
      <c r="AU5" s="980"/>
      <c r="AV5" s="980"/>
      <c r="AW5" s="980"/>
      <c r="AX5" s="980"/>
      <c r="AY5" s="980"/>
      <c r="AZ5" s="980"/>
      <c r="BA5" s="980"/>
      <c r="BB5" s="980"/>
    </row>
    <row r="6" spans="1:54" x14ac:dyDescent="0.3">
      <c r="B6" s="972">
        <v>7</v>
      </c>
      <c r="C6" s="977" t="s">
        <v>1581</v>
      </c>
      <c r="D6" s="99" t="s">
        <v>297</v>
      </c>
      <c r="E6" s="978">
        <v>0</v>
      </c>
      <c r="F6" s="979">
        <v>0</v>
      </c>
      <c r="G6" s="979">
        <v>0</v>
      </c>
      <c r="H6" s="980"/>
      <c r="I6" s="980"/>
      <c r="J6" s="980"/>
      <c r="K6" s="980"/>
      <c r="L6" s="980"/>
      <c r="M6" s="980"/>
      <c r="N6" s="980"/>
      <c r="O6" s="980"/>
      <c r="P6" s="980"/>
      <c r="Q6" s="980"/>
      <c r="R6" s="980"/>
      <c r="S6" s="980"/>
      <c r="T6" s="980"/>
      <c r="U6" s="980"/>
      <c r="V6" s="980"/>
      <c r="W6" s="980"/>
      <c r="X6" s="980"/>
      <c r="Y6" s="980"/>
      <c r="Z6" s="980"/>
      <c r="AA6" s="980"/>
      <c r="AB6" s="980"/>
      <c r="AC6" s="980"/>
      <c r="AD6" s="980"/>
      <c r="AE6" s="980"/>
      <c r="AF6" s="980"/>
      <c r="AG6" s="980"/>
      <c r="AH6" s="980"/>
      <c r="AI6" s="980"/>
      <c r="AJ6" s="980"/>
      <c r="AK6" s="980"/>
      <c r="AL6" s="980"/>
      <c r="AM6" s="980"/>
      <c r="AN6" s="980"/>
      <c r="AO6" s="980"/>
      <c r="AP6" s="980"/>
      <c r="AQ6" s="980"/>
      <c r="AR6" s="980"/>
      <c r="AS6" s="980"/>
      <c r="AT6" s="980"/>
      <c r="AU6" s="980"/>
      <c r="AV6" s="980"/>
      <c r="AW6" s="980"/>
      <c r="AX6" s="980"/>
      <c r="AY6" s="980"/>
      <c r="AZ6" s="980"/>
      <c r="BA6" s="980"/>
      <c r="BB6" s="980"/>
    </row>
    <row r="7" spans="1:54" x14ac:dyDescent="0.3">
      <c r="B7" s="972">
        <v>9</v>
      </c>
      <c r="C7" s="977" t="s">
        <v>1582</v>
      </c>
      <c r="D7" s="99" t="s">
        <v>298</v>
      </c>
      <c r="E7" s="978">
        <v>0</v>
      </c>
      <c r="F7" s="979">
        <v>0</v>
      </c>
      <c r="G7" s="979">
        <v>0</v>
      </c>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c r="AL7" s="980"/>
      <c r="AM7" s="980"/>
      <c r="AN7" s="980"/>
      <c r="AO7" s="980"/>
      <c r="AP7" s="980"/>
      <c r="AQ7" s="980"/>
      <c r="AR7" s="980"/>
      <c r="AS7" s="980"/>
      <c r="AT7" s="980"/>
      <c r="AU7" s="980"/>
      <c r="AV7" s="980"/>
      <c r="AW7" s="980"/>
      <c r="AX7" s="980"/>
      <c r="AY7" s="980"/>
      <c r="AZ7" s="980"/>
      <c r="BA7" s="980"/>
      <c r="BB7" s="980"/>
    </row>
    <row r="8" spans="1:54" x14ac:dyDescent="0.3">
      <c r="B8" s="972">
        <v>11</v>
      </c>
      <c r="C8" s="977" t="s">
        <v>1583</v>
      </c>
      <c r="D8" s="99" t="s">
        <v>299</v>
      </c>
      <c r="E8" s="978">
        <v>0</v>
      </c>
      <c r="F8" s="979">
        <v>0</v>
      </c>
      <c r="G8" s="979">
        <v>0</v>
      </c>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c r="AL8" s="980"/>
      <c r="AM8" s="980"/>
      <c r="AN8" s="980"/>
      <c r="AO8" s="980"/>
      <c r="AP8" s="980"/>
      <c r="AQ8" s="980"/>
      <c r="AR8" s="980"/>
      <c r="AS8" s="980"/>
      <c r="AT8" s="980"/>
      <c r="AU8" s="980"/>
      <c r="AV8" s="980"/>
      <c r="AW8" s="980"/>
      <c r="AX8" s="980"/>
      <c r="AY8" s="980"/>
      <c r="AZ8" s="980"/>
      <c r="BA8" s="980"/>
      <c r="BB8" s="980"/>
    </row>
    <row r="9" spans="1:54" ht="28.8" x14ac:dyDescent="0.3">
      <c r="B9" s="972">
        <v>12</v>
      </c>
      <c r="C9" s="977" t="s">
        <v>582</v>
      </c>
      <c r="D9" s="99" t="s">
        <v>300</v>
      </c>
      <c r="E9" s="978">
        <v>0</v>
      </c>
      <c r="F9" s="979">
        <v>0</v>
      </c>
      <c r="G9" s="979">
        <v>0</v>
      </c>
    </row>
    <row r="10" spans="1:54" ht="28.8" x14ac:dyDescent="0.3">
      <c r="B10" s="972">
        <v>13</v>
      </c>
      <c r="C10" s="977" t="s">
        <v>583</v>
      </c>
      <c r="D10" s="99" t="s">
        <v>301</v>
      </c>
      <c r="E10" s="978">
        <v>0</v>
      </c>
      <c r="F10" s="979">
        <v>0</v>
      </c>
      <c r="G10" s="979">
        <v>0</v>
      </c>
    </row>
    <row r="11" spans="1:54" ht="28.8" x14ac:dyDescent="0.3">
      <c r="B11" s="972">
        <v>14</v>
      </c>
      <c r="C11" s="977" t="s">
        <v>302</v>
      </c>
      <c r="D11" s="99" t="s">
        <v>303</v>
      </c>
      <c r="E11" s="978">
        <v>0</v>
      </c>
      <c r="F11" s="979">
        <v>0</v>
      </c>
      <c r="G11" s="979">
        <v>0</v>
      </c>
    </row>
    <row r="12" spans="1:54" x14ac:dyDescent="0.3">
      <c r="B12" s="972">
        <v>16</v>
      </c>
      <c r="C12" s="977" t="s">
        <v>1584</v>
      </c>
      <c r="D12" s="99" t="s">
        <v>304</v>
      </c>
      <c r="E12" s="978">
        <v>0</v>
      </c>
      <c r="F12" s="979">
        <v>0</v>
      </c>
      <c r="G12" s="979">
        <v>0</v>
      </c>
    </row>
    <row r="13" spans="1:54" x14ac:dyDescent="0.3">
      <c r="B13" s="972">
        <v>17</v>
      </c>
      <c r="C13" s="977" t="s">
        <v>1585</v>
      </c>
      <c r="D13" s="99" t="s">
        <v>305</v>
      </c>
      <c r="E13" s="978">
        <v>0</v>
      </c>
      <c r="F13" s="979">
        <v>0</v>
      </c>
      <c r="G13" s="979">
        <v>0</v>
      </c>
    </row>
    <row r="14" spans="1:54" x14ac:dyDescent="0.3">
      <c r="B14" s="972">
        <v>19</v>
      </c>
      <c r="C14" s="977" t="s">
        <v>584</v>
      </c>
      <c r="D14" s="99" t="s">
        <v>306</v>
      </c>
      <c r="E14" s="978">
        <v>0</v>
      </c>
      <c r="F14" s="979">
        <v>0</v>
      </c>
      <c r="G14" s="979">
        <v>0</v>
      </c>
    </row>
    <row r="15" spans="1:54" x14ac:dyDescent="0.3">
      <c r="B15" s="972">
        <v>20</v>
      </c>
      <c r="C15" s="977" t="s">
        <v>1586</v>
      </c>
      <c r="D15" s="99" t="s">
        <v>307</v>
      </c>
      <c r="E15" s="978">
        <v>0</v>
      </c>
      <c r="F15" s="979">
        <v>0</v>
      </c>
      <c r="G15" s="979">
        <v>0</v>
      </c>
    </row>
    <row r="16" spans="1:54" ht="28.8" x14ac:dyDescent="0.3">
      <c r="B16" s="972">
        <v>21</v>
      </c>
      <c r="C16" s="977" t="s">
        <v>585</v>
      </c>
      <c r="D16" s="99" t="s">
        <v>308</v>
      </c>
      <c r="E16" s="978">
        <v>0</v>
      </c>
      <c r="F16" s="979">
        <v>0</v>
      </c>
      <c r="G16" s="979">
        <v>0</v>
      </c>
    </row>
    <row r="17" spans="2:7" x14ac:dyDescent="0.3">
      <c r="B17" s="972">
        <v>22</v>
      </c>
      <c r="C17" s="977" t="s">
        <v>1587</v>
      </c>
      <c r="D17" s="99" t="s">
        <v>309</v>
      </c>
      <c r="E17" s="978">
        <v>0</v>
      </c>
      <c r="F17" s="979">
        <v>0</v>
      </c>
      <c r="G17" s="979">
        <v>0</v>
      </c>
    </row>
    <row r="18" spans="2:7" x14ac:dyDescent="0.3">
      <c r="B18" s="972">
        <v>23</v>
      </c>
      <c r="C18" s="977" t="s">
        <v>1588</v>
      </c>
      <c r="D18" s="99" t="s">
        <v>310</v>
      </c>
      <c r="E18" s="978">
        <v>0</v>
      </c>
      <c r="F18" s="979">
        <v>0</v>
      </c>
      <c r="G18" s="979">
        <v>0</v>
      </c>
    </row>
    <row r="19" spans="2:7" x14ac:dyDescent="0.3">
      <c r="B19" s="972">
        <v>31</v>
      </c>
      <c r="C19" s="977" t="s">
        <v>586</v>
      </c>
      <c r="D19" s="99" t="s">
        <v>311</v>
      </c>
      <c r="E19" s="978">
        <v>0</v>
      </c>
      <c r="F19" s="979">
        <v>0</v>
      </c>
      <c r="G19" s="979">
        <v>0</v>
      </c>
    </row>
    <row r="20" spans="2:7" ht="28.8" x14ac:dyDescent="0.3">
      <c r="B20" s="972">
        <v>32</v>
      </c>
      <c r="C20" s="981" t="s">
        <v>312</v>
      </c>
      <c r="D20" s="99" t="s">
        <v>313</v>
      </c>
      <c r="E20" s="978">
        <v>0</v>
      </c>
      <c r="F20" s="979">
        <v>0</v>
      </c>
      <c r="G20" s="979">
        <v>0</v>
      </c>
    </row>
    <row r="21" spans="2:7" ht="28.8" x14ac:dyDescent="0.3">
      <c r="B21" s="972">
        <v>33</v>
      </c>
      <c r="C21" s="981" t="s">
        <v>314</v>
      </c>
      <c r="D21" s="99" t="s">
        <v>315</v>
      </c>
      <c r="E21" s="978">
        <v>0</v>
      </c>
      <c r="F21" s="979">
        <v>0</v>
      </c>
      <c r="G21" s="979">
        <v>0</v>
      </c>
    </row>
    <row r="22" spans="2:7" x14ac:dyDescent="0.3">
      <c r="B22" s="972">
        <v>34</v>
      </c>
      <c r="C22" s="982" t="s">
        <v>316</v>
      </c>
      <c r="D22" s="99" t="s">
        <v>317</v>
      </c>
      <c r="E22" s="978">
        <v>0</v>
      </c>
      <c r="F22" s="979">
        <v>0</v>
      </c>
      <c r="G22" s="979">
        <v>0</v>
      </c>
    </row>
    <row r="23" spans="2:7" x14ac:dyDescent="0.3">
      <c r="B23" s="972">
        <v>35</v>
      </c>
      <c r="C23" s="982" t="s">
        <v>587</v>
      </c>
      <c r="D23" s="99" t="s">
        <v>318</v>
      </c>
      <c r="E23" s="978">
        <v>0</v>
      </c>
      <c r="F23" s="979">
        <v>0</v>
      </c>
      <c r="G23" s="979">
        <v>0</v>
      </c>
    </row>
    <row r="24" spans="2:7" ht="26.4" x14ac:dyDescent="0.3">
      <c r="B24" s="972">
        <v>36</v>
      </c>
      <c r="C24" s="982" t="s">
        <v>588</v>
      </c>
      <c r="D24" s="99" t="s">
        <v>319</v>
      </c>
      <c r="E24" s="978">
        <v>0</v>
      </c>
      <c r="F24" s="979">
        <v>0</v>
      </c>
      <c r="G24" s="979">
        <v>0</v>
      </c>
    </row>
    <row r="25" spans="2:7" ht="26.4" x14ac:dyDescent="0.3">
      <c r="B25" s="972">
        <v>37</v>
      </c>
      <c r="C25" s="982" t="s">
        <v>320</v>
      </c>
      <c r="D25" s="99" t="s">
        <v>321</v>
      </c>
      <c r="E25" s="978">
        <v>0</v>
      </c>
      <c r="F25" s="979">
        <v>0</v>
      </c>
      <c r="G25" s="979">
        <v>0</v>
      </c>
    </row>
    <row r="26" spans="2:7" x14ac:dyDescent="0.3">
      <c r="B26" s="972">
        <v>38</v>
      </c>
      <c r="C26" s="982" t="s">
        <v>589</v>
      </c>
      <c r="D26" s="99" t="s">
        <v>322</v>
      </c>
      <c r="E26" s="978">
        <v>0</v>
      </c>
      <c r="F26" s="979">
        <v>0</v>
      </c>
      <c r="G26" s="979">
        <v>0</v>
      </c>
    </row>
    <row r="27" spans="2:7" x14ac:dyDescent="0.3">
      <c r="B27" s="972">
        <v>39</v>
      </c>
      <c r="C27" s="982" t="s">
        <v>323</v>
      </c>
      <c r="D27" s="99" t="s">
        <v>324</v>
      </c>
      <c r="E27" s="978">
        <v>0</v>
      </c>
      <c r="F27" s="979">
        <v>0</v>
      </c>
      <c r="G27" s="979">
        <v>0</v>
      </c>
    </row>
    <row r="28" spans="2:7" x14ac:dyDescent="0.3">
      <c r="B28" s="972">
        <v>40</v>
      </c>
      <c r="C28" s="982" t="s">
        <v>325</v>
      </c>
      <c r="D28" s="99" t="s">
        <v>326</v>
      </c>
      <c r="E28" s="978">
        <v>0</v>
      </c>
      <c r="F28" s="979">
        <v>0</v>
      </c>
      <c r="G28" s="979">
        <v>0</v>
      </c>
    </row>
    <row r="29" spans="2:7" x14ac:dyDescent="0.3">
      <c r="B29" s="972">
        <v>41</v>
      </c>
      <c r="C29" s="982" t="s">
        <v>327</v>
      </c>
      <c r="D29" s="99" t="s">
        <v>328</v>
      </c>
      <c r="E29" s="978">
        <v>0</v>
      </c>
      <c r="F29" s="979">
        <v>0</v>
      </c>
      <c r="G29" s="979">
        <v>0</v>
      </c>
    </row>
    <row r="30" spans="2:7" ht="28.8" x14ac:dyDescent="0.3">
      <c r="B30" s="972">
        <v>43</v>
      </c>
      <c r="C30" s="977" t="s">
        <v>329</v>
      </c>
      <c r="D30" s="99" t="s">
        <v>330</v>
      </c>
      <c r="E30" s="978">
        <v>0</v>
      </c>
      <c r="F30" s="979">
        <v>0</v>
      </c>
      <c r="G30" s="979">
        <v>0</v>
      </c>
    </row>
    <row r="31" spans="2:7" x14ac:dyDescent="0.3">
      <c r="B31" s="972">
        <v>44</v>
      </c>
      <c r="C31" s="977" t="s">
        <v>590</v>
      </c>
      <c r="D31" s="99" t="s">
        <v>331</v>
      </c>
      <c r="E31" s="978">
        <v>0</v>
      </c>
      <c r="F31" s="979">
        <v>0</v>
      </c>
      <c r="G31" s="979">
        <v>0</v>
      </c>
    </row>
    <row r="32" spans="2:7" x14ac:dyDescent="0.3">
      <c r="B32" s="972">
        <v>45</v>
      </c>
      <c r="C32" s="977" t="s">
        <v>591</v>
      </c>
      <c r="D32" s="99" t="s">
        <v>332</v>
      </c>
      <c r="E32" s="978">
        <v>0</v>
      </c>
      <c r="F32" s="979">
        <v>0</v>
      </c>
      <c r="G32" s="979">
        <v>0</v>
      </c>
    </row>
    <row r="33" spans="1:7" ht="28.8" x14ac:dyDescent="0.3">
      <c r="B33" s="972">
        <v>46</v>
      </c>
      <c r="C33" s="977" t="s">
        <v>592</v>
      </c>
      <c r="D33" s="99" t="s">
        <v>333</v>
      </c>
      <c r="E33" s="978">
        <v>0</v>
      </c>
      <c r="F33" s="979">
        <v>0</v>
      </c>
      <c r="G33" s="979">
        <v>0</v>
      </c>
    </row>
    <row r="34" spans="1:7" x14ac:dyDescent="0.3">
      <c r="A34" s="983">
        <v>47</v>
      </c>
      <c r="B34" s="972">
        <v>47</v>
      </c>
      <c r="C34" s="977" t="s">
        <v>593</v>
      </c>
      <c r="D34" s="99" t="s">
        <v>334</v>
      </c>
      <c r="E34" s="978">
        <v>6430008</v>
      </c>
      <c r="F34" s="979">
        <v>166224000</v>
      </c>
      <c r="G34" s="979">
        <v>533189000</v>
      </c>
    </row>
    <row r="35" spans="1:7" x14ac:dyDescent="0.3">
      <c r="A35" s="983">
        <v>48</v>
      </c>
      <c r="B35" s="972">
        <v>48</v>
      </c>
      <c r="C35" s="977" t="s">
        <v>123</v>
      </c>
      <c r="D35" s="99" t="s">
        <v>335</v>
      </c>
      <c r="E35" s="978">
        <v>2004433</v>
      </c>
      <c r="F35" s="979">
        <v>88224000</v>
      </c>
      <c r="G35" s="979">
        <v>97442000</v>
      </c>
    </row>
    <row r="36" spans="1:7" x14ac:dyDescent="0.3">
      <c r="B36" s="972">
        <v>49</v>
      </c>
      <c r="C36" s="977" t="s">
        <v>1589</v>
      </c>
      <c r="D36" s="99" t="s">
        <v>336</v>
      </c>
      <c r="E36" s="978">
        <v>0</v>
      </c>
      <c r="F36" s="979">
        <v>0</v>
      </c>
      <c r="G36" s="979">
        <v>0</v>
      </c>
    </row>
    <row r="37" spans="1:7" x14ac:dyDescent="0.3">
      <c r="B37" s="972">
        <v>50</v>
      </c>
      <c r="C37" s="977" t="s">
        <v>100</v>
      </c>
      <c r="D37" s="99" t="s">
        <v>337</v>
      </c>
      <c r="E37" s="978">
        <v>0</v>
      </c>
      <c r="F37" s="979">
        <v>0</v>
      </c>
      <c r="G37" s="979">
        <v>0</v>
      </c>
    </row>
    <row r="38" spans="1:7" x14ac:dyDescent="0.3">
      <c r="B38" s="972">
        <v>51</v>
      </c>
      <c r="C38" s="977" t="s">
        <v>1590</v>
      </c>
      <c r="D38" s="99" t="s">
        <v>338</v>
      </c>
      <c r="E38" s="978">
        <v>0</v>
      </c>
      <c r="F38" s="979">
        <v>0</v>
      </c>
      <c r="G38" s="979">
        <v>0</v>
      </c>
    </row>
    <row r="39" spans="1:7" x14ac:dyDescent="0.3">
      <c r="A39" s="983">
        <v>52</v>
      </c>
      <c r="B39" s="972">
        <v>52</v>
      </c>
      <c r="C39" s="977" t="s">
        <v>1591</v>
      </c>
      <c r="D39" s="99" t="s">
        <v>339</v>
      </c>
      <c r="E39" s="978">
        <v>927428</v>
      </c>
      <c r="F39" s="979">
        <v>1279000</v>
      </c>
      <c r="G39" s="979">
        <v>73430000</v>
      </c>
    </row>
    <row r="40" spans="1:7" x14ac:dyDescent="0.3">
      <c r="A40" s="983">
        <v>53</v>
      </c>
      <c r="B40" s="972">
        <v>53</v>
      </c>
      <c r="C40" s="977" t="s">
        <v>101</v>
      </c>
      <c r="D40" s="99" t="s">
        <v>340</v>
      </c>
      <c r="E40" s="978">
        <v>767843</v>
      </c>
      <c r="F40" s="979">
        <v>-19208000</v>
      </c>
      <c r="G40" s="979">
        <v>-26185000</v>
      </c>
    </row>
    <row r="41" spans="1:7" x14ac:dyDescent="0.3">
      <c r="B41" s="972">
        <v>54</v>
      </c>
      <c r="C41" s="977" t="s">
        <v>594</v>
      </c>
      <c r="D41" s="99" t="s">
        <v>341</v>
      </c>
      <c r="E41" s="978">
        <v>0</v>
      </c>
      <c r="F41" s="979">
        <v>0</v>
      </c>
      <c r="G41" s="979">
        <v>0</v>
      </c>
    </row>
    <row r="42" spans="1:7" x14ac:dyDescent="0.3">
      <c r="A42" s="983">
        <v>55</v>
      </c>
      <c r="B42" s="972">
        <v>55</v>
      </c>
      <c r="C42" s="977" t="s">
        <v>1592</v>
      </c>
      <c r="D42" s="99" t="s">
        <v>342</v>
      </c>
      <c r="E42" s="978">
        <v>1949710</v>
      </c>
      <c r="F42" s="979">
        <v>4103000</v>
      </c>
      <c r="G42" s="979">
        <v>229341000</v>
      </c>
    </row>
    <row r="43" spans="1:7" x14ac:dyDescent="0.3">
      <c r="B43" s="972">
        <v>61</v>
      </c>
      <c r="C43" s="977" t="s">
        <v>1593</v>
      </c>
      <c r="D43" s="99" t="s">
        <v>343</v>
      </c>
      <c r="E43" s="978">
        <v>0</v>
      </c>
      <c r="F43" s="979">
        <v>0</v>
      </c>
      <c r="G43" s="979">
        <v>0</v>
      </c>
    </row>
    <row r="44" spans="1:7" x14ac:dyDescent="0.3">
      <c r="B44" s="972">
        <v>80</v>
      </c>
      <c r="C44" s="977" t="s">
        <v>1594</v>
      </c>
      <c r="D44" s="99" t="s">
        <v>344</v>
      </c>
      <c r="E44" s="978">
        <v>0</v>
      </c>
      <c r="F44" s="979">
        <v>0</v>
      </c>
      <c r="G44" s="979">
        <v>0</v>
      </c>
    </row>
    <row r="45" spans="1:7" ht="28.8" x14ac:dyDescent="0.3">
      <c r="B45" s="972">
        <v>81</v>
      </c>
      <c r="C45" s="977" t="s">
        <v>1595</v>
      </c>
      <c r="D45" s="99" t="s">
        <v>345</v>
      </c>
      <c r="E45" s="978">
        <v>0</v>
      </c>
      <c r="F45" s="979">
        <v>0</v>
      </c>
      <c r="G45" s="979">
        <v>0</v>
      </c>
    </row>
    <row r="46" spans="1:7" ht="28.8" x14ac:dyDescent="0.3">
      <c r="B46" s="972">
        <v>82</v>
      </c>
      <c r="C46" s="977" t="s">
        <v>1596</v>
      </c>
      <c r="D46" s="99" t="s">
        <v>346</v>
      </c>
      <c r="E46" s="978">
        <v>0</v>
      </c>
      <c r="F46" s="979">
        <v>0</v>
      </c>
      <c r="G46" s="979">
        <v>0</v>
      </c>
    </row>
    <row r="47" spans="1:7" x14ac:dyDescent="0.3">
      <c r="B47" s="972">
        <v>83</v>
      </c>
      <c r="C47" s="977" t="s">
        <v>102</v>
      </c>
      <c r="D47" s="99" t="s">
        <v>347</v>
      </c>
      <c r="E47" s="978">
        <v>0</v>
      </c>
      <c r="F47" s="979">
        <v>0</v>
      </c>
      <c r="G47" s="979">
        <v>0</v>
      </c>
    </row>
    <row r="48" spans="1:7" x14ac:dyDescent="0.3">
      <c r="B48" s="972">
        <v>84</v>
      </c>
      <c r="C48" s="977" t="s">
        <v>1597</v>
      </c>
      <c r="D48" s="99" t="s">
        <v>348</v>
      </c>
      <c r="E48" s="978">
        <v>0</v>
      </c>
      <c r="F48" s="979">
        <v>0</v>
      </c>
      <c r="G48" s="979">
        <v>0</v>
      </c>
    </row>
    <row r="49" spans="1:7" x14ac:dyDescent="0.3">
      <c r="B49" s="972">
        <v>85</v>
      </c>
      <c r="C49" s="977" t="s">
        <v>1598</v>
      </c>
      <c r="D49" s="99" t="s">
        <v>349</v>
      </c>
      <c r="E49" s="978">
        <v>0</v>
      </c>
      <c r="F49" s="979">
        <v>0</v>
      </c>
      <c r="G49" s="979">
        <v>0</v>
      </c>
    </row>
    <row r="50" spans="1:7" x14ac:dyDescent="0.3">
      <c r="B50" s="972">
        <v>88</v>
      </c>
      <c r="C50" s="977" t="s">
        <v>1599</v>
      </c>
      <c r="D50" s="99" t="s">
        <v>350</v>
      </c>
      <c r="E50" s="978">
        <v>0</v>
      </c>
      <c r="F50" s="979">
        <v>0</v>
      </c>
      <c r="G50" s="979">
        <v>0</v>
      </c>
    </row>
    <row r="51" spans="1:7" x14ac:dyDescent="0.3">
      <c r="B51" s="972">
        <v>89</v>
      </c>
      <c r="C51" s="977" t="s">
        <v>1600</v>
      </c>
      <c r="D51" s="99" t="s">
        <v>351</v>
      </c>
      <c r="E51" s="978">
        <v>0</v>
      </c>
      <c r="F51" s="979">
        <v>0</v>
      </c>
      <c r="G51" s="979">
        <v>0</v>
      </c>
    </row>
    <row r="52" spans="1:7" x14ac:dyDescent="0.3">
      <c r="A52" s="983">
        <v>90</v>
      </c>
      <c r="B52" s="972">
        <v>90</v>
      </c>
      <c r="C52" s="977" t="s">
        <v>1601</v>
      </c>
      <c r="D52" s="99" t="s">
        <v>352</v>
      </c>
      <c r="E52" s="978">
        <v>1997136</v>
      </c>
      <c r="F52" s="979">
        <v>107053000</v>
      </c>
      <c r="G52" s="979">
        <v>2658000</v>
      </c>
    </row>
    <row r="53" spans="1:7" x14ac:dyDescent="0.3">
      <c r="A53" s="983">
        <v>91</v>
      </c>
      <c r="B53" s="972">
        <v>91</v>
      </c>
      <c r="C53" s="977" t="s">
        <v>1602</v>
      </c>
      <c r="D53" s="99" t="s">
        <v>353</v>
      </c>
      <c r="E53" s="978">
        <v>2316332</v>
      </c>
      <c r="F53" s="979">
        <v>44237000</v>
      </c>
      <c r="G53" s="979">
        <v>35284000</v>
      </c>
    </row>
    <row r="54" spans="1:7" x14ac:dyDescent="0.3">
      <c r="B54" s="972">
        <v>92</v>
      </c>
      <c r="C54" s="977" t="s">
        <v>595</v>
      </c>
      <c r="D54" s="99" t="s">
        <v>354</v>
      </c>
      <c r="E54" s="978">
        <v>0</v>
      </c>
      <c r="F54" s="979">
        <v>0</v>
      </c>
      <c r="G54" s="979">
        <v>0</v>
      </c>
    </row>
    <row r="55" spans="1:7" x14ac:dyDescent="0.3">
      <c r="A55" s="983">
        <v>93</v>
      </c>
      <c r="B55" s="972">
        <v>93</v>
      </c>
      <c r="C55" s="977" t="s">
        <v>1603</v>
      </c>
      <c r="D55" s="99" t="s">
        <v>355</v>
      </c>
      <c r="E55" s="978">
        <v>27408719</v>
      </c>
      <c r="F55" s="979">
        <v>555882000</v>
      </c>
      <c r="G55" s="979">
        <v>491880000</v>
      </c>
    </row>
    <row r="56" spans="1:7" x14ac:dyDescent="0.3">
      <c r="A56" s="983">
        <v>94</v>
      </c>
      <c r="B56" s="972">
        <v>94</v>
      </c>
      <c r="C56" s="977" t="s">
        <v>1604</v>
      </c>
      <c r="D56" s="99" t="s">
        <v>356</v>
      </c>
      <c r="E56" s="978">
        <v>26647052</v>
      </c>
      <c r="F56" s="979">
        <v>523229000</v>
      </c>
      <c r="G56" s="979">
        <v>378259000</v>
      </c>
    </row>
    <row r="57" spans="1:7" x14ac:dyDescent="0.3">
      <c r="A57" s="983">
        <v>97</v>
      </c>
      <c r="B57" s="972">
        <v>97</v>
      </c>
      <c r="C57" s="977" t="s">
        <v>1605</v>
      </c>
      <c r="D57" s="99" t="s">
        <v>357</v>
      </c>
      <c r="E57" s="978">
        <v>27120108</v>
      </c>
      <c r="F57" s="979">
        <v>554920000</v>
      </c>
      <c r="G57" s="979">
        <v>490479000</v>
      </c>
    </row>
    <row r="58" spans="1:7" x14ac:dyDescent="0.3">
      <c r="A58" s="983">
        <v>98</v>
      </c>
      <c r="B58" s="972">
        <v>98</v>
      </c>
      <c r="C58" s="977" t="s">
        <v>1606</v>
      </c>
      <c r="D58" s="99" t="s">
        <v>358</v>
      </c>
      <c r="E58" s="978">
        <v>0</v>
      </c>
      <c r="F58" s="979">
        <v>10329000</v>
      </c>
      <c r="G58" s="979">
        <v>48454000</v>
      </c>
    </row>
    <row r="59" spans="1:7" x14ac:dyDescent="0.3">
      <c r="A59" s="983">
        <v>99</v>
      </c>
      <c r="B59" s="972">
        <v>99</v>
      </c>
      <c r="C59" s="977" t="s">
        <v>1607</v>
      </c>
      <c r="D59" s="99" t="s">
        <v>359</v>
      </c>
      <c r="E59" s="978">
        <v>22138884</v>
      </c>
      <c r="F59" s="979">
        <v>448181000</v>
      </c>
      <c r="G59" s="979">
        <v>77002000</v>
      </c>
    </row>
    <row r="60" spans="1:7" x14ac:dyDescent="0.3">
      <c r="A60" s="983">
        <v>100</v>
      </c>
      <c r="B60" s="972">
        <v>100</v>
      </c>
      <c r="C60" s="977" t="s">
        <v>1608</v>
      </c>
      <c r="D60" s="99" t="s">
        <v>360</v>
      </c>
      <c r="E60" s="978">
        <v>0</v>
      </c>
      <c r="F60" s="979">
        <v>40065000</v>
      </c>
      <c r="G60" s="979">
        <v>71505000</v>
      </c>
    </row>
    <row r="61" spans="1:7" x14ac:dyDescent="0.3">
      <c r="A61" s="983">
        <v>101</v>
      </c>
      <c r="B61" s="972">
        <v>101</v>
      </c>
      <c r="C61" s="977" t="s">
        <v>1609</v>
      </c>
      <c r="D61" s="99" t="s">
        <v>361</v>
      </c>
      <c r="E61" s="978">
        <v>1588372</v>
      </c>
      <c r="F61" s="979">
        <v>2268000</v>
      </c>
      <c r="G61" s="979">
        <v>85896000</v>
      </c>
    </row>
    <row r="62" spans="1:7" x14ac:dyDescent="0.3">
      <c r="A62" s="99">
        <v>192</v>
      </c>
      <c r="B62" s="972">
        <v>102</v>
      </c>
      <c r="C62" s="977" t="s">
        <v>1610</v>
      </c>
      <c r="D62" s="99" t="s">
        <v>362</v>
      </c>
      <c r="E62" s="978">
        <v>0</v>
      </c>
      <c r="F62" s="979">
        <v>0</v>
      </c>
      <c r="G62" s="979">
        <v>0</v>
      </c>
    </row>
    <row r="63" spans="1:7" x14ac:dyDescent="0.3">
      <c r="B63" s="972">
        <v>103</v>
      </c>
      <c r="C63" s="977" t="s">
        <v>1611</v>
      </c>
      <c r="D63" s="99" t="s">
        <v>363</v>
      </c>
      <c r="E63" s="978">
        <v>0</v>
      </c>
      <c r="F63" s="979">
        <v>0</v>
      </c>
      <c r="G63" s="979">
        <v>0</v>
      </c>
    </row>
    <row r="64" spans="1:7" x14ac:dyDescent="0.3">
      <c r="B64" s="972">
        <v>104</v>
      </c>
      <c r="C64" s="982" t="s">
        <v>364</v>
      </c>
      <c r="D64" s="99" t="s">
        <v>365</v>
      </c>
      <c r="E64" s="978">
        <v>0</v>
      </c>
      <c r="F64" s="979">
        <v>0</v>
      </c>
      <c r="G64" s="979">
        <v>0</v>
      </c>
    </row>
    <row r="65" spans="1:7" x14ac:dyDescent="0.3">
      <c r="B65" s="972">
        <v>107</v>
      </c>
      <c r="C65" s="982" t="s">
        <v>596</v>
      </c>
      <c r="D65" s="99" t="s">
        <v>366</v>
      </c>
      <c r="E65" s="978">
        <v>0</v>
      </c>
      <c r="F65" s="979">
        <v>0</v>
      </c>
      <c r="G65" s="979">
        <v>0</v>
      </c>
    </row>
    <row r="66" spans="1:7" ht="26.4" x14ac:dyDescent="0.3">
      <c r="B66" s="972">
        <v>108</v>
      </c>
      <c r="C66" s="982" t="s">
        <v>597</v>
      </c>
      <c r="D66" s="99" t="s">
        <v>367</v>
      </c>
      <c r="E66" s="978">
        <v>0</v>
      </c>
      <c r="F66" s="979">
        <v>0</v>
      </c>
      <c r="G66" s="979">
        <v>0</v>
      </c>
    </row>
    <row r="67" spans="1:7" x14ac:dyDescent="0.3">
      <c r="B67" s="972">
        <v>147</v>
      </c>
      <c r="C67" s="982" t="s">
        <v>368</v>
      </c>
      <c r="D67" s="99" t="s">
        <v>369</v>
      </c>
      <c r="E67" s="978">
        <v>0</v>
      </c>
      <c r="F67" s="979">
        <v>0</v>
      </c>
      <c r="G67" s="979">
        <v>0</v>
      </c>
    </row>
    <row r="68" spans="1:7" ht="26.4" x14ac:dyDescent="0.3">
      <c r="B68" s="972">
        <v>148</v>
      </c>
      <c r="C68" s="982" t="s">
        <v>370</v>
      </c>
      <c r="D68" s="99" t="s">
        <v>371</v>
      </c>
      <c r="E68" s="978">
        <v>0</v>
      </c>
      <c r="F68" s="979">
        <v>0</v>
      </c>
      <c r="G68" s="979">
        <v>0</v>
      </c>
    </row>
    <row r="69" spans="1:7" ht="26.4" x14ac:dyDescent="0.3">
      <c r="B69" s="972">
        <v>149</v>
      </c>
      <c r="C69" s="982" t="s">
        <v>372</v>
      </c>
      <c r="D69" s="99" t="s">
        <v>373</v>
      </c>
      <c r="E69" s="978">
        <v>0</v>
      </c>
      <c r="F69" s="979">
        <v>0</v>
      </c>
      <c r="G69" s="979">
        <v>0</v>
      </c>
    </row>
    <row r="70" spans="1:7" ht="26.4" x14ac:dyDescent="0.3">
      <c r="B70" s="972">
        <v>150</v>
      </c>
      <c r="C70" s="982" t="s">
        <v>374</v>
      </c>
      <c r="D70" s="99" t="s">
        <v>375</v>
      </c>
      <c r="E70" s="978">
        <v>0</v>
      </c>
      <c r="F70" s="979">
        <v>0</v>
      </c>
      <c r="G70" s="979">
        <v>0</v>
      </c>
    </row>
    <row r="71" spans="1:7" ht="28.8" x14ac:dyDescent="0.3">
      <c r="B71" s="972">
        <v>171</v>
      </c>
      <c r="C71" s="977" t="s">
        <v>1612</v>
      </c>
      <c r="D71" s="99" t="s">
        <v>376</v>
      </c>
      <c r="E71" s="978">
        <v>0</v>
      </c>
      <c r="F71" s="979">
        <v>0</v>
      </c>
      <c r="G71" s="979">
        <v>0</v>
      </c>
    </row>
    <row r="72" spans="1:7" x14ac:dyDescent="0.3">
      <c r="B72" s="972">
        <v>191</v>
      </c>
      <c r="C72" s="977" t="s">
        <v>1613</v>
      </c>
      <c r="D72" s="99" t="s">
        <v>377</v>
      </c>
      <c r="E72" s="978">
        <v>0</v>
      </c>
      <c r="F72" s="979">
        <v>0</v>
      </c>
      <c r="G72" s="979">
        <v>0</v>
      </c>
    </row>
    <row r="73" spans="1:7" x14ac:dyDescent="0.3">
      <c r="A73" s="983"/>
      <c r="B73" s="972">
        <v>192</v>
      </c>
      <c r="C73" s="977" t="s">
        <v>1614</v>
      </c>
      <c r="D73" s="99" t="s">
        <v>378</v>
      </c>
      <c r="E73" s="978">
        <v>0</v>
      </c>
      <c r="F73" s="979">
        <v>0</v>
      </c>
      <c r="G73" s="979">
        <v>0</v>
      </c>
    </row>
    <row r="74" spans="1:7" ht="28.8" x14ac:dyDescent="0.3">
      <c r="B74" s="972">
        <v>193</v>
      </c>
      <c r="C74" s="981" t="s">
        <v>379</v>
      </c>
      <c r="D74" s="99" t="s">
        <v>380</v>
      </c>
      <c r="E74" s="978">
        <v>0</v>
      </c>
      <c r="F74" s="979">
        <v>0</v>
      </c>
      <c r="G74" s="979">
        <v>0</v>
      </c>
    </row>
    <row r="75" spans="1:7" x14ac:dyDescent="0.3">
      <c r="B75" s="972">
        <v>194</v>
      </c>
      <c r="C75" s="982" t="s">
        <v>381</v>
      </c>
      <c r="D75" s="99" t="s">
        <v>382</v>
      </c>
      <c r="E75" s="978">
        <v>0</v>
      </c>
      <c r="F75" s="979">
        <v>0</v>
      </c>
      <c r="G75" s="979">
        <v>0</v>
      </c>
    </row>
    <row r="76" spans="1:7" ht="28.8" x14ac:dyDescent="0.3">
      <c r="B76" s="972">
        <v>231</v>
      </c>
      <c r="C76" s="977" t="s">
        <v>383</v>
      </c>
      <c r="D76" s="99" t="s">
        <v>384</v>
      </c>
      <c r="E76" s="978">
        <v>0</v>
      </c>
      <c r="F76" s="979">
        <v>0</v>
      </c>
      <c r="G76" s="979">
        <v>0</v>
      </c>
    </row>
    <row r="77" spans="1:7" ht="28.8" x14ac:dyDescent="0.3">
      <c r="B77" s="972">
        <v>251</v>
      </c>
      <c r="C77" s="977" t="s">
        <v>385</v>
      </c>
      <c r="D77" s="99" t="s">
        <v>386</v>
      </c>
      <c r="E77" s="978">
        <v>0</v>
      </c>
      <c r="F77" s="979">
        <v>0</v>
      </c>
      <c r="G77" s="979">
        <v>0</v>
      </c>
    </row>
    <row r="78" spans="1:7" x14ac:dyDescent="0.3">
      <c r="B78" s="972">
        <v>252</v>
      </c>
      <c r="C78" s="977" t="s">
        <v>103</v>
      </c>
      <c r="D78" s="99" t="s">
        <v>387</v>
      </c>
      <c r="E78" s="978">
        <v>0</v>
      </c>
      <c r="F78" s="979">
        <v>0</v>
      </c>
      <c r="G78" s="979">
        <v>0</v>
      </c>
    </row>
    <row r="79" spans="1:7" x14ac:dyDescent="0.3">
      <c r="B79" s="972">
        <v>253</v>
      </c>
      <c r="C79" s="977" t="s">
        <v>104</v>
      </c>
      <c r="D79" s="99" t="s">
        <v>388</v>
      </c>
      <c r="E79" s="978">
        <v>0</v>
      </c>
      <c r="F79" s="979">
        <v>0</v>
      </c>
      <c r="G79" s="979">
        <v>0</v>
      </c>
    </row>
    <row r="80" spans="1:7" x14ac:dyDescent="0.3">
      <c r="B80" s="972">
        <v>254</v>
      </c>
      <c r="C80" s="977" t="s">
        <v>105</v>
      </c>
      <c r="D80" s="99" t="s">
        <v>389</v>
      </c>
      <c r="E80" s="978">
        <v>0</v>
      </c>
      <c r="F80" s="979">
        <v>0</v>
      </c>
      <c r="G80" s="979">
        <v>0</v>
      </c>
    </row>
    <row r="81" spans="1:7" x14ac:dyDescent="0.3">
      <c r="B81" s="972">
        <v>255</v>
      </c>
      <c r="C81" s="977" t="s">
        <v>1615</v>
      </c>
      <c r="D81" s="99" t="s">
        <v>390</v>
      </c>
      <c r="E81" s="978">
        <v>0</v>
      </c>
      <c r="F81" s="979">
        <v>0</v>
      </c>
      <c r="G81" s="979">
        <v>0</v>
      </c>
    </row>
    <row r="82" spans="1:7" x14ac:dyDescent="0.3">
      <c r="B82" s="972">
        <v>274</v>
      </c>
      <c r="C82" s="981" t="s">
        <v>391</v>
      </c>
      <c r="D82" s="99" t="s">
        <v>392</v>
      </c>
      <c r="E82" s="978">
        <v>0</v>
      </c>
      <c r="F82" s="979">
        <v>0</v>
      </c>
      <c r="G82" s="979">
        <v>0</v>
      </c>
    </row>
    <row r="83" spans="1:7" x14ac:dyDescent="0.3">
      <c r="B83" s="972">
        <v>294</v>
      </c>
      <c r="C83" s="982" t="s">
        <v>791</v>
      </c>
      <c r="D83" s="99" t="s">
        <v>393</v>
      </c>
      <c r="E83" s="978">
        <v>0</v>
      </c>
      <c r="F83" s="979">
        <v>0</v>
      </c>
      <c r="G83" s="979">
        <v>0</v>
      </c>
    </row>
    <row r="84" spans="1:7" ht="26.4" x14ac:dyDescent="0.3">
      <c r="B84" s="972">
        <v>314</v>
      </c>
      <c r="C84" s="982" t="s">
        <v>394</v>
      </c>
      <c r="D84" s="99" t="s">
        <v>395</v>
      </c>
      <c r="E84" s="978">
        <v>0</v>
      </c>
      <c r="F84" s="979">
        <v>0</v>
      </c>
      <c r="G84" s="979">
        <v>0</v>
      </c>
    </row>
    <row r="85" spans="1:7" ht="26.4" x14ac:dyDescent="0.3">
      <c r="B85" s="972">
        <v>315</v>
      </c>
      <c r="C85" s="982" t="s">
        <v>396</v>
      </c>
      <c r="D85" s="99" t="s">
        <v>397</v>
      </c>
      <c r="E85" s="978">
        <v>0</v>
      </c>
      <c r="F85" s="979">
        <v>0</v>
      </c>
      <c r="G85" s="979">
        <v>0</v>
      </c>
    </row>
    <row r="86" spans="1:7" x14ac:dyDescent="0.3">
      <c r="B86" s="972">
        <v>316</v>
      </c>
      <c r="C86" s="982" t="s">
        <v>398</v>
      </c>
      <c r="D86" s="99" t="s">
        <v>399</v>
      </c>
      <c r="E86" s="978">
        <v>0</v>
      </c>
      <c r="F86" s="979">
        <v>0</v>
      </c>
      <c r="G86" s="979">
        <v>0</v>
      </c>
    </row>
    <row r="87" spans="1:7" x14ac:dyDescent="0.3">
      <c r="A87" s="983"/>
      <c r="B87" s="972">
        <v>320</v>
      </c>
      <c r="C87" s="977" t="s">
        <v>1616</v>
      </c>
      <c r="D87" s="99" t="s">
        <v>400</v>
      </c>
      <c r="E87" s="978">
        <v>0</v>
      </c>
      <c r="F87" s="979">
        <v>0</v>
      </c>
      <c r="G87" s="979">
        <v>0</v>
      </c>
    </row>
    <row r="88" spans="1:7" x14ac:dyDescent="0.3">
      <c r="A88" s="983"/>
      <c r="B88" s="972">
        <v>321</v>
      </c>
      <c r="C88" s="977" t="s">
        <v>1617</v>
      </c>
      <c r="D88" s="99" t="s">
        <v>401</v>
      </c>
      <c r="E88" s="978">
        <v>0</v>
      </c>
      <c r="F88" s="979">
        <v>0</v>
      </c>
      <c r="G88" s="979">
        <v>0</v>
      </c>
    </row>
    <row r="89" spans="1:7" ht="28.8" x14ac:dyDescent="0.3">
      <c r="A89" s="983"/>
      <c r="B89" s="972">
        <v>322</v>
      </c>
      <c r="C89" s="977" t="s">
        <v>1618</v>
      </c>
      <c r="D89" s="99" t="s">
        <v>402</v>
      </c>
      <c r="E89" s="978">
        <v>0</v>
      </c>
      <c r="F89" s="979">
        <v>0</v>
      </c>
      <c r="G89" s="979">
        <v>0</v>
      </c>
    </row>
    <row r="90" spans="1:7" x14ac:dyDescent="0.3">
      <c r="A90" s="983"/>
      <c r="B90" s="972">
        <v>323</v>
      </c>
      <c r="C90" s="977" t="s">
        <v>257</v>
      </c>
      <c r="D90" s="99" t="s">
        <v>403</v>
      </c>
      <c r="E90" s="978">
        <v>0</v>
      </c>
      <c r="F90" s="979">
        <v>0</v>
      </c>
      <c r="G90" s="979">
        <v>0</v>
      </c>
    </row>
    <row r="91" spans="1:7" x14ac:dyDescent="0.3">
      <c r="A91" s="983"/>
      <c r="B91" s="972">
        <v>324</v>
      </c>
      <c r="C91" s="977" t="s">
        <v>1619</v>
      </c>
      <c r="D91" s="99" t="s">
        <v>404</v>
      </c>
      <c r="E91" s="978">
        <v>0</v>
      </c>
      <c r="F91" s="979">
        <v>0</v>
      </c>
      <c r="G91" s="979">
        <v>0</v>
      </c>
    </row>
    <row r="92" spans="1:7" x14ac:dyDescent="0.3">
      <c r="A92" s="983"/>
      <c r="B92" s="972">
        <v>325</v>
      </c>
      <c r="C92" s="977" t="s">
        <v>1620</v>
      </c>
      <c r="D92" s="99" t="s">
        <v>405</v>
      </c>
      <c r="E92" s="978">
        <v>0</v>
      </c>
      <c r="F92" s="979">
        <v>0</v>
      </c>
      <c r="G92" s="979">
        <v>0</v>
      </c>
    </row>
    <row r="93" spans="1:7" x14ac:dyDescent="0.3">
      <c r="A93" s="983"/>
      <c r="B93" s="972">
        <v>326</v>
      </c>
      <c r="C93" s="977">
        <v>0</v>
      </c>
      <c r="D93" s="99" t="s">
        <v>406</v>
      </c>
      <c r="E93" s="978">
        <v>0</v>
      </c>
      <c r="F93" s="979">
        <v>0</v>
      </c>
      <c r="G93" s="979">
        <v>0</v>
      </c>
    </row>
    <row r="94" spans="1:7" x14ac:dyDescent="0.3">
      <c r="A94" s="983"/>
      <c r="B94" s="972">
        <v>327</v>
      </c>
      <c r="C94" s="977" t="s">
        <v>1621</v>
      </c>
      <c r="D94" s="99" t="s">
        <v>407</v>
      </c>
      <c r="E94" s="978">
        <v>0</v>
      </c>
      <c r="F94" s="979">
        <v>0</v>
      </c>
      <c r="G94" s="979">
        <v>0</v>
      </c>
    </row>
    <row r="95" spans="1:7" x14ac:dyDescent="0.3">
      <c r="B95" s="972">
        <v>328</v>
      </c>
      <c r="C95" s="977" t="s">
        <v>1622</v>
      </c>
      <c r="D95" s="99" t="s">
        <v>408</v>
      </c>
      <c r="E95" s="978">
        <v>0</v>
      </c>
      <c r="F95" s="979">
        <v>0</v>
      </c>
      <c r="G95" s="979">
        <v>0</v>
      </c>
    </row>
    <row r="96" spans="1:7" ht="28.8" x14ac:dyDescent="0.3">
      <c r="B96" s="972">
        <v>330</v>
      </c>
      <c r="C96" s="977" t="s">
        <v>598</v>
      </c>
      <c r="D96" s="99" t="s">
        <v>409</v>
      </c>
      <c r="E96" s="978">
        <v>0</v>
      </c>
      <c r="F96" s="979">
        <v>0</v>
      </c>
      <c r="G96" s="979">
        <v>0</v>
      </c>
    </row>
    <row r="97" spans="2:7" x14ac:dyDescent="0.3">
      <c r="B97" s="972">
        <v>331</v>
      </c>
      <c r="C97" s="977" t="s">
        <v>1623</v>
      </c>
      <c r="D97" s="99" t="s">
        <v>410</v>
      </c>
      <c r="E97" s="978">
        <v>0</v>
      </c>
      <c r="F97" s="979">
        <v>0</v>
      </c>
      <c r="G97" s="979">
        <v>0</v>
      </c>
    </row>
    <row r="98" spans="2:7" x14ac:dyDescent="0.3">
      <c r="B98" s="972">
        <v>332</v>
      </c>
      <c r="C98" s="977" t="s">
        <v>1624</v>
      </c>
      <c r="D98" s="99" t="s">
        <v>411</v>
      </c>
      <c r="E98" s="978">
        <v>0</v>
      </c>
      <c r="F98" s="979">
        <v>0</v>
      </c>
      <c r="G98" s="979">
        <v>0</v>
      </c>
    </row>
    <row r="99" spans="2:7" x14ac:dyDescent="0.3">
      <c r="B99" s="972">
        <v>333</v>
      </c>
      <c r="C99" s="977" t="s">
        <v>1625</v>
      </c>
      <c r="D99" s="99" t="s">
        <v>412</v>
      </c>
      <c r="E99" s="978">
        <v>0</v>
      </c>
      <c r="F99" s="979">
        <v>0</v>
      </c>
      <c r="G99" s="979">
        <v>0</v>
      </c>
    </row>
    <row r="100" spans="2:7" ht="28.8" x14ac:dyDescent="0.3">
      <c r="B100" s="972">
        <v>334</v>
      </c>
      <c r="C100" s="977" t="s">
        <v>1626</v>
      </c>
      <c r="D100" s="99" t="s">
        <v>413</v>
      </c>
      <c r="E100" s="978">
        <v>0</v>
      </c>
      <c r="F100" s="979">
        <v>0</v>
      </c>
      <c r="G100" s="979">
        <v>0</v>
      </c>
    </row>
    <row r="101" spans="2:7" ht="28.8" x14ac:dyDescent="0.3">
      <c r="B101" s="972">
        <v>335</v>
      </c>
      <c r="C101" s="977" t="s">
        <v>117</v>
      </c>
      <c r="D101" s="99" t="s">
        <v>414</v>
      </c>
      <c r="E101" s="978">
        <v>0</v>
      </c>
      <c r="F101" s="979">
        <v>0</v>
      </c>
      <c r="G101" s="979">
        <v>0</v>
      </c>
    </row>
    <row r="102" spans="2:7" ht="43.2" x14ac:dyDescent="0.3">
      <c r="B102" s="972">
        <v>336</v>
      </c>
      <c r="C102" s="977" t="s">
        <v>1627</v>
      </c>
      <c r="D102" s="99" t="s">
        <v>415</v>
      </c>
      <c r="E102" s="978">
        <v>0</v>
      </c>
      <c r="F102" s="979">
        <v>0</v>
      </c>
      <c r="G102" s="979">
        <v>0</v>
      </c>
    </row>
    <row r="103" spans="2:7" ht="28.8" x14ac:dyDescent="0.3">
      <c r="B103" s="972">
        <v>337</v>
      </c>
      <c r="C103" s="977" t="s">
        <v>1628</v>
      </c>
      <c r="D103" s="99" t="s">
        <v>416</v>
      </c>
      <c r="E103" s="978">
        <v>0</v>
      </c>
      <c r="F103" s="979">
        <v>0</v>
      </c>
      <c r="G103" s="979">
        <v>0</v>
      </c>
    </row>
    <row r="104" spans="2:7" x14ac:dyDescent="0.3">
      <c r="B104" s="972">
        <v>338</v>
      </c>
      <c r="C104" s="977" t="s">
        <v>116</v>
      </c>
      <c r="D104" s="99" t="s">
        <v>417</v>
      </c>
      <c r="E104" s="978">
        <v>0</v>
      </c>
      <c r="F104" s="979">
        <v>0</v>
      </c>
      <c r="G104" s="979">
        <v>0</v>
      </c>
    </row>
    <row r="105" spans="2:7" x14ac:dyDescent="0.3">
      <c r="B105" s="972">
        <v>339</v>
      </c>
      <c r="C105" s="977" t="s">
        <v>1629</v>
      </c>
      <c r="D105" s="99" t="s">
        <v>418</v>
      </c>
      <c r="E105" s="978">
        <v>0</v>
      </c>
      <c r="F105" s="979">
        <v>0</v>
      </c>
      <c r="G105" s="979">
        <v>0</v>
      </c>
    </row>
    <row r="106" spans="2:7" x14ac:dyDescent="0.3">
      <c r="B106" s="972">
        <v>340</v>
      </c>
      <c r="C106" s="977" t="s">
        <v>599</v>
      </c>
      <c r="D106" s="99" t="s">
        <v>419</v>
      </c>
      <c r="E106" s="978">
        <v>0</v>
      </c>
      <c r="F106" s="979">
        <v>0</v>
      </c>
      <c r="G106" s="979">
        <v>0</v>
      </c>
    </row>
    <row r="107" spans="2:7" ht="28.8" x14ac:dyDescent="0.3">
      <c r="B107" s="972">
        <v>341</v>
      </c>
      <c r="C107" s="977" t="s">
        <v>1630</v>
      </c>
      <c r="D107" s="99" t="s">
        <v>420</v>
      </c>
      <c r="E107" s="978">
        <v>0</v>
      </c>
      <c r="F107" s="979">
        <v>0</v>
      </c>
      <c r="G107" s="979">
        <v>0</v>
      </c>
    </row>
    <row r="108" spans="2:7" x14ac:dyDescent="0.3">
      <c r="B108" s="972">
        <v>342</v>
      </c>
      <c r="C108" s="977" t="s">
        <v>600</v>
      </c>
      <c r="D108" s="99" t="s">
        <v>421</v>
      </c>
      <c r="E108" s="978">
        <v>0</v>
      </c>
      <c r="F108" s="979">
        <v>0</v>
      </c>
      <c r="G108" s="979">
        <v>0</v>
      </c>
    </row>
    <row r="109" spans="2:7" x14ac:dyDescent="0.3">
      <c r="B109" s="972">
        <v>343</v>
      </c>
      <c r="C109" s="977" t="s">
        <v>1631</v>
      </c>
      <c r="D109" s="99" t="s">
        <v>422</v>
      </c>
      <c r="E109" s="978">
        <v>0</v>
      </c>
      <c r="F109" s="979">
        <v>0</v>
      </c>
      <c r="G109" s="979">
        <v>0</v>
      </c>
    </row>
    <row r="110" spans="2:7" x14ac:dyDescent="0.3">
      <c r="B110" s="972">
        <v>344</v>
      </c>
      <c r="C110" s="977" t="s">
        <v>1632</v>
      </c>
      <c r="D110" s="99" t="s">
        <v>423</v>
      </c>
      <c r="E110" s="978">
        <v>0</v>
      </c>
      <c r="F110" s="979">
        <v>0</v>
      </c>
      <c r="G110" s="979">
        <v>0</v>
      </c>
    </row>
    <row r="111" spans="2:7" x14ac:dyDescent="0.3">
      <c r="B111" s="972">
        <v>346</v>
      </c>
      <c r="C111" s="977" t="s">
        <v>601</v>
      </c>
      <c r="D111" s="99" t="s">
        <v>424</v>
      </c>
      <c r="E111" s="978">
        <v>0</v>
      </c>
      <c r="F111" s="979">
        <v>0</v>
      </c>
      <c r="G111" s="979">
        <v>0</v>
      </c>
    </row>
    <row r="112" spans="2:7" x14ac:dyDescent="0.3">
      <c r="B112" s="972">
        <v>347</v>
      </c>
      <c r="C112" s="977" t="s">
        <v>602</v>
      </c>
      <c r="D112" s="99" t="s">
        <v>425</v>
      </c>
      <c r="E112" s="978">
        <v>0</v>
      </c>
      <c r="F112" s="979">
        <v>0</v>
      </c>
      <c r="G112" s="979">
        <v>0</v>
      </c>
    </row>
    <row r="113" spans="1:7" x14ac:dyDescent="0.3">
      <c r="B113" s="972">
        <v>349</v>
      </c>
      <c r="C113" s="977" t="s">
        <v>122</v>
      </c>
      <c r="D113" s="99" t="s">
        <v>426</v>
      </c>
      <c r="E113" s="978">
        <v>0</v>
      </c>
      <c r="F113" s="979">
        <v>0</v>
      </c>
      <c r="G113" s="979">
        <v>0</v>
      </c>
    </row>
    <row r="114" spans="1:7" ht="28.8" x14ac:dyDescent="0.3">
      <c r="B114" s="972">
        <v>350</v>
      </c>
      <c r="C114" s="977" t="s">
        <v>1633</v>
      </c>
      <c r="D114" s="99" t="s">
        <v>427</v>
      </c>
      <c r="E114" s="978">
        <v>0</v>
      </c>
      <c r="F114" s="979">
        <v>0</v>
      </c>
      <c r="G114" s="979">
        <v>0</v>
      </c>
    </row>
    <row r="115" spans="1:7" x14ac:dyDescent="0.3">
      <c r="B115" s="972">
        <v>351</v>
      </c>
      <c r="C115" s="977" t="s">
        <v>1634</v>
      </c>
      <c r="D115" s="99" t="s">
        <v>428</v>
      </c>
      <c r="E115" s="978">
        <v>0</v>
      </c>
      <c r="F115" s="979">
        <v>0</v>
      </c>
      <c r="G115" s="979">
        <v>0</v>
      </c>
    </row>
    <row r="116" spans="1:7" x14ac:dyDescent="0.3">
      <c r="B116" s="972">
        <v>352</v>
      </c>
      <c r="C116" s="977" t="s">
        <v>1635</v>
      </c>
      <c r="D116" s="99" t="s">
        <v>429</v>
      </c>
      <c r="E116" s="978">
        <v>0</v>
      </c>
      <c r="F116" s="979">
        <v>0</v>
      </c>
      <c r="G116" s="979">
        <v>0</v>
      </c>
    </row>
    <row r="117" spans="1:7" x14ac:dyDescent="0.3">
      <c r="B117" s="972">
        <v>353</v>
      </c>
      <c r="C117" s="977" t="s">
        <v>1636</v>
      </c>
      <c r="D117" s="99" t="s">
        <v>430</v>
      </c>
      <c r="E117" s="978">
        <v>0</v>
      </c>
      <c r="F117" s="979">
        <v>0</v>
      </c>
      <c r="G117" s="979">
        <v>0</v>
      </c>
    </row>
    <row r="118" spans="1:7" x14ac:dyDescent="0.3">
      <c r="A118" s="99">
        <v>356</v>
      </c>
      <c r="B118" s="972">
        <v>356</v>
      </c>
      <c r="C118" s="977" t="s">
        <v>1637</v>
      </c>
      <c r="D118" s="99" t="s">
        <v>431</v>
      </c>
      <c r="E118" s="978">
        <v>27586352</v>
      </c>
      <c r="F118" s="979">
        <v>30602000</v>
      </c>
      <c r="G118" s="979">
        <v>2252891000</v>
      </c>
    </row>
    <row r="119" spans="1:7" x14ac:dyDescent="0.3">
      <c r="A119" s="99">
        <v>357</v>
      </c>
      <c r="B119" s="972">
        <v>357</v>
      </c>
      <c r="C119" s="977" t="s">
        <v>1638</v>
      </c>
      <c r="D119" s="99" t="s">
        <v>432</v>
      </c>
      <c r="E119" s="978">
        <v>13251950</v>
      </c>
      <c r="F119" s="979">
        <v>3819000</v>
      </c>
      <c r="G119" s="979">
        <v>1171966000</v>
      </c>
    </row>
    <row r="120" spans="1:7" ht="28.8" x14ac:dyDescent="0.3">
      <c r="A120" s="99">
        <v>360</v>
      </c>
      <c r="B120" s="972">
        <v>359</v>
      </c>
      <c r="C120" s="977" t="s">
        <v>1639</v>
      </c>
      <c r="D120" s="99" t="s">
        <v>433</v>
      </c>
      <c r="E120" s="978">
        <v>0</v>
      </c>
      <c r="F120" s="979">
        <v>0</v>
      </c>
      <c r="G120" s="979">
        <v>0</v>
      </c>
    </row>
    <row r="121" spans="1:7" x14ac:dyDescent="0.3">
      <c r="A121" s="983">
        <v>361</v>
      </c>
      <c r="B121" s="972">
        <v>360</v>
      </c>
      <c r="C121" s="977" t="s">
        <v>125</v>
      </c>
      <c r="D121" s="99" t="s">
        <v>434</v>
      </c>
      <c r="E121" s="978">
        <v>4282512</v>
      </c>
      <c r="F121" s="979">
        <v>360628000</v>
      </c>
      <c r="G121" s="979">
        <v>1998101000</v>
      </c>
    </row>
    <row r="122" spans="1:7" x14ac:dyDescent="0.3">
      <c r="A122" s="983">
        <v>362</v>
      </c>
      <c r="B122" s="972">
        <v>361</v>
      </c>
      <c r="C122" s="977" t="s">
        <v>106</v>
      </c>
      <c r="D122" s="99" t="s">
        <v>435</v>
      </c>
      <c r="E122" s="978">
        <v>3085265</v>
      </c>
      <c r="F122" s="979">
        <v>78283000</v>
      </c>
      <c r="G122" s="979">
        <v>-568325000</v>
      </c>
    </row>
    <row r="123" spans="1:7" x14ac:dyDescent="0.3">
      <c r="A123" s="983">
        <v>363</v>
      </c>
      <c r="B123" s="972">
        <v>362</v>
      </c>
      <c r="C123" s="977" t="s">
        <v>107</v>
      </c>
      <c r="D123" s="99" t="s">
        <v>436</v>
      </c>
      <c r="E123" s="978">
        <v>17900141</v>
      </c>
      <c r="F123" s="979">
        <v>110070000</v>
      </c>
      <c r="G123" s="979">
        <v>272053000</v>
      </c>
    </row>
    <row r="124" spans="1:7" ht="28.8" x14ac:dyDescent="0.3">
      <c r="A124" s="983">
        <v>364</v>
      </c>
      <c r="B124" s="972">
        <v>363</v>
      </c>
      <c r="C124" s="977" t="s">
        <v>1640</v>
      </c>
      <c r="D124" s="99" t="s">
        <v>437</v>
      </c>
      <c r="E124" s="978">
        <v>6176</v>
      </c>
      <c r="F124" s="979">
        <v>4550000</v>
      </c>
      <c r="G124" s="979">
        <v>51387000</v>
      </c>
    </row>
    <row r="125" spans="1:7" x14ac:dyDescent="0.3">
      <c r="A125" s="983">
        <v>365</v>
      </c>
      <c r="B125" s="972">
        <v>364</v>
      </c>
      <c r="C125" s="977" t="s">
        <v>1641</v>
      </c>
      <c r="D125" s="99" t="s">
        <v>438</v>
      </c>
      <c r="E125" s="978">
        <v>0</v>
      </c>
      <c r="F125" s="979">
        <v>56411000</v>
      </c>
      <c r="G125" s="979">
        <v>191193000</v>
      </c>
    </row>
    <row r="126" spans="1:7" x14ac:dyDescent="0.3">
      <c r="A126" s="983">
        <v>366</v>
      </c>
      <c r="B126" s="972">
        <v>365</v>
      </c>
      <c r="C126" s="977" t="s">
        <v>1642</v>
      </c>
      <c r="D126" s="99" t="s">
        <v>439</v>
      </c>
      <c r="E126" s="978">
        <v>0</v>
      </c>
      <c r="F126" s="979">
        <v>0</v>
      </c>
      <c r="G126" s="979">
        <v>0</v>
      </c>
    </row>
    <row r="127" spans="1:7" x14ac:dyDescent="0.3">
      <c r="A127" s="983">
        <v>378</v>
      </c>
      <c r="B127" s="972">
        <v>366</v>
      </c>
      <c r="C127" s="977" t="s">
        <v>1643</v>
      </c>
      <c r="D127" s="99" t="s">
        <v>440</v>
      </c>
      <c r="E127" s="978">
        <v>0</v>
      </c>
      <c r="F127" s="979">
        <v>0</v>
      </c>
      <c r="G127" s="979">
        <v>0</v>
      </c>
    </row>
    <row r="128" spans="1:7" x14ac:dyDescent="0.3">
      <c r="A128" s="99">
        <v>382</v>
      </c>
      <c r="B128" s="972">
        <v>367</v>
      </c>
      <c r="C128" s="977" t="s">
        <v>603</v>
      </c>
      <c r="D128" s="99" t="s">
        <v>441</v>
      </c>
      <c r="E128" s="978">
        <v>0</v>
      </c>
      <c r="F128" s="979">
        <v>0</v>
      </c>
      <c r="G128" s="979">
        <v>0</v>
      </c>
    </row>
    <row r="129" spans="1:7" x14ac:dyDescent="0.3">
      <c r="A129" s="99">
        <v>384</v>
      </c>
      <c r="B129" s="972">
        <v>368</v>
      </c>
      <c r="C129" s="977" t="s">
        <v>1644</v>
      </c>
      <c r="D129" s="99" t="s">
        <v>442</v>
      </c>
      <c r="E129" s="978">
        <v>0</v>
      </c>
      <c r="F129" s="979">
        <v>0</v>
      </c>
      <c r="G129" s="979">
        <v>0</v>
      </c>
    </row>
    <row r="130" spans="1:7" ht="28.8" x14ac:dyDescent="0.3">
      <c r="B130" s="972">
        <v>369</v>
      </c>
      <c r="C130" s="977" t="s">
        <v>1645</v>
      </c>
      <c r="D130" s="99" t="s">
        <v>443</v>
      </c>
      <c r="E130" s="978">
        <v>0</v>
      </c>
      <c r="F130" s="979">
        <v>0</v>
      </c>
      <c r="G130" s="979">
        <v>0</v>
      </c>
    </row>
    <row r="131" spans="1:7" x14ac:dyDescent="0.3">
      <c r="B131" s="972">
        <v>370</v>
      </c>
      <c r="C131" s="977" t="s">
        <v>1646</v>
      </c>
      <c r="D131" s="99" t="s">
        <v>444</v>
      </c>
      <c r="E131" s="978">
        <v>0</v>
      </c>
      <c r="F131" s="979">
        <v>0</v>
      </c>
      <c r="G131" s="979">
        <v>0</v>
      </c>
    </row>
    <row r="132" spans="1:7" x14ac:dyDescent="0.3">
      <c r="B132" s="972">
        <v>371</v>
      </c>
      <c r="C132" s="977" t="s">
        <v>1647</v>
      </c>
      <c r="D132" s="99" t="s">
        <v>445</v>
      </c>
      <c r="E132" s="978">
        <v>0</v>
      </c>
      <c r="F132" s="979">
        <v>0</v>
      </c>
      <c r="G132" s="979">
        <v>0</v>
      </c>
    </row>
    <row r="133" spans="1:7" x14ac:dyDescent="0.3">
      <c r="B133" s="972">
        <v>373</v>
      </c>
      <c r="C133" s="977" t="s">
        <v>1648</v>
      </c>
      <c r="D133" s="99" t="s">
        <v>446</v>
      </c>
      <c r="E133" s="978">
        <v>0</v>
      </c>
      <c r="F133" s="979">
        <v>0</v>
      </c>
      <c r="G133" s="979">
        <v>0</v>
      </c>
    </row>
    <row r="134" spans="1:7" x14ac:dyDescent="0.3">
      <c r="B134" s="972">
        <v>375</v>
      </c>
      <c r="C134" s="977" t="s">
        <v>1649</v>
      </c>
      <c r="D134" s="99" t="s">
        <v>447</v>
      </c>
      <c r="E134" s="978">
        <v>0</v>
      </c>
      <c r="F134" s="979">
        <v>0</v>
      </c>
      <c r="G134" s="979">
        <v>0</v>
      </c>
    </row>
    <row r="135" spans="1:7" x14ac:dyDescent="0.3">
      <c r="B135" s="972">
        <v>376</v>
      </c>
      <c r="C135" s="977" t="s">
        <v>108</v>
      </c>
      <c r="D135" s="99" t="s">
        <v>448</v>
      </c>
      <c r="E135" s="978">
        <v>0</v>
      </c>
      <c r="F135" s="979">
        <v>0</v>
      </c>
      <c r="G135" s="979">
        <v>0</v>
      </c>
    </row>
    <row r="136" spans="1:7" x14ac:dyDescent="0.3">
      <c r="B136" s="972">
        <v>377</v>
      </c>
      <c r="C136" s="977" t="s">
        <v>109</v>
      </c>
      <c r="D136" s="99" t="s">
        <v>449</v>
      </c>
      <c r="E136" s="978">
        <v>0</v>
      </c>
      <c r="F136" s="979">
        <v>0</v>
      </c>
      <c r="G136" s="979">
        <v>0</v>
      </c>
    </row>
    <row r="137" spans="1:7" x14ac:dyDescent="0.3">
      <c r="A137" s="983"/>
      <c r="B137" s="972">
        <v>378</v>
      </c>
      <c r="C137" s="977" t="s">
        <v>110</v>
      </c>
      <c r="D137" s="99" t="s">
        <v>450</v>
      </c>
      <c r="E137" s="978">
        <v>0</v>
      </c>
      <c r="F137" s="979">
        <v>0</v>
      </c>
      <c r="G137" s="979">
        <v>0</v>
      </c>
    </row>
    <row r="138" spans="1:7" x14ac:dyDescent="0.3">
      <c r="B138" s="972">
        <v>379</v>
      </c>
      <c r="C138" s="977" t="s">
        <v>118</v>
      </c>
      <c r="D138" s="99" t="s">
        <v>451</v>
      </c>
      <c r="E138" s="978">
        <v>0</v>
      </c>
      <c r="F138" s="979">
        <v>0</v>
      </c>
      <c r="G138" s="979">
        <v>0</v>
      </c>
    </row>
    <row r="139" spans="1:7" ht="28.8" x14ac:dyDescent="0.3">
      <c r="B139" s="972">
        <v>380</v>
      </c>
      <c r="C139" s="977" t="s">
        <v>121</v>
      </c>
      <c r="D139" s="99" t="s">
        <v>452</v>
      </c>
      <c r="E139" s="978">
        <v>0</v>
      </c>
      <c r="F139" s="979">
        <v>0</v>
      </c>
      <c r="G139" s="979">
        <v>0</v>
      </c>
    </row>
    <row r="140" spans="1:7" x14ac:dyDescent="0.3">
      <c r="B140" s="972">
        <v>381</v>
      </c>
      <c r="C140" s="977" t="s">
        <v>113</v>
      </c>
      <c r="D140" s="99" t="s">
        <v>453</v>
      </c>
      <c r="E140" s="978">
        <v>0</v>
      </c>
      <c r="F140" s="979">
        <v>0</v>
      </c>
      <c r="G140" s="979">
        <v>0</v>
      </c>
    </row>
    <row r="141" spans="1:7" x14ac:dyDescent="0.3">
      <c r="A141" s="983"/>
      <c r="B141" s="972">
        <v>382</v>
      </c>
      <c r="C141" s="977" t="s">
        <v>114</v>
      </c>
      <c r="D141" s="99" t="s">
        <v>454</v>
      </c>
      <c r="E141" s="978">
        <v>22182653</v>
      </c>
      <c r="F141" s="979">
        <v>470698000</v>
      </c>
      <c r="G141" s="979">
        <v>2270154000</v>
      </c>
    </row>
    <row r="142" spans="1:7" x14ac:dyDescent="0.3">
      <c r="B142" s="972">
        <v>383</v>
      </c>
      <c r="C142" s="977" t="s">
        <v>1650</v>
      </c>
      <c r="D142" s="99" t="s">
        <v>455</v>
      </c>
      <c r="E142" s="978">
        <v>0</v>
      </c>
      <c r="F142" s="979">
        <v>0</v>
      </c>
      <c r="G142" s="979">
        <v>0</v>
      </c>
    </row>
    <row r="143" spans="1:7" ht="28.8" x14ac:dyDescent="0.3">
      <c r="A143" s="983"/>
      <c r="B143" s="972">
        <v>384</v>
      </c>
      <c r="C143" s="977" t="s">
        <v>124</v>
      </c>
      <c r="D143" s="99" t="s">
        <v>456</v>
      </c>
      <c r="E143" s="978">
        <v>0</v>
      </c>
      <c r="F143" s="979">
        <v>0</v>
      </c>
      <c r="G143" s="979">
        <v>0</v>
      </c>
    </row>
    <row r="144" spans="1:7" x14ac:dyDescent="0.3">
      <c r="B144" s="972">
        <v>385</v>
      </c>
      <c r="C144" s="977" t="s">
        <v>115</v>
      </c>
      <c r="D144" s="99" t="s">
        <v>457</v>
      </c>
      <c r="E144" s="978">
        <v>0</v>
      </c>
      <c r="F144" s="979">
        <v>0</v>
      </c>
      <c r="G144" s="979">
        <v>0</v>
      </c>
    </row>
    <row r="145" spans="1:7" x14ac:dyDescent="0.3">
      <c r="B145" s="972">
        <v>386</v>
      </c>
      <c r="C145" s="977" t="s">
        <v>1651</v>
      </c>
      <c r="D145" s="99" t="s">
        <v>458</v>
      </c>
      <c r="E145" s="978">
        <v>0</v>
      </c>
      <c r="F145" s="979">
        <v>0</v>
      </c>
      <c r="G145" s="979">
        <v>0</v>
      </c>
    </row>
    <row r="146" spans="1:7" x14ac:dyDescent="0.3">
      <c r="B146" s="972">
        <v>387</v>
      </c>
      <c r="C146" s="977" t="s">
        <v>1652</v>
      </c>
      <c r="D146" s="99" t="s">
        <v>459</v>
      </c>
      <c r="E146" s="978">
        <v>0</v>
      </c>
      <c r="F146" s="979">
        <v>0</v>
      </c>
      <c r="G146" s="979">
        <v>0</v>
      </c>
    </row>
    <row r="147" spans="1:7" x14ac:dyDescent="0.3">
      <c r="B147" s="972">
        <v>388</v>
      </c>
      <c r="C147" s="977" t="s">
        <v>1653</v>
      </c>
      <c r="D147" s="99" t="s">
        <v>460</v>
      </c>
      <c r="E147" s="978">
        <v>0</v>
      </c>
      <c r="F147" s="979">
        <v>0</v>
      </c>
      <c r="G147" s="979">
        <v>0</v>
      </c>
    </row>
    <row r="148" spans="1:7" x14ac:dyDescent="0.3">
      <c r="B148" s="972">
        <v>389</v>
      </c>
      <c r="C148" s="977" t="s">
        <v>1654</v>
      </c>
      <c r="D148" s="99" t="s">
        <v>461</v>
      </c>
      <c r="E148" s="978">
        <v>0</v>
      </c>
      <c r="F148" s="979">
        <v>0</v>
      </c>
      <c r="G148" s="979">
        <v>0</v>
      </c>
    </row>
    <row r="149" spans="1:7" x14ac:dyDescent="0.3">
      <c r="B149" s="972">
        <v>391</v>
      </c>
      <c r="C149" s="977" t="s">
        <v>1655</v>
      </c>
      <c r="D149" s="99" t="s">
        <v>462</v>
      </c>
      <c r="E149" s="978">
        <v>0</v>
      </c>
      <c r="F149" s="979">
        <v>0</v>
      </c>
      <c r="G149" s="979">
        <v>0</v>
      </c>
    </row>
    <row r="150" spans="1:7" ht="28.8" x14ac:dyDescent="0.3">
      <c r="B150" s="972">
        <v>500</v>
      </c>
      <c r="C150" s="977" t="s">
        <v>1656</v>
      </c>
      <c r="D150" s="99" t="s">
        <v>463</v>
      </c>
      <c r="E150" s="978">
        <v>0</v>
      </c>
      <c r="F150" s="979">
        <v>0</v>
      </c>
      <c r="G150" s="979">
        <v>0</v>
      </c>
    </row>
    <row r="151" spans="1:7" x14ac:dyDescent="0.3">
      <c r="B151" s="972">
        <v>501</v>
      </c>
      <c r="C151" s="977" t="s">
        <v>185</v>
      </c>
      <c r="D151" s="99" t="s">
        <v>464</v>
      </c>
      <c r="E151" s="978">
        <v>0</v>
      </c>
      <c r="F151" s="979">
        <v>0</v>
      </c>
      <c r="G151" s="979">
        <v>0</v>
      </c>
    </row>
    <row r="152" spans="1:7" x14ac:dyDescent="0.3">
      <c r="A152" s="983">
        <v>502</v>
      </c>
      <c r="B152" s="972">
        <v>502</v>
      </c>
      <c r="C152" s="977" t="s">
        <v>186</v>
      </c>
      <c r="D152" s="99" t="s">
        <v>465</v>
      </c>
      <c r="E152" s="978">
        <v>3572167</v>
      </c>
      <c r="F152" s="979">
        <v>107053000</v>
      </c>
      <c r="G152" s="979">
        <v>2658000</v>
      </c>
    </row>
    <row r="153" spans="1:7" x14ac:dyDescent="0.3">
      <c r="A153" s="983">
        <v>503</v>
      </c>
      <c r="B153" s="972">
        <v>503</v>
      </c>
      <c r="C153" s="977" t="s">
        <v>187</v>
      </c>
      <c r="D153" s="99" t="s">
        <v>466</v>
      </c>
      <c r="E153" s="978">
        <v>646368</v>
      </c>
      <c r="F153" s="979">
        <v>46228000</v>
      </c>
      <c r="G153" s="979">
        <v>530404000</v>
      </c>
    </row>
    <row r="154" spans="1:7" x14ac:dyDescent="0.3">
      <c r="B154" s="972">
        <v>504</v>
      </c>
      <c r="C154" s="977" t="s">
        <v>191</v>
      </c>
      <c r="D154" s="99" t="s">
        <v>467</v>
      </c>
      <c r="E154" s="978">
        <v>0</v>
      </c>
      <c r="F154" s="979">
        <v>0</v>
      </c>
      <c r="G154" s="979">
        <v>0</v>
      </c>
    </row>
    <row r="155" spans="1:7" x14ac:dyDescent="0.3">
      <c r="B155" s="972">
        <v>505</v>
      </c>
      <c r="C155" s="977" t="s">
        <v>192</v>
      </c>
      <c r="D155" s="99" t="s">
        <v>468</v>
      </c>
      <c r="E155" s="978">
        <v>0</v>
      </c>
      <c r="F155" s="979">
        <v>0</v>
      </c>
      <c r="G155" s="979">
        <v>0</v>
      </c>
    </row>
    <row r="156" spans="1:7" x14ac:dyDescent="0.3">
      <c r="B156" s="972">
        <v>506</v>
      </c>
      <c r="C156" s="977" t="s">
        <v>198</v>
      </c>
      <c r="D156" s="99" t="s">
        <v>469</v>
      </c>
      <c r="E156" s="978">
        <v>0</v>
      </c>
      <c r="F156" s="979">
        <v>0</v>
      </c>
      <c r="G156" s="979">
        <v>0</v>
      </c>
    </row>
    <row r="157" spans="1:7" x14ac:dyDescent="0.3">
      <c r="B157" s="972">
        <v>507</v>
      </c>
      <c r="C157" s="977" t="s">
        <v>216</v>
      </c>
      <c r="D157" s="99" t="s">
        <v>470</v>
      </c>
      <c r="E157" s="978">
        <v>0</v>
      </c>
      <c r="F157" s="979">
        <v>0</v>
      </c>
      <c r="G157" s="979">
        <v>0</v>
      </c>
    </row>
    <row r="158" spans="1:7" x14ac:dyDescent="0.3">
      <c r="B158" s="972">
        <v>508</v>
      </c>
      <c r="C158" s="977" t="s">
        <v>213</v>
      </c>
      <c r="D158" s="99" t="s">
        <v>471</v>
      </c>
      <c r="E158" s="978">
        <v>0</v>
      </c>
      <c r="F158" s="979">
        <v>0</v>
      </c>
      <c r="G158" s="979">
        <v>0</v>
      </c>
    </row>
    <row r="159" spans="1:7" x14ac:dyDescent="0.3">
      <c r="B159" s="972">
        <v>509</v>
      </c>
      <c r="C159" s="977" t="s">
        <v>214</v>
      </c>
      <c r="D159" s="99" t="s">
        <v>472</v>
      </c>
      <c r="E159" s="978">
        <v>0</v>
      </c>
      <c r="F159" s="979">
        <v>0</v>
      </c>
      <c r="G159" s="979">
        <v>0</v>
      </c>
    </row>
    <row r="160" spans="1:7" x14ac:dyDescent="0.3">
      <c r="B160" s="972">
        <v>510</v>
      </c>
      <c r="C160" s="977" t="s">
        <v>220</v>
      </c>
      <c r="D160" s="99" t="s">
        <v>473</v>
      </c>
      <c r="E160" s="978">
        <v>0</v>
      </c>
      <c r="F160" s="979">
        <v>0</v>
      </c>
      <c r="G160" s="979">
        <v>0</v>
      </c>
    </row>
    <row r="161" spans="1:7" x14ac:dyDescent="0.3">
      <c r="A161" s="983">
        <v>511</v>
      </c>
      <c r="B161" s="972">
        <v>511</v>
      </c>
      <c r="C161" s="977" t="s">
        <v>225</v>
      </c>
      <c r="D161" s="99" t="s">
        <v>474</v>
      </c>
      <c r="E161" s="978">
        <v>535340</v>
      </c>
      <c r="F161" s="979">
        <v>14934000</v>
      </c>
      <c r="G161" s="979">
        <v>67931000</v>
      </c>
    </row>
    <row r="162" spans="1:7" x14ac:dyDescent="0.3">
      <c r="B162" s="972">
        <v>512</v>
      </c>
      <c r="C162" s="977" t="s">
        <v>252</v>
      </c>
      <c r="D162" s="99" t="s">
        <v>475</v>
      </c>
      <c r="E162" s="978">
        <v>0</v>
      </c>
      <c r="F162" s="979">
        <v>0</v>
      </c>
      <c r="G162" s="979">
        <v>0</v>
      </c>
    </row>
    <row r="163" spans="1:7" x14ac:dyDescent="0.3">
      <c r="B163" s="972">
        <v>513</v>
      </c>
      <c r="C163" s="977" t="s">
        <v>259</v>
      </c>
      <c r="D163" s="99" t="s">
        <v>476</v>
      </c>
      <c r="E163" s="978">
        <v>0</v>
      </c>
      <c r="F163" s="979">
        <v>0</v>
      </c>
      <c r="G163" s="979">
        <v>0</v>
      </c>
    </row>
    <row r="164" spans="1:7" x14ac:dyDescent="0.3">
      <c r="B164" s="972">
        <v>514</v>
      </c>
      <c r="C164" s="977" t="s">
        <v>260</v>
      </c>
      <c r="D164" s="99" t="s">
        <v>477</v>
      </c>
      <c r="E164" s="978">
        <v>0</v>
      </c>
      <c r="F164" s="979">
        <v>0</v>
      </c>
      <c r="G164" s="979">
        <v>0</v>
      </c>
    </row>
    <row r="165" spans="1:7" x14ac:dyDescent="0.3">
      <c r="B165" s="972">
        <v>515</v>
      </c>
      <c r="C165" s="977" t="s">
        <v>273</v>
      </c>
      <c r="D165" s="99" t="s">
        <v>478</v>
      </c>
      <c r="E165" s="978">
        <v>0</v>
      </c>
      <c r="F165" s="979">
        <v>0</v>
      </c>
      <c r="G165" s="979">
        <v>0</v>
      </c>
    </row>
    <row r="166" spans="1:7" x14ac:dyDescent="0.3">
      <c r="B166" s="972">
        <v>516</v>
      </c>
      <c r="C166" s="977" t="s">
        <v>274</v>
      </c>
      <c r="D166" s="99" t="s">
        <v>479</v>
      </c>
      <c r="E166" s="978">
        <v>0</v>
      </c>
      <c r="F166" s="979">
        <v>0</v>
      </c>
      <c r="G166" s="979">
        <v>0</v>
      </c>
    </row>
    <row r="167" spans="1:7" x14ac:dyDescent="0.3">
      <c r="B167" s="972">
        <v>517</v>
      </c>
      <c r="C167" s="977" t="s">
        <v>275</v>
      </c>
      <c r="D167" s="99" t="s">
        <v>480</v>
      </c>
      <c r="E167" s="978">
        <v>0</v>
      </c>
      <c r="F167" s="979">
        <v>0</v>
      </c>
      <c r="G167" s="979">
        <v>0</v>
      </c>
    </row>
    <row r="168" spans="1:7" x14ac:dyDescent="0.3">
      <c r="B168" s="972">
        <v>518</v>
      </c>
      <c r="C168" s="977" t="s">
        <v>276</v>
      </c>
      <c r="D168" s="99" t="s">
        <v>481</v>
      </c>
      <c r="E168" s="978">
        <v>0</v>
      </c>
      <c r="F168" s="979">
        <v>0</v>
      </c>
      <c r="G168" s="979">
        <v>0</v>
      </c>
    </row>
    <row r="169" spans="1:7" x14ac:dyDescent="0.3">
      <c r="B169" s="972">
        <v>519</v>
      </c>
      <c r="C169" s="977" t="s">
        <v>277</v>
      </c>
      <c r="D169" s="99" t="s">
        <v>482</v>
      </c>
      <c r="E169" s="978">
        <v>0</v>
      </c>
      <c r="F169" s="979">
        <v>0</v>
      </c>
      <c r="G169" s="979">
        <v>0</v>
      </c>
    </row>
    <row r="170" spans="1:7" x14ac:dyDescent="0.3">
      <c r="B170" s="972">
        <v>520</v>
      </c>
      <c r="C170" s="977" t="s">
        <v>278</v>
      </c>
      <c r="D170" s="99" t="s">
        <v>483</v>
      </c>
      <c r="E170" s="978">
        <v>0</v>
      </c>
      <c r="F170" s="979">
        <v>0</v>
      </c>
      <c r="G170" s="979">
        <v>0</v>
      </c>
    </row>
    <row r="171" spans="1:7" x14ac:dyDescent="0.3">
      <c r="B171" s="972">
        <v>521</v>
      </c>
      <c r="C171" s="977" t="s">
        <v>279</v>
      </c>
      <c r="D171" s="99" t="s">
        <v>484</v>
      </c>
      <c r="E171" s="978">
        <v>0</v>
      </c>
      <c r="F171" s="979">
        <v>0</v>
      </c>
      <c r="G171" s="979">
        <v>0</v>
      </c>
    </row>
    <row r="172" spans="1:7" x14ac:dyDescent="0.3">
      <c r="B172" s="972">
        <v>522</v>
      </c>
      <c r="C172" s="977" t="s">
        <v>280</v>
      </c>
      <c r="D172" s="99" t="s">
        <v>485</v>
      </c>
      <c r="E172" s="978">
        <v>0</v>
      </c>
      <c r="F172" s="979">
        <v>0</v>
      </c>
      <c r="G172" s="979">
        <v>0</v>
      </c>
    </row>
    <row r="173" spans="1:7" x14ac:dyDescent="0.3">
      <c r="B173" s="972">
        <v>523</v>
      </c>
      <c r="C173" s="977" t="s">
        <v>281</v>
      </c>
      <c r="D173" s="99" t="s">
        <v>486</v>
      </c>
      <c r="E173" s="978">
        <v>0</v>
      </c>
      <c r="F173" s="979">
        <v>0</v>
      </c>
      <c r="G173" s="979">
        <v>0</v>
      </c>
    </row>
    <row r="174" spans="1:7" x14ac:dyDescent="0.3">
      <c r="B174" s="972">
        <v>524</v>
      </c>
      <c r="C174" s="977" t="s">
        <v>282</v>
      </c>
      <c r="D174" s="99" t="s">
        <v>487</v>
      </c>
      <c r="E174" s="978">
        <v>0</v>
      </c>
      <c r="F174" s="979">
        <v>0</v>
      </c>
      <c r="G174" s="979">
        <v>0</v>
      </c>
    </row>
    <row r="175" spans="1:7" x14ac:dyDescent="0.3">
      <c r="B175" s="972">
        <v>525</v>
      </c>
      <c r="C175" s="977" t="s">
        <v>283</v>
      </c>
      <c r="D175" s="99" t="s">
        <v>488</v>
      </c>
      <c r="E175" s="978">
        <v>0</v>
      </c>
      <c r="F175" s="979">
        <v>0</v>
      </c>
      <c r="G175" s="979">
        <v>0</v>
      </c>
    </row>
    <row r="176" spans="1:7" x14ac:dyDescent="0.3">
      <c r="B176" s="972">
        <v>526</v>
      </c>
      <c r="C176" s="977" t="s">
        <v>284</v>
      </c>
      <c r="D176" s="99" t="s">
        <v>489</v>
      </c>
      <c r="E176" s="978">
        <v>0</v>
      </c>
      <c r="F176" s="979">
        <v>0</v>
      </c>
      <c r="G176" s="979">
        <v>0</v>
      </c>
    </row>
    <row r="177" spans="1:7" ht="28.8" x14ac:dyDescent="0.3">
      <c r="A177" s="983">
        <v>527</v>
      </c>
      <c r="B177" s="972">
        <v>527</v>
      </c>
      <c r="C177" s="977" t="s">
        <v>285</v>
      </c>
      <c r="D177" s="99" t="s">
        <v>490</v>
      </c>
      <c r="E177" s="978">
        <v>480474</v>
      </c>
      <c r="F177" s="979">
        <v>474000</v>
      </c>
      <c r="G177" s="979">
        <v>80493000</v>
      </c>
    </row>
    <row r="178" spans="1:7" x14ac:dyDescent="0.3">
      <c r="B178" s="972">
        <v>528</v>
      </c>
      <c r="C178" s="977" t="s">
        <v>267</v>
      </c>
      <c r="D178" s="99" t="s">
        <v>491</v>
      </c>
      <c r="E178" s="978">
        <v>0</v>
      </c>
      <c r="F178" s="979">
        <v>0</v>
      </c>
      <c r="G178" s="979">
        <v>0</v>
      </c>
    </row>
    <row r="179" spans="1:7" x14ac:dyDescent="0.3">
      <c r="B179" s="972">
        <v>529</v>
      </c>
      <c r="C179" s="977" t="s">
        <v>268</v>
      </c>
      <c r="D179" s="99" t="s">
        <v>492</v>
      </c>
      <c r="E179" s="978">
        <v>0</v>
      </c>
      <c r="F179" s="979">
        <v>0</v>
      </c>
      <c r="G179" s="979">
        <v>0</v>
      </c>
    </row>
    <row r="180" spans="1:7" ht="28.8" x14ac:dyDescent="0.3">
      <c r="B180" s="972">
        <v>530</v>
      </c>
      <c r="C180" s="977" t="s">
        <v>269</v>
      </c>
      <c r="D180" s="99" t="s">
        <v>493</v>
      </c>
      <c r="E180" s="978">
        <v>0</v>
      </c>
      <c r="F180" s="979">
        <v>0</v>
      </c>
      <c r="G180" s="979">
        <v>0</v>
      </c>
    </row>
    <row r="181" spans="1:7" ht="28.8" x14ac:dyDescent="0.3">
      <c r="B181" s="972">
        <v>531</v>
      </c>
      <c r="C181" s="977" t="s">
        <v>270</v>
      </c>
      <c r="D181" s="99" t="s">
        <v>494</v>
      </c>
      <c r="E181" s="978">
        <v>0</v>
      </c>
      <c r="F181" s="979">
        <v>0</v>
      </c>
      <c r="G181" s="979">
        <v>0</v>
      </c>
    </row>
    <row r="182" spans="1:7" x14ac:dyDescent="0.3">
      <c r="B182" s="972">
        <v>532</v>
      </c>
      <c r="C182" s="977" t="s">
        <v>1657</v>
      </c>
      <c r="D182" s="99" t="s">
        <v>495</v>
      </c>
      <c r="E182" s="978">
        <v>0</v>
      </c>
      <c r="F182" s="979">
        <v>0</v>
      </c>
      <c r="G182" s="979">
        <v>0</v>
      </c>
    </row>
    <row r="183" spans="1:7" x14ac:dyDescent="0.3">
      <c r="B183" s="972">
        <v>533</v>
      </c>
      <c r="C183" s="977" t="s">
        <v>1658</v>
      </c>
      <c r="D183" s="99" t="s">
        <v>496</v>
      </c>
      <c r="E183" s="978">
        <v>0</v>
      </c>
      <c r="F183" s="979">
        <v>0</v>
      </c>
      <c r="G183" s="979">
        <v>0</v>
      </c>
    </row>
    <row r="184" spans="1:7" ht="28.8" x14ac:dyDescent="0.3">
      <c r="B184" s="972">
        <v>534</v>
      </c>
      <c r="C184" s="977" t="s">
        <v>271</v>
      </c>
      <c r="D184" s="99" t="s">
        <v>497</v>
      </c>
      <c r="E184" s="978">
        <v>0</v>
      </c>
      <c r="F184" s="979">
        <v>0</v>
      </c>
      <c r="G184" s="979">
        <v>0</v>
      </c>
    </row>
    <row r="185" spans="1:7" x14ac:dyDescent="0.3">
      <c r="B185" s="972">
        <v>535</v>
      </c>
      <c r="C185" s="977" t="s">
        <v>1659</v>
      </c>
      <c r="D185" s="99" t="s">
        <v>498</v>
      </c>
      <c r="E185" s="978">
        <v>0</v>
      </c>
      <c r="F185" s="979">
        <v>0</v>
      </c>
      <c r="G185" s="979">
        <v>0</v>
      </c>
    </row>
    <row r="186" spans="1:7" x14ac:dyDescent="0.3">
      <c r="B186" s="972">
        <v>536</v>
      </c>
      <c r="C186" s="977" t="s">
        <v>1660</v>
      </c>
      <c r="D186" s="99" t="s">
        <v>499</v>
      </c>
      <c r="E186" s="978">
        <v>0</v>
      </c>
      <c r="F186" s="979">
        <v>0</v>
      </c>
      <c r="G186" s="979">
        <v>0</v>
      </c>
    </row>
    <row r="187" spans="1:7" ht="28.8" x14ac:dyDescent="0.3">
      <c r="B187" s="984">
        <v>537</v>
      </c>
      <c r="C187" s="985" t="s">
        <v>792</v>
      </c>
      <c r="D187" s="986" t="s">
        <v>500</v>
      </c>
      <c r="E187" s="978">
        <v>0</v>
      </c>
      <c r="F187" s="979">
        <v>0</v>
      </c>
      <c r="G187" s="979">
        <v>0</v>
      </c>
    </row>
    <row r="188" spans="1:7" ht="43.2" x14ac:dyDescent="0.3">
      <c r="B188" s="984">
        <v>538</v>
      </c>
      <c r="C188" s="985" t="s">
        <v>793</v>
      </c>
      <c r="D188" s="986" t="s">
        <v>501</v>
      </c>
      <c r="E188" s="978">
        <v>0</v>
      </c>
      <c r="F188" s="979">
        <v>0</v>
      </c>
      <c r="G188" s="979">
        <v>0</v>
      </c>
    </row>
    <row r="189" spans="1:7" ht="28.8" x14ac:dyDescent="0.3">
      <c r="A189" s="983"/>
      <c r="B189" s="984">
        <v>539</v>
      </c>
      <c r="C189" s="987" t="s">
        <v>794</v>
      </c>
      <c r="D189" s="986" t="s">
        <v>502</v>
      </c>
      <c r="E189" s="978">
        <v>0</v>
      </c>
      <c r="F189" s="979">
        <v>0</v>
      </c>
      <c r="G189" s="979">
        <v>0</v>
      </c>
    </row>
    <row r="190" spans="1:7" ht="28.8" x14ac:dyDescent="0.3">
      <c r="B190" s="984">
        <v>540</v>
      </c>
      <c r="C190" s="985" t="s">
        <v>795</v>
      </c>
      <c r="D190" s="986" t="s">
        <v>503</v>
      </c>
      <c r="E190" s="978">
        <v>0</v>
      </c>
      <c r="F190" s="979">
        <v>0</v>
      </c>
      <c r="G190" s="979">
        <v>0</v>
      </c>
    </row>
    <row r="191" spans="1:7" ht="28.8" x14ac:dyDescent="0.3">
      <c r="B191" s="984">
        <v>541</v>
      </c>
      <c r="C191" s="985" t="s">
        <v>796</v>
      </c>
      <c r="D191" s="986" t="s">
        <v>504</v>
      </c>
      <c r="E191" s="978">
        <v>0</v>
      </c>
      <c r="F191" s="979">
        <v>0</v>
      </c>
      <c r="G191" s="979">
        <v>0</v>
      </c>
    </row>
    <row r="192" spans="1:7" ht="28.8" x14ac:dyDescent="0.3">
      <c r="B192" s="984">
        <v>542</v>
      </c>
      <c r="C192" s="985" t="s">
        <v>797</v>
      </c>
      <c r="D192" s="986" t="s">
        <v>505</v>
      </c>
      <c r="E192" s="978">
        <v>0</v>
      </c>
      <c r="F192" s="979">
        <v>0</v>
      </c>
      <c r="G192" s="979">
        <v>0</v>
      </c>
    </row>
    <row r="193" spans="1:7" ht="43.2" x14ac:dyDescent="0.3">
      <c r="B193" s="984">
        <v>543</v>
      </c>
      <c r="C193" s="987" t="s">
        <v>798</v>
      </c>
      <c r="D193" s="986" t="s">
        <v>506</v>
      </c>
      <c r="E193" s="978">
        <v>0</v>
      </c>
      <c r="F193" s="979">
        <v>0</v>
      </c>
      <c r="G193" s="979">
        <v>0</v>
      </c>
    </row>
    <row r="194" spans="1:7" x14ac:dyDescent="0.3">
      <c r="B194" s="984">
        <v>544</v>
      </c>
      <c r="C194" s="987" t="s">
        <v>53</v>
      </c>
      <c r="D194" s="986" t="s">
        <v>507</v>
      </c>
      <c r="E194" s="978">
        <v>0</v>
      </c>
      <c r="F194" s="979">
        <v>0</v>
      </c>
      <c r="G194" s="979">
        <v>0</v>
      </c>
    </row>
    <row r="195" spans="1:7" ht="28.8" x14ac:dyDescent="0.3">
      <c r="B195" s="984">
        <v>545</v>
      </c>
      <c r="C195" s="987" t="s">
        <v>54</v>
      </c>
      <c r="D195" s="986" t="s">
        <v>508</v>
      </c>
      <c r="E195" s="978">
        <v>0</v>
      </c>
      <c r="F195" s="979">
        <v>0</v>
      </c>
      <c r="G195" s="979">
        <v>0</v>
      </c>
    </row>
    <row r="196" spans="1:7" x14ac:dyDescent="0.3">
      <c r="B196" s="984">
        <v>546</v>
      </c>
      <c r="C196" s="987" t="s">
        <v>799</v>
      </c>
      <c r="D196" s="986" t="s">
        <v>509</v>
      </c>
      <c r="E196" s="978">
        <v>0</v>
      </c>
      <c r="F196" s="979">
        <v>0</v>
      </c>
      <c r="G196" s="979">
        <v>0</v>
      </c>
    </row>
    <row r="197" spans="1:7" ht="86.4" x14ac:dyDescent="0.3">
      <c r="A197" s="983">
        <v>547</v>
      </c>
      <c r="B197" s="984">
        <v>547</v>
      </c>
      <c r="C197" s="987" t="s">
        <v>803</v>
      </c>
      <c r="D197" s="986" t="s">
        <v>510</v>
      </c>
      <c r="E197" s="978">
        <v>2</v>
      </c>
      <c r="F197" s="979">
        <v>2</v>
      </c>
      <c r="G197" s="979">
        <v>2</v>
      </c>
    </row>
    <row r="198" spans="1:7" x14ac:dyDescent="0.3">
      <c r="B198" s="972">
        <v>993</v>
      </c>
      <c r="C198" s="977" t="s">
        <v>511</v>
      </c>
      <c r="D198" s="99" t="s">
        <v>512</v>
      </c>
      <c r="E198" s="988">
        <v>0</v>
      </c>
      <c r="F198" s="989">
        <v>0</v>
      </c>
      <c r="G198" s="989">
        <v>0</v>
      </c>
    </row>
    <row r="199" spans="1:7" x14ac:dyDescent="0.3">
      <c r="B199" s="972">
        <v>994</v>
      </c>
      <c r="C199" s="977" t="s">
        <v>513</v>
      </c>
      <c r="D199" s="99" t="s">
        <v>514</v>
      </c>
      <c r="E199" s="988">
        <v>0</v>
      </c>
      <c r="F199" s="989">
        <v>0</v>
      </c>
      <c r="G199" s="989">
        <v>0</v>
      </c>
    </row>
    <row r="200" spans="1:7" x14ac:dyDescent="0.3">
      <c r="A200" s="99">
        <v>995</v>
      </c>
      <c r="B200" s="972">
        <v>995</v>
      </c>
      <c r="C200" s="977" t="s">
        <v>515</v>
      </c>
      <c r="D200" s="99" t="s">
        <v>516</v>
      </c>
      <c r="E200" s="988">
        <v>0.09</v>
      </c>
      <c r="F200" s="989">
        <v>0</v>
      </c>
      <c r="G200" s="989">
        <v>0</v>
      </c>
    </row>
    <row r="201" spans="1:7" x14ac:dyDescent="0.3">
      <c r="A201" s="99">
        <v>996</v>
      </c>
      <c r="B201" s="972">
        <v>996</v>
      </c>
      <c r="C201" s="977" t="s">
        <v>517</v>
      </c>
      <c r="D201" s="99" t="s">
        <v>518</v>
      </c>
      <c r="E201" s="988">
        <v>0</v>
      </c>
      <c r="F201" s="989">
        <v>0</v>
      </c>
      <c r="G201" s="989">
        <v>0</v>
      </c>
    </row>
    <row r="202" spans="1:7" x14ac:dyDescent="0.3">
      <c r="A202" s="99">
        <v>998</v>
      </c>
      <c r="B202" s="972">
        <v>998</v>
      </c>
      <c r="C202" s="977" t="s">
        <v>288</v>
      </c>
      <c r="D202" s="99" t="s">
        <v>519</v>
      </c>
      <c r="E202" s="988">
        <v>60</v>
      </c>
      <c r="F202" s="989">
        <v>60</v>
      </c>
      <c r="G202" s="989">
        <v>60</v>
      </c>
    </row>
    <row r="203" spans="1:7" x14ac:dyDescent="0.3">
      <c r="A203" s="99">
        <v>999</v>
      </c>
      <c r="B203" s="99">
        <v>999</v>
      </c>
      <c r="C203" s="977" t="s">
        <v>289</v>
      </c>
      <c r="D203" s="99" t="s">
        <v>520</v>
      </c>
      <c r="E203" s="990">
        <v>601754</v>
      </c>
      <c r="F203" s="991">
        <v>601757</v>
      </c>
      <c r="G203" s="991">
        <v>601758</v>
      </c>
    </row>
    <row r="204" spans="1:7" ht="69.599999999999994" x14ac:dyDescent="0.3">
      <c r="B204" s="984">
        <v>551</v>
      </c>
      <c r="C204" s="992" t="s">
        <v>1661</v>
      </c>
      <c r="D204" s="986" t="s">
        <v>562</v>
      </c>
      <c r="E204" s="978">
        <v>0</v>
      </c>
      <c r="F204" s="979">
        <v>0</v>
      </c>
      <c r="G204" s="979">
        <v>0</v>
      </c>
    </row>
    <row r="205" spans="1:7" ht="28.8" x14ac:dyDescent="0.3">
      <c r="A205" s="983">
        <v>577</v>
      </c>
      <c r="B205" s="984">
        <v>577</v>
      </c>
      <c r="C205" s="993" t="s">
        <v>604</v>
      </c>
      <c r="D205" s="99" t="s">
        <v>605</v>
      </c>
      <c r="E205" s="978">
        <v>1</v>
      </c>
      <c r="F205" s="979">
        <v>2</v>
      </c>
      <c r="G205" s="979">
        <v>2</v>
      </c>
    </row>
    <row r="206" spans="1:7" x14ac:dyDescent="0.3">
      <c r="A206" s="983">
        <v>580</v>
      </c>
      <c r="B206" s="984">
        <v>580</v>
      </c>
      <c r="C206" s="99" t="s">
        <v>606</v>
      </c>
      <c r="D206" s="99" t="s">
        <v>607</v>
      </c>
      <c r="E206" s="978">
        <v>0</v>
      </c>
      <c r="F206" s="979">
        <v>0</v>
      </c>
      <c r="G206" s="979">
        <v>0</v>
      </c>
    </row>
    <row r="207" spans="1:7" x14ac:dyDescent="0.3">
      <c r="A207" s="994">
        <v>581</v>
      </c>
      <c r="B207" s="984">
        <v>581</v>
      </c>
      <c r="C207" s="99" t="s">
        <v>608</v>
      </c>
      <c r="D207" s="99" t="s">
        <v>609</v>
      </c>
      <c r="E207" s="978">
        <v>0</v>
      </c>
      <c r="F207" s="979">
        <v>0</v>
      </c>
      <c r="G207" s="979">
        <v>0</v>
      </c>
    </row>
    <row r="208" spans="1:7" x14ac:dyDescent="0.3">
      <c r="A208" s="983">
        <v>591</v>
      </c>
      <c r="C208" s="985" t="s">
        <v>573</v>
      </c>
      <c r="D208" s="99"/>
      <c r="E208" s="978">
        <v>26647052</v>
      </c>
      <c r="F208" s="979">
        <v>579640000</v>
      </c>
      <c r="G208" s="979">
        <v>569452000</v>
      </c>
    </row>
    <row r="209" spans="1:7" x14ac:dyDescent="0.3">
      <c r="A209" s="983">
        <v>592</v>
      </c>
      <c r="C209" s="995" t="s">
        <v>574</v>
      </c>
      <c r="D209" s="99"/>
      <c r="E209" s="978">
        <v>767843</v>
      </c>
      <c r="F209" s="979">
        <v>-19208000</v>
      </c>
      <c r="G209" s="979">
        <v>-26185000</v>
      </c>
    </row>
    <row r="210" spans="1:7" x14ac:dyDescent="0.3">
      <c r="C210" s="99" t="s">
        <v>1662</v>
      </c>
      <c r="D210" s="99"/>
      <c r="E210" s="978"/>
      <c r="F210" s="979"/>
      <c r="G210" s="979"/>
    </row>
    <row r="211" spans="1:7" ht="100.8" x14ac:dyDescent="0.3">
      <c r="A211" s="996"/>
      <c r="B211" s="997">
        <v>600</v>
      </c>
      <c r="C211" s="998" t="s">
        <v>801</v>
      </c>
      <c r="D211" s="99"/>
      <c r="E211" s="978">
        <v>0</v>
      </c>
      <c r="F211" s="979">
        <v>0</v>
      </c>
      <c r="G211" s="979">
        <v>0</v>
      </c>
    </row>
    <row r="212" spans="1:7" ht="158.4" x14ac:dyDescent="0.3">
      <c r="B212" s="997">
        <v>601</v>
      </c>
      <c r="C212" s="998" t="s">
        <v>802</v>
      </c>
      <c r="D212" s="99"/>
      <c r="E212" s="978">
        <v>0</v>
      </c>
      <c r="F212" s="979">
        <v>0</v>
      </c>
      <c r="G212" s="979">
        <v>0</v>
      </c>
    </row>
    <row r="213" spans="1:7" ht="158.4" x14ac:dyDescent="0.3">
      <c r="A213" s="999">
        <v>603</v>
      </c>
      <c r="B213" s="99">
        <v>603</v>
      </c>
      <c r="C213" s="1000" t="s">
        <v>631</v>
      </c>
      <c r="D213" s="99"/>
      <c r="E213" s="978">
        <v>1</v>
      </c>
      <c r="F213" s="979">
        <v>1</v>
      </c>
      <c r="G213" s="979">
        <v>1</v>
      </c>
    </row>
    <row r="214" spans="1:7" ht="115.2" x14ac:dyDescent="0.3">
      <c r="A214" s="999"/>
      <c r="B214" s="99">
        <v>604</v>
      </c>
      <c r="C214" s="1000" t="s">
        <v>632</v>
      </c>
      <c r="D214" s="99"/>
      <c r="E214" s="978">
        <v>0</v>
      </c>
      <c r="F214" s="979">
        <v>0</v>
      </c>
      <c r="G214" s="979">
        <v>0</v>
      </c>
    </row>
    <row r="215" spans="1:7" ht="28.8" x14ac:dyDescent="0.3">
      <c r="A215" s="999">
        <v>605</v>
      </c>
      <c r="B215" s="99">
        <v>605</v>
      </c>
      <c r="C215" s="1000" t="s">
        <v>634</v>
      </c>
      <c r="D215" s="99"/>
      <c r="E215" s="978">
        <v>1</v>
      </c>
      <c r="F215" s="979">
        <v>1</v>
      </c>
      <c r="G215" s="979">
        <v>1</v>
      </c>
    </row>
    <row r="216" spans="1:7" x14ac:dyDescent="0.3">
      <c r="A216" s="1001">
        <v>607</v>
      </c>
      <c r="B216" s="99">
        <v>607</v>
      </c>
      <c r="C216" s="1000" t="s">
        <v>624</v>
      </c>
      <c r="D216" s="99"/>
      <c r="E216" s="978">
        <v>0</v>
      </c>
      <c r="F216" s="979">
        <v>0</v>
      </c>
      <c r="G216" s="979">
        <v>0</v>
      </c>
    </row>
    <row r="217" spans="1:7" x14ac:dyDescent="0.3">
      <c r="A217" s="1001">
        <v>608</v>
      </c>
      <c r="B217" s="99">
        <v>608</v>
      </c>
      <c r="C217" s="1000" t="s">
        <v>625</v>
      </c>
      <c r="D217" s="99"/>
      <c r="E217" s="978">
        <v>0</v>
      </c>
      <c r="F217" s="979">
        <v>0</v>
      </c>
      <c r="G217" s="979">
        <v>0</v>
      </c>
    </row>
    <row r="218" spans="1:7" ht="28.8" x14ac:dyDescent="0.3">
      <c r="A218" s="1001">
        <v>609</v>
      </c>
      <c r="B218" s="99">
        <v>609</v>
      </c>
      <c r="C218" s="1000" t="s">
        <v>1663</v>
      </c>
      <c r="D218" s="99"/>
      <c r="E218" s="1002">
        <v>0</v>
      </c>
      <c r="F218" s="1003">
        <v>0</v>
      </c>
      <c r="G218" s="1003">
        <v>0</v>
      </c>
    </row>
    <row r="219" spans="1:7" x14ac:dyDescent="0.3">
      <c r="A219" s="1001">
        <v>610</v>
      </c>
      <c r="B219" s="99">
        <v>610</v>
      </c>
      <c r="C219" s="1000" t="s">
        <v>626</v>
      </c>
      <c r="D219" s="99"/>
      <c r="E219" s="978">
        <v>0</v>
      </c>
      <c r="F219" s="979">
        <v>0</v>
      </c>
      <c r="G219" s="979">
        <v>0</v>
      </c>
    </row>
    <row r="220" spans="1:7" x14ac:dyDescent="0.3">
      <c r="A220" s="1001">
        <v>611</v>
      </c>
      <c r="B220" s="99">
        <v>611</v>
      </c>
      <c r="C220" s="1000" t="s">
        <v>627</v>
      </c>
      <c r="D220" s="99"/>
      <c r="E220" s="978">
        <v>0</v>
      </c>
      <c r="F220" s="979">
        <v>0</v>
      </c>
      <c r="G220" s="979">
        <v>0</v>
      </c>
    </row>
    <row r="221" spans="1:7" ht="28.8" x14ac:dyDescent="0.3">
      <c r="A221" s="1001">
        <v>612</v>
      </c>
      <c r="B221" s="99">
        <v>612</v>
      </c>
      <c r="C221" s="1000" t="s">
        <v>1664</v>
      </c>
      <c r="D221" s="99"/>
      <c r="E221" s="978">
        <v>0</v>
      </c>
      <c r="F221" s="979">
        <v>0</v>
      </c>
      <c r="G221" s="979">
        <v>0</v>
      </c>
    </row>
    <row r="222" spans="1:7" x14ac:dyDescent="0.3">
      <c r="A222" s="1001">
        <v>613</v>
      </c>
      <c r="B222" s="99">
        <v>613</v>
      </c>
      <c r="C222" s="1000" t="s">
        <v>635</v>
      </c>
      <c r="D222" s="99"/>
      <c r="E222" s="978">
        <v>0</v>
      </c>
      <c r="F222" s="979">
        <v>0</v>
      </c>
      <c r="G222" s="979">
        <v>0</v>
      </c>
    </row>
    <row r="223" spans="1:7" x14ac:dyDescent="0.3">
      <c r="A223" s="1001">
        <v>614</v>
      </c>
      <c r="B223" s="99">
        <v>614</v>
      </c>
      <c r="C223" s="1000" t="s">
        <v>628</v>
      </c>
      <c r="D223" s="99"/>
      <c r="E223" s="978">
        <v>0</v>
      </c>
      <c r="F223" s="979">
        <v>0</v>
      </c>
      <c r="G223" s="979">
        <v>0</v>
      </c>
    </row>
    <row r="224" spans="1:7" ht="28.8" x14ac:dyDescent="0.3">
      <c r="A224" s="1001">
        <v>615</v>
      </c>
      <c r="B224" s="99">
        <v>615</v>
      </c>
      <c r="C224" s="1000" t="s">
        <v>1665</v>
      </c>
      <c r="D224" s="99"/>
      <c r="E224" s="978">
        <v>0</v>
      </c>
      <c r="F224" s="979">
        <v>0</v>
      </c>
      <c r="G224" s="979">
        <v>0</v>
      </c>
    </row>
    <row r="225" spans="1:7" x14ac:dyDescent="0.3">
      <c r="A225" s="1001">
        <v>616</v>
      </c>
      <c r="B225" s="99">
        <v>616</v>
      </c>
      <c r="C225" s="1000" t="s">
        <v>629</v>
      </c>
      <c r="D225" s="99"/>
      <c r="E225" s="978">
        <v>0</v>
      </c>
      <c r="F225" s="979">
        <v>0</v>
      </c>
      <c r="G225" s="979">
        <v>0</v>
      </c>
    </row>
    <row r="226" spans="1:7" x14ac:dyDescent="0.3">
      <c r="A226" s="1001">
        <v>617</v>
      </c>
      <c r="B226" s="99">
        <v>617</v>
      </c>
      <c r="C226" s="1000" t="s">
        <v>630</v>
      </c>
      <c r="D226" s="99"/>
      <c r="E226" s="978">
        <v>0</v>
      </c>
      <c r="F226" s="979">
        <v>0</v>
      </c>
      <c r="G226" s="979">
        <v>0</v>
      </c>
    </row>
    <row r="227" spans="1:7" ht="28.8" x14ac:dyDescent="0.3">
      <c r="A227" s="1004">
        <v>618</v>
      </c>
      <c r="B227" s="99">
        <v>618</v>
      </c>
      <c r="C227" s="1000" t="s">
        <v>1666</v>
      </c>
      <c r="D227" s="99"/>
      <c r="E227" s="978">
        <v>0</v>
      </c>
      <c r="F227" s="979">
        <v>0</v>
      </c>
      <c r="G227" s="979">
        <v>0</v>
      </c>
    </row>
    <row r="228" spans="1:7" ht="43.2" x14ac:dyDescent="0.3">
      <c r="A228" s="1005">
        <v>620</v>
      </c>
      <c r="B228" s="99">
        <v>620</v>
      </c>
      <c r="C228" s="1000" t="s">
        <v>639</v>
      </c>
      <c r="D228" s="99"/>
      <c r="E228" s="978">
        <v>2</v>
      </c>
      <c r="F228" s="979">
        <v>2</v>
      </c>
      <c r="G228" s="979">
        <v>2</v>
      </c>
    </row>
    <row r="229" spans="1:7" x14ac:dyDescent="0.3">
      <c r="A229" s="99">
        <v>622</v>
      </c>
      <c r="B229" s="997">
        <v>622</v>
      </c>
      <c r="C229" s="998" t="s">
        <v>651</v>
      </c>
      <c r="D229" s="99"/>
      <c r="E229" s="978">
        <v>0</v>
      </c>
      <c r="F229" s="979">
        <v>0</v>
      </c>
      <c r="G229" s="979">
        <v>0</v>
      </c>
    </row>
    <row r="230" spans="1:7" ht="100.8" x14ac:dyDescent="0.3">
      <c r="A230" s="99">
        <v>625</v>
      </c>
      <c r="B230" s="99">
        <v>625</v>
      </c>
      <c r="C230" s="993" t="s">
        <v>742</v>
      </c>
      <c r="D230" s="99"/>
      <c r="E230" s="978">
        <v>1</v>
      </c>
      <c r="F230" s="979">
        <v>1</v>
      </c>
      <c r="G230" s="979">
        <v>1</v>
      </c>
    </row>
    <row r="231" spans="1:7" x14ac:dyDescent="0.3">
      <c r="D231" s="99"/>
      <c r="E231" s="99"/>
    </row>
    <row r="232" spans="1:7" x14ac:dyDescent="0.3">
      <c r="D232" s="99"/>
      <c r="E232" s="99"/>
    </row>
    <row r="233" spans="1:7" x14ac:dyDescent="0.3">
      <c r="D233" s="99"/>
      <c r="E233" s="99"/>
    </row>
    <row r="234" spans="1:7" x14ac:dyDescent="0.3">
      <c r="D234" s="99"/>
      <c r="E234" s="99"/>
    </row>
    <row r="235" spans="1:7" x14ac:dyDescent="0.3">
      <c r="D235" s="99"/>
      <c r="E235" s="1006">
        <v>242842140.09</v>
      </c>
      <c r="F235" s="1006">
        <v>4371569826</v>
      </c>
      <c r="G235" s="1006">
        <v>11453408827</v>
      </c>
    </row>
    <row r="236" spans="1:7" x14ac:dyDescent="0.3">
      <c r="D236" s="99"/>
      <c r="E236" s="1007">
        <v>242842140</v>
      </c>
      <c r="F236" s="1007">
        <v>4371569826</v>
      </c>
      <c r="G236" s="1007">
        <v>11453408827</v>
      </c>
    </row>
    <row r="237" spans="1:7" x14ac:dyDescent="0.3">
      <c r="D237" s="99"/>
      <c r="E237" s="1008">
        <v>9.0000003576278687E-2</v>
      </c>
      <c r="F237" s="1008">
        <v>0</v>
      </c>
      <c r="G237" s="1008">
        <v>0</v>
      </c>
    </row>
    <row r="238" spans="1:7" x14ac:dyDescent="0.3">
      <c r="D238" s="99"/>
      <c r="E238" s="1009"/>
      <c r="F238" s="1009"/>
      <c r="G238" s="1009"/>
    </row>
    <row r="239" spans="1:7" x14ac:dyDescent="0.3">
      <c r="D239" s="99"/>
      <c r="E239" s="1006"/>
      <c r="F239" s="1006"/>
      <c r="G239" s="1006"/>
    </row>
    <row r="240" spans="1:7" x14ac:dyDescent="0.3">
      <c r="D240" s="99"/>
      <c r="E240" s="99"/>
    </row>
    <row r="241" s="99" customFormat="1" x14ac:dyDescent="0.3"/>
    <row r="242" s="99" customFormat="1" x14ac:dyDescent="0.3"/>
    <row r="243" s="99" customFormat="1" x14ac:dyDescent="0.3"/>
    <row r="244" s="99" customFormat="1" x14ac:dyDescent="0.3"/>
    <row r="245" s="99" customFormat="1" ht="28.2" customHeight="1" x14ac:dyDescent="0.3"/>
    <row r="246" s="99" customFormat="1" x14ac:dyDescent="0.3"/>
    <row r="247" s="99" customFormat="1" ht="39" customHeight="1" x14ac:dyDescent="0.3"/>
    <row r="248" s="99" customFormat="1" x14ac:dyDescent="0.3"/>
    <row r="249" s="99" customFormat="1" x14ac:dyDescent="0.3"/>
    <row r="250" s="99" customFormat="1" x14ac:dyDescent="0.3"/>
    <row r="251" s="99" customFormat="1" x14ac:dyDescent="0.3"/>
    <row r="252" s="99" customFormat="1" x14ac:dyDescent="0.3"/>
    <row r="253" s="99" customFormat="1" ht="37.950000000000003" customHeight="1" x14ac:dyDescent="0.3"/>
    <row r="254" s="99" customFormat="1" x14ac:dyDescent="0.3"/>
    <row r="255" s="99" customFormat="1" x14ac:dyDescent="0.3"/>
    <row r="256" s="99" customFormat="1" x14ac:dyDescent="0.3"/>
    <row r="257" s="99" customFormat="1" x14ac:dyDescent="0.3"/>
    <row r="258" s="99" customFormat="1" x14ac:dyDescent="0.3"/>
  </sheetData>
  <sheetProtection algorithmName="SHA-512" hashValue="9eMsiS5tAvOBOZFiAUFAldHenZ6OuOWMIrFjFhPvC2yFpEM1S1KiPtQ5NH4M73dY9ceiCb763jUM+afKuIdUAw==" saltValue="3ENe+62ftky7N70NEXiW0A==" spinCount="100000" sheet="1" objects="1" scenarios="1"/>
  <conditionalFormatting sqref="E7:G7 E80:G81">
    <cfRule type="cellIs" dxfId="3" priority="4" stopIfTrue="1" operator="equal">
      <formula>0</formula>
    </cfRule>
  </conditionalFormatting>
  <conditionalFormatting sqref="E107:G107 E158:G158">
    <cfRule type="cellIs" dxfId="2" priority="3" stopIfTrue="1" operator="lessThan">
      <formula>0</formula>
    </cfRule>
  </conditionalFormatting>
  <conditionalFormatting sqref="E159:G159">
    <cfRule type="cellIs" dxfId="1" priority="2" stopIfTrue="1" operator="greaterThan">
      <formula>0</formula>
    </cfRule>
  </conditionalFormatting>
  <conditionalFormatting sqref="E178:G181">
    <cfRule type="cellIs" dxfId="0" priority="1" stopIfTrue="1" operator="lessThan">
      <formula>1</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09375" defaultRowHeight="14.4" x14ac:dyDescent="0.3"/>
  <cols>
    <col min="1" max="1" width="31.5546875" style="299" customWidth="1"/>
    <col min="2" max="2" width="8" style="299" customWidth="1"/>
    <col min="3" max="3" width="14.88671875" style="299" customWidth="1"/>
    <col min="4" max="4" width="16" style="299" customWidth="1"/>
    <col min="5" max="7" width="9.109375" style="299"/>
    <col min="8" max="8" width="21.33203125" style="299" customWidth="1"/>
    <col min="9" max="16384" width="9.109375" style="299"/>
  </cols>
  <sheetData>
    <row r="1" spans="1:11" ht="15.75" customHeight="1" x14ac:dyDescent="0.3">
      <c r="A1" s="1222" t="s">
        <v>983</v>
      </c>
      <c r="B1" s="1222"/>
      <c r="C1" s="1222"/>
      <c r="D1" s="1222"/>
    </row>
    <row r="2" spans="1:11" ht="15.75" customHeight="1" x14ac:dyDescent="0.3">
      <c r="A2" s="1223" t="s">
        <v>1067</v>
      </c>
      <c r="B2" s="1223"/>
      <c r="C2" s="1223"/>
      <c r="D2" s="1223"/>
    </row>
    <row r="3" spans="1:11" ht="21.9" customHeight="1" x14ac:dyDescent="0.3">
      <c r="A3" s="1222" t="s">
        <v>1068</v>
      </c>
      <c r="B3" s="1222"/>
      <c r="C3" s="1222"/>
      <c r="D3" s="1222"/>
    </row>
    <row r="4" spans="1:11" ht="21" customHeight="1" x14ac:dyDescent="0.3">
      <c r="A4" s="697"/>
      <c r="B4" s="697"/>
      <c r="C4" s="696" t="s">
        <v>1069</v>
      </c>
      <c r="D4" s="696" t="s">
        <v>1070</v>
      </c>
      <c r="I4" s="697"/>
      <c r="J4" s="696"/>
      <c r="K4" s="696"/>
    </row>
    <row r="5" spans="1:11" ht="15.75" customHeight="1" x14ac:dyDescent="0.3">
      <c r="A5" s="697"/>
      <c r="B5" s="692" t="s">
        <v>1071</v>
      </c>
      <c r="C5" s="696" t="s">
        <v>1072</v>
      </c>
      <c r="D5" s="696" t="s">
        <v>1073</v>
      </c>
      <c r="I5" s="692"/>
      <c r="J5" s="696"/>
      <c r="K5" s="696"/>
    </row>
    <row r="6" spans="1:11" ht="21" customHeight="1" x14ac:dyDescent="0.3">
      <c r="A6" s="678" t="s">
        <v>1074</v>
      </c>
      <c r="B6" s="692" t="s">
        <v>1075</v>
      </c>
      <c r="C6" s="696" t="s">
        <v>1076</v>
      </c>
      <c r="D6" s="696" t="s">
        <v>1076</v>
      </c>
      <c r="I6" s="692"/>
      <c r="J6" s="696"/>
      <c r="K6" s="696"/>
    </row>
    <row r="7" spans="1:11" ht="21.9" customHeight="1" x14ac:dyDescent="0.3">
      <c r="A7" s="678" t="s">
        <v>1077</v>
      </c>
      <c r="B7" s="682">
        <v>0.59699999999999998</v>
      </c>
      <c r="C7" s="679">
        <v>2015</v>
      </c>
      <c r="D7" s="679">
        <v>2021</v>
      </c>
      <c r="H7" s="684"/>
      <c r="I7" s="680"/>
      <c r="J7" s="691"/>
      <c r="K7" s="691"/>
    </row>
    <row r="8" spans="1:11" ht="15.75" customHeight="1" x14ac:dyDescent="0.3">
      <c r="A8" s="678" t="s">
        <v>1078</v>
      </c>
      <c r="B8" s="682">
        <v>0.52900000000000003</v>
      </c>
      <c r="C8" s="679">
        <v>2017</v>
      </c>
      <c r="D8" s="679">
        <v>2021</v>
      </c>
      <c r="H8" s="684"/>
      <c r="I8" s="680"/>
      <c r="J8" s="691"/>
      <c r="K8" s="691"/>
    </row>
    <row r="9" spans="1:11" ht="15.75" customHeight="1" x14ac:dyDescent="0.3">
      <c r="A9" s="678" t="s">
        <v>1079</v>
      </c>
      <c r="B9" s="682">
        <v>0.63</v>
      </c>
      <c r="C9" s="679">
        <v>2013</v>
      </c>
      <c r="D9" s="679">
        <v>2021</v>
      </c>
      <c r="H9" s="684"/>
      <c r="I9" s="680"/>
      <c r="J9" s="691"/>
      <c r="K9" s="691"/>
    </row>
    <row r="10" spans="1:11" ht="15.75" customHeight="1" x14ac:dyDescent="0.3">
      <c r="A10" s="678" t="s">
        <v>1080</v>
      </c>
      <c r="B10" s="682">
        <v>0.73499999999999999</v>
      </c>
      <c r="C10" s="679">
        <v>2016</v>
      </c>
      <c r="D10" s="679">
        <v>2021</v>
      </c>
      <c r="H10" s="684"/>
      <c r="I10" s="680"/>
      <c r="J10" s="691"/>
      <c r="K10" s="691"/>
    </row>
    <row r="11" spans="1:11" ht="21.9" customHeight="1" x14ac:dyDescent="0.3">
      <c r="A11" s="678" t="s">
        <v>1081</v>
      </c>
      <c r="B11" s="682">
        <v>0.67</v>
      </c>
      <c r="C11" s="679">
        <v>2017</v>
      </c>
      <c r="D11" s="679">
        <v>2021</v>
      </c>
      <c r="H11" s="684"/>
      <c r="I11" s="680"/>
      <c r="J11" s="691"/>
      <c r="K11" s="691"/>
    </row>
    <row r="12" spans="1:11" ht="21" customHeight="1" x14ac:dyDescent="0.3">
      <c r="A12" s="678" t="s">
        <v>1082</v>
      </c>
      <c r="B12" s="682">
        <v>0.72</v>
      </c>
      <c r="C12" s="679">
        <v>2016</v>
      </c>
      <c r="D12" s="679">
        <v>2021</v>
      </c>
      <c r="H12" s="684"/>
      <c r="I12" s="680"/>
      <c r="J12" s="691"/>
      <c r="K12" s="691"/>
    </row>
    <row r="13" spans="1:11" ht="15.75" customHeight="1" x14ac:dyDescent="0.3">
      <c r="A13" s="678" t="s">
        <v>1083</v>
      </c>
      <c r="B13" s="682">
        <v>0.80500000000000005</v>
      </c>
      <c r="C13" s="679">
        <v>2013</v>
      </c>
      <c r="D13" s="679">
        <v>2021</v>
      </c>
      <c r="H13" s="684"/>
      <c r="I13" s="680"/>
      <c r="J13" s="691"/>
      <c r="K13" s="691"/>
    </row>
    <row r="14" spans="1:11" ht="15.75" customHeight="1" x14ac:dyDescent="0.3">
      <c r="A14" s="678" t="s">
        <v>1084</v>
      </c>
      <c r="B14" s="682">
        <v>0.48</v>
      </c>
      <c r="C14" s="679">
        <v>2013</v>
      </c>
      <c r="D14" s="679">
        <v>2021</v>
      </c>
      <c r="H14" s="684"/>
      <c r="I14" s="680"/>
      <c r="J14" s="691"/>
      <c r="K14" s="691"/>
    </row>
    <row r="15" spans="1:11" ht="15.75" customHeight="1" x14ac:dyDescent="0.3">
      <c r="A15" s="678" t="s">
        <v>1085</v>
      </c>
      <c r="B15" s="682">
        <v>0.54</v>
      </c>
      <c r="C15" s="679">
        <v>2015</v>
      </c>
      <c r="D15" s="679">
        <v>2021</v>
      </c>
      <c r="H15" s="684"/>
      <c r="I15" s="680"/>
      <c r="J15" s="691"/>
      <c r="K15" s="683"/>
    </row>
    <row r="16" spans="1:11" ht="21" customHeight="1" x14ac:dyDescent="0.3">
      <c r="A16" s="678" t="s">
        <v>1086</v>
      </c>
      <c r="B16" s="682">
        <v>0.73799999999999999</v>
      </c>
      <c r="C16" s="679">
        <v>2017</v>
      </c>
      <c r="D16" s="679">
        <v>2021</v>
      </c>
      <c r="H16" s="684"/>
      <c r="I16" s="680"/>
      <c r="J16" s="691"/>
      <c r="K16" s="683"/>
    </row>
    <row r="17" spans="1:11" ht="21.9" customHeight="1" x14ac:dyDescent="0.3">
      <c r="A17" s="678" t="s">
        <v>1087</v>
      </c>
      <c r="B17" s="682">
        <v>0.74350000000000005</v>
      </c>
      <c r="C17" s="679">
        <v>2017</v>
      </c>
      <c r="D17" s="679">
        <v>2021</v>
      </c>
      <c r="H17" s="684"/>
      <c r="I17" s="680"/>
      <c r="J17" s="691"/>
      <c r="K17" s="683"/>
    </row>
    <row r="18" spans="1:11" ht="15.75" customHeight="1" x14ac:dyDescent="0.3">
      <c r="A18" s="678" t="s">
        <v>1088</v>
      </c>
      <c r="B18" s="682">
        <v>0.78600000000000003</v>
      </c>
      <c r="C18" s="679">
        <v>2013</v>
      </c>
      <c r="D18" s="679">
        <v>2021</v>
      </c>
      <c r="H18" s="684"/>
      <c r="I18" s="680"/>
      <c r="J18" s="691"/>
      <c r="K18" s="683"/>
    </row>
    <row r="19" spans="1:11" ht="15.75" customHeight="1" x14ac:dyDescent="0.3">
      <c r="A19" s="678" t="s">
        <v>1089</v>
      </c>
      <c r="B19" s="682">
        <v>0.58499999999999996</v>
      </c>
      <c r="C19" s="679">
        <v>2017</v>
      </c>
      <c r="D19" s="679">
        <v>2021</v>
      </c>
      <c r="H19" s="684"/>
      <c r="I19" s="680"/>
      <c r="J19" s="691"/>
      <c r="K19" s="683"/>
    </row>
    <row r="20" spans="1:11" ht="15.75" customHeight="1" x14ac:dyDescent="0.3">
      <c r="A20" s="678" t="s">
        <v>1090</v>
      </c>
      <c r="B20" s="682">
        <v>0.38</v>
      </c>
      <c r="C20" s="679">
        <v>2016</v>
      </c>
      <c r="D20" s="679">
        <v>2021</v>
      </c>
    </row>
    <row r="21" spans="1:11" ht="21.9" customHeight="1" x14ac:dyDescent="0.3">
      <c r="A21" s="686" t="s">
        <v>1091</v>
      </c>
      <c r="B21" s="682">
        <v>0.55500000000000005</v>
      </c>
      <c r="C21" s="679">
        <v>2017</v>
      </c>
      <c r="D21" s="695">
        <v>2021</v>
      </c>
    </row>
    <row r="22" spans="1:11" ht="21" customHeight="1" x14ac:dyDescent="0.3">
      <c r="A22" s="686" t="s">
        <v>1092</v>
      </c>
      <c r="B22" s="682">
        <v>0.8679</v>
      </c>
      <c r="C22" s="679">
        <v>2017</v>
      </c>
      <c r="D22" s="695">
        <v>2021</v>
      </c>
    </row>
    <row r="23" spans="1:11" ht="15.75" customHeight="1" x14ac:dyDescent="0.3">
      <c r="A23" s="686" t="s">
        <v>1093</v>
      </c>
      <c r="B23" s="682">
        <v>0.72</v>
      </c>
      <c r="C23" s="679">
        <v>2013</v>
      </c>
      <c r="D23" s="695">
        <v>2021</v>
      </c>
    </row>
    <row r="24" spans="1:11" ht="15.75" customHeight="1" x14ac:dyDescent="0.3">
      <c r="A24" s="686" t="s">
        <v>1094</v>
      </c>
      <c r="B24" s="682">
        <v>0.5494</v>
      </c>
      <c r="C24" s="679">
        <v>2017</v>
      </c>
      <c r="D24" s="695">
        <v>2021</v>
      </c>
    </row>
    <row r="25" spans="1:11" ht="15.75" customHeight="1" x14ac:dyDescent="0.3">
      <c r="A25" s="686" t="s">
        <v>1095</v>
      </c>
      <c r="B25" s="682">
        <v>0.67</v>
      </c>
      <c r="C25" s="679">
        <v>2017</v>
      </c>
      <c r="D25" s="695">
        <v>2021</v>
      </c>
    </row>
    <row r="26" spans="1:11" ht="21.9" customHeight="1" x14ac:dyDescent="0.3">
      <c r="A26" s="686" t="s">
        <v>1096</v>
      </c>
      <c r="B26" s="682">
        <v>0.66</v>
      </c>
      <c r="C26" s="679">
        <v>2017</v>
      </c>
      <c r="D26" s="695">
        <v>2021</v>
      </c>
    </row>
    <row r="27" spans="1:11" ht="21.9" customHeight="1" x14ac:dyDescent="0.3">
      <c r="A27" s="686" t="s">
        <v>1097</v>
      </c>
      <c r="B27" s="682">
        <v>0.58199999999999996</v>
      </c>
      <c r="C27" s="679">
        <v>2016</v>
      </c>
      <c r="D27" s="695">
        <v>2021</v>
      </c>
    </row>
    <row r="28" spans="1:11" ht="15.75" customHeight="1" x14ac:dyDescent="0.3">
      <c r="A28" s="686" t="s">
        <v>1098</v>
      </c>
      <c r="B28" s="682">
        <v>0.36</v>
      </c>
      <c r="C28" s="679">
        <v>2013</v>
      </c>
      <c r="D28" s="695">
        <v>2021</v>
      </c>
    </row>
    <row r="29" spans="1:11" ht="15.75" customHeight="1" x14ac:dyDescent="0.3">
      <c r="A29" s="686" t="s">
        <v>1099</v>
      </c>
      <c r="B29" s="682">
        <v>0.63600000000000001</v>
      </c>
      <c r="C29" s="679">
        <v>2016</v>
      </c>
      <c r="D29" s="695">
        <v>2021</v>
      </c>
    </row>
    <row r="30" spans="1:11" ht="15.75" customHeight="1" x14ac:dyDescent="0.3">
      <c r="A30" s="686" t="s">
        <v>1100</v>
      </c>
      <c r="B30" s="682">
        <v>0.73089999999999999</v>
      </c>
      <c r="C30" s="679">
        <v>2015</v>
      </c>
      <c r="D30" s="695">
        <v>2021</v>
      </c>
    </row>
    <row r="31" spans="1:11" ht="21" customHeight="1" x14ac:dyDescent="0.3">
      <c r="A31" s="686" t="s">
        <v>1101</v>
      </c>
      <c r="B31" s="682">
        <v>0.85499999999999998</v>
      </c>
      <c r="C31" s="679">
        <v>2013</v>
      </c>
      <c r="D31" s="695">
        <v>2021</v>
      </c>
    </row>
    <row r="32" spans="1:11" ht="21.9" customHeight="1" x14ac:dyDescent="0.3">
      <c r="A32" s="698" t="s">
        <v>1102</v>
      </c>
      <c r="B32" s="677">
        <v>0.55000000000000004</v>
      </c>
      <c r="C32" s="694">
        <v>2018</v>
      </c>
      <c r="D32" s="694">
        <v>2022</v>
      </c>
    </row>
    <row r="33" spans="1:4" ht="15.75" customHeight="1" x14ac:dyDescent="0.3">
      <c r="A33" s="698" t="s">
        <v>1103</v>
      </c>
      <c r="B33" s="677">
        <v>0.82</v>
      </c>
      <c r="C33" s="694">
        <v>2015</v>
      </c>
      <c r="D33" s="694">
        <v>2022</v>
      </c>
    </row>
    <row r="34" spans="1:4" ht="15.75" customHeight="1" x14ac:dyDescent="0.3">
      <c r="A34" s="698" t="s">
        <v>1104</v>
      </c>
      <c r="B34" s="677">
        <v>0.755</v>
      </c>
      <c r="C34" s="694">
        <v>2014</v>
      </c>
      <c r="D34" s="694">
        <v>2022</v>
      </c>
    </row>
    <row r="35" spans="1:4" ht="15.75" customHeight="1" x14ac:dyDescent="0.3">
      <c r="A35" s="698" t="s">
        <v>1105</v>
      </c>
      <c r="B35" s="677">
        <v>0.5494</v>
      </c>
      <c r="C35" s="694">
        <v>2016</v>
      </c>
      <c r="D35" s="694">
        <v>2022</v>
      </c>
    </row>
    <row r="36" spans="1:4" ht="21.9" customHeight="1" x14ac:dyDescent="0.3">
      <c r="A36" s="698" t="s">
        <v>1106</v>
      </c>
      <c r="B36" s="677">
        <v>0.73499999999999999</v>
      </c>
      <c r="C36" s="694">
        <v>2017</v>
      </c>
      <c r="D36" s="694">
        <v>2022</v>
      </c>
    </row>
    <row r="37" spans="1:4" ht="21" customHeight="1" x14ac:dyDescent="0.3">
      <c r="A37" s="698" t="s">
        <v>1107</v>
      </c>
      <c r="B37" s="677">
        <v>0.73050000000000004</v>
      </c>
      <c r="C37" s="694">
        <v>2017</v>
      </c>
      <c r="D37" s="694">
        <v>2022</v>
      </c>
    </row>
    <row r="38" spans="1:4" ht="15.75" customHeight="1" x14ac:dyDescent="0.3">
      <c r="A38" s="698" t="s">
        <v>1108</v>
      </c>
      <c r="B38" s="677">
        <v>0.75</v>
      </c>
      <c r="C38" s="694">
        <v>2017</v>
      </c>
      <c r="D38" s="694">
        <v>2022</v>
      </c>
    </row>
    <row r="39" spans="1:4" ht="15.75" customHeight="1" x14ac:dyDescent="0.3">
      <c r="A39" s="698" t="s">
        <v>1109</v>
      </c>
      <c r="B39" s="677">
        <v>0.75</v>
      </c>
      <c r="C39" s="694">
        <v>2014</v>
      </c>
      <c r="D39" s="694">
        <v>2022</v>
      </c>
    </row>
    <row r="40" spans="1:4" ht="15.75" customHeight="1" x14ac:dyDescent="0.3">
      <c r="A40" s="699" t="s">
        <v>1110</v>
      </c>
      <c r="B40" s="677">
        <v>0.77</v>
      </c>
      <c r="C40" s="694">
        <v>2014</v>
      </c>
      <c r="D40" s="681">
        <v>2022</v>
      </c>
    </row>
    <row r="41" spans="1:4" ht="21" customHeight="1" x14ac:dyDescent="0.3">
      <c r="A41" s="699" t="s">
        <v>1111</v>
      </c>
      <c r="B41" s="677">
        <v>0.57999999999999996</v>
      </c>
      <c r="C41" s="694">
        <v>2018</v>
      </c>
      <c r="D41" s="681">
        <v>2022</v>
      </c>
    </row>
    <row r="42" spans="1:4" ht="21.9" customHeight="1" x14ac:dyDescent="0.3">
      <c r="A42" s="699" t="s">
        <v>1112</v>
      </c>
      <c r="B42" s="677">
        <v>0.70499999999999996</v>
      </c>
      <c r="C42" s="694">
        <v>2018</v>
      </c>
      <c r="D42" s="681">
        <v>2022</v>
      </c>
    </row>
    <row r="43" spans="1:4" ht="15.75" customHeight="1" x14ac:dyDescent="0.3">
      <c r="A43" s="699" t="s">
        <v>1113</v>
      </c>
      <c r="B43" s="677">
        <v>0.77</v>
      </c>
      <c r="C43" s="694">
        <v>2014</v>
      </c>
      <c r="D43" s="681">
        <v>2022</v>
      </c>
    </row>
    <row r="44" spans="1:4" ht="15.75" customHeight="1" x14ac:dyDescent="0.3">
      <c r="A44" s="699" t="s">
        <v>1114</v>
      </c>
      <c r="B44" s="677">
        <v>0.40300000000000002</v>
      </c>
      <c r="C44" s="694">
        <v>2014</v>
      </c>
      <c r="D44" s="681">
        <v>2022</v>
      </c>
    </row>
    <row r="45" spans="1:4" ht="15.75" customHeight="1" x14ac:dyDescent="0.3">
      <c r="A45" s="678" t="s">
        <v>1115</v>
      </c>
      <c r="B45" s="682">
        <v>0.79</v>
      </c>
      <c r="C45" s="679">
        <v>2015</v>
      </c>
      <c r="D45" s="679">
        <v>2023</v>
      </c>
    </row>
    <row r="46" spans="1:4" ht="21.9" customHeight="1" x14ac:dyDescent="0.3">
      <c r="A46" s="678" t="s">
        <v>1116</v>
      </c>
      <c r="B46" s="682">
        <v>0.443</v>
      </c>
      <c r="C46" s="679">
        <v>2019</v>
      </c>
      <c r="D46" s="679">
        <v>2023</v>
      </c>
    </row>
    <row r="47" spans="1:4" ht="21" customHeight="1" x14ac:dyDescent="0.3">
      <c r="A47" s="678" t="s">
        <v>1117</v>
      </c>
      <c r="B47" s="682">
        <v>0.48499999999999999</v>
      </c>
      <c r="C47" s="679">
        <v>2019</v>
      </c>
      <c r="D47" s="679">
        <v>2023</v>
      </c>
    </row>
    <row r="48" spans="1:4" ht="15.75" customHeight="1" x14ac:dyDescent="0.3">
      <c r="A48" s="678" t="s">
        <v>1118</v>
      </c>
      <c r="B48" s="682">
        <v>0.74</v>
      </c>
      <c r="C48" s="679">
        <v>2015</v>
      </c>
      <c r="D48" s="679">
        <v>2023</v>
      </c>
    </row>
    <row r="49" spans="1:4" ht="15.75" customHeight="1" x14ac:dyDescent="0.3">
      <c r="A49" s="678" t="s">
        <v>1119</v>
      </c>
      <c r="B49" s="682">
        <v>0.57499999999999996</v>
      </c>
      <c r="C49" s="679">
        <v>2019</v>
      </c>
      <c r="D49" s="679">
        <v>2023</v>
      </c>
    </row>
    <row r="50" spans="1:4" ht="15.75" customHeight="1" x14ac:dyDescent="0.3">
      <c r="A50" s="678" t="s">
        <v>1120</v>
      </c>
      <c r="B50" s="682">
        <v>0.71220000000000006</v>
      </c>
      <c r="C50" s="679">
        <v>2019</v>
      </c>
      <c r="D50" s="679">
        <v>2023</v>
      </c>
    </row>
    <row r="51" spans="1:4" ht="21.9" customHeight="1" x14ac:dyDescent="0.3">
      <c r="A51" s="678" t="s">
        <v>1121</v>
      </c>
      <c r="B51" s="682">
        <v>0.83</v>
      </c>
      <c r="C51" s="679">
        <v>2019</v>
      </c>
      <c r="D51" s="679">
        <v>2023</v>
      </c>
    </row>
    <row r="52" spans="1:4" ht="21.9" customHeight="1" x14ac:dyDescent="0.3">
      <c r="A52" s="678" t="s">
        <v>1122</v>
      </c>
      <c r="B52" s="682">
        <v>0.65</v>
      </c>
      <c r="C52" s="679">
        <v>2019</v>
      </c>
      <c r="D52" s="679">
        <v>2023</v>
      </c>
    </row>
    <row r="53" spans="1:4" ht="15.75" customHeight="1" x14ac:dyDescent="0.3">
      <c r="A53" s="678" t="s">
        <v>1123</v>
      </c>
      <c r="B53" s="682">
        <v>0.56100000000000005</v>
      </c>
      <c r="C53" s="679">
        <v>2019</v>
      </c>
      <c r="D53" s="679">
        <v>2023</v>
      </c>
    </row>
    <row r="54" spans="1:4" ht="15.75" customHeight="1" x14ac:dyDescent="0.3">
      <c r="A54" s="678" t="s">
        <v>1124</v>
      </c>
      <c r="B54" s="682">
        <v>0.77</v>
      </c>
      <c r="C54" s="679">
        <v>2017</v>
      </c>
      <c r="D54" s="679">
        <v>2023</v>
      </c>
    </row>
    <row r="55" spans="1:4" ht="15.75" customHeight="1" x14ac:dyDescent="0.3">
      <c r="A55" s="678" t="s">
        <v>1125</v>
      </c>
      <c r="B55" s="682">
        <v>0.53749999999999998</v>
      </c>
      <c r="C55" s="679">
        <v>2019</v>
      </c>
      <c r="D55" s="679">
        <v>2023</v>
      </c>
    </row>
    <row r="56" spans="1:4" ht="36" customHeight="1" x14ac:dyDescent="0.3">
      <c r="A56" s="686" t="s">
        <v>1126</v>
      </c>
      <c r="B56" s="682">
        <v>0.77500000000000002</v>
      </c>
      <c r="C56" s="679">
        <v>2019</v>
      </c>
      <c r="D56" s="695">
        <v>2023</v>
      </c>
    </row>
    <row r="57" spans="1:4" ht="36" customHeight="1" x14ac:dyDescent="0.3">
      <c r="A57" s="686" t="s">
        <v>1127</v>
      </c>
      <c r="B57" s="682">
        <v>0.59899999999999998</v>
      </c>
      <c r="C57" s="679">
        <v>2019</v>
      </c>
      <c r="D57" s="695">
        <v>2023</v>
      </c>
    </row>
    <row r="58" spans="1:4" ht="36" customHeight="1" x14ac:dyDescent="0.3">
      <c r="A58" s="686" t="s">
        <v>1128</v>
      </c>
      <c r="B58" s="682">
        <v>0.37469999999999998</v>
      </c>
      <c r="C58" s="679">
        <v>2019</v>
      </c>
      <c r="D58" s="695">
        <v>2023</v>
      </c>
    </row>
    <row r="59" spans="1:4" ht="36" customHeight="1" x14ac:dyDescent="0.3">
      <c r="A59" s="686" t="s">
        <v>1129</v>
      </c>
      <c r="B59" s="682">
        <v>0.58750000000000002</v>
      </c>
      <c r="C59" s="679">
        <v>2019</v>
      </c>
      <c r="D59" s="695">
        <v>2023</v>
      </c>
    </row>
    <row r="60" spans="1:4" ht="36" customHeight="1" x14ac:dyDescent="0.3">
      <c r="A60" s="686" t="s">
        <v>1130</v>
      </c>
      <c r="B60" s="682">
        <v>0.6169</v>
      </c>
      <c r="C60" s="679">
        <v>2019</v>
      </c>
      <c r="D60" s="695">
        <v>2023</v>
      </c>
    </row>
    <row r="61" spans="1:4" ht="36" customHeight="1" x14ac:dyDescent="0.3">
      <c r="A61" s="686" t="s">
        <v>1131</v>
      </c>
      <c r="B61" s="682">
        <v>0.51</v>
      </c>
      <c r="C61" s="679">
        <v>2019</v>
      </c>
      <c r="D61" s="695">
        <v>2023</v>
      </c>
    </row>
    <row r="62" spans="1:4" ht="36" customHeight="1" x14ac:dyDescent="0.3">
      <c r="A62" s="686" t="s">
        <v>1132</v>
      </c>
      <c r="B62" s="682">
        <v>0.91</v>
      </c>
      <c r="C62" s="679">
        <v>2015</v>
      </c>
      <c r="D62" s="695">
        <v>2023</v>
      </c>
    </row>
    <row r="63" spans="1:4" ht="36" customHeight="1" x14ac:dyDescent="0.3">
      <c r="A63" s="686" t="s">
        <v>1133</v>
      </c>
      <c r="B63" s="682">
        <v>0.65749999999999997</v>
      </c>
      <c r="C63" s="679">
        <v>2019</v>
      </c>
      <c r="D63" s="695">
        <v>2023</v>
      </c>
    </row>
    <row r="64" spans="1:4" ht="36" customHeight="1" x14ac:dyDescent="0.3">
      <c r="A64" s="686" t="s">
        <v>1134</v>
      </c>
      <c r="B64" s="682">
        <v>0.59699999999999998</v>
      </c>
      <c r="C64" s="679">
        <v>2019</v>
      </c>
      <c r="D64" s="695">
        <v>2023</v>
      </c>
    </row>
    <row r="65" spans="1:4" ht="36" customHeight="1" x14ac:dyDescent="0.3">
      <c r="A65" s="686" t="s">
        <v>1135</v>
      </c>
      <c r="B65" s="682">
        <v>0.66</v>
      </c>
      <c r="C65" s="679">
        <v>2019</v>
      </c>
      <c r="D65" s="695">
        <v>2023</v>
      </c>
    </row>
    <row r="66" spans="1:4" ht="36" customHeight="1" x14ac:dyDescent="0.3">
      <c r="A66" s="686" t="s">
        <v>1136</v>
      </c>
      <c r="B66" s="682">
        <v>0.66</v>
      </c>
      <c r="C66" s="679">
        <v>2017</v>
      </c>
      <c r="D66" s="695">
        <v>2023</v>
      </c>
    </row>
    <row r="67" spans="1:4" ht="36" customHeight="1" x14ac:dyDescent="0.3">
      <c r="A67" s="678" t="s">
        <v>1137</v>
      </c>
      <c r="B67" s="682">
        <v>0.74</v>
      </c>
      <c r="C67" s="679">
        <v>2020</v>
      </c>
      <c r="D67" s="679">
        <v>2024</v>
      </c>
    </row>
    <row r="68" spans="1:4" ht="36" customHeight="1" x14ac:dyDescent="0.3">
      <c r="A68" s="678" t="s">
        <v>1138</v>
      </c>
      <c r="B68" s="682">
        <v>0.33</v>
      </c>
      <c r="C68" s="679">
        <v>2020</v>
      </c>
      <c r="D68" s="679">
        <v>2024</v>
      </c>
    </row>
    <row r="69" spans="1:4" ht="36" customHeight="1" x14ac:dyDescent="0.3">
      <c r="A69" s="678" t="s">
        <v>1139</v>
      </c>
      <c r="B69" s="682">
        <v>0.80500000000000005</v>
      </c>
      <c r="C69" s="679">
        <v>2018</v>
      </c>
      <c r="D69" s="679">
        <v>2024</v>
      </c>
    </row>
    <row r="70" spans="1:4" ht="36" customHeight="1" x14ac:dyDescent="0.3">
      <c r="A70" s="678" t="s">
        <v>1140</v>
      </c>
      <c r="B70" s="682">
        <v>0.76</v>
      </c>
      <c r="C70" s="679">
        <v>2020</v>
      </c>
      <c r="D70" s="679">
        <v>2024</v>
      </c>
    </row>
    <row r="71" spans="1:4" ht="36" customHeight="1" x14ac:dyDescent="0.3">
      <c r="A71" s="686" t="s">
        <v>1141</v>
      </c>
      <c r="B71" s="682">
        <v>0.59</v>
      </c>
      <c r="C71" s="679">
        <v>2016</v>
      </c>
      <c r="D71" s="695">
        <v>2024</v>
      </c>
    </row>
    <row r="72" spans="1:4" ht="36" customHeight="1" x14ac:dyDescent="0.3">
      <c r="A72" s="686" t="s">
        <v>1142</v>
      </c>
      <c r="B72" s="682">
        <v>0.67969999999999997</v>
      </c>
      <c r="C72" s="679">
        <v>2020</v>
      </c>
      <c r="D72" s="695">
        <v>2024</v>
      </c>
    </row>
    <row r="73" spans="1:4" ht="36" customHeight="1" x14ac:dyDescent="0.3">
      <c r="A73" s="686" t="s">
        <v>1143</v>
      </c>
      <c r="B73" s="682">
        <v>0.83</v>
      </c>
      <c r="C73" s="679">
        <v>2016</v>
      </c>
      <c r="D73" s="695">
        <v>2024</v>
      </c>
    </row>
    <row r="74" spans="1:4" ht="36" customHeight="1" x14ac:dyDescent="0.3">
      <c r="A74" s="686" t="s">
        <v>1144</v>
      </c>
      <c r="B74" s="682">
        <v>0.77</v>
      </c>
      <c r="C74" s="679">
        <v>2018</v>
      </c>
      <c r="D74" s="695">
        <v>2024</v>
      </c>
    </row>
    <row r="75" spans="1:4" ht="36" customHeight="1" x14ac:dyDescent="0.3">
      <c r="A75" s="686" t="s">
        <v>1145</v>
      </c>
      <c r="B75" s="682">
        <v>0.89</v>
      </c>
      <c r="C75" s="679">
        <v>2016</v>
      </c>
      <c r="D75" s="695">
        <v>2024</v>
      </c>
    </row>
    <row r="76" spans="1:4" ht="36" customHeight="1" x14ac:dyDescent="0.3">
      <c r="A76" s="686" t="s">
        <v>1146</v>
      </c>
      <c r="B76" s="682">
        <v>0.6</v>
      </c>
      <c r="C76" s="679">
        <v>2020</v>
      </c>
      <c r="D76" s="695">
        <v>2024</v>
      </c>
    </row>
    <row r="77" spans="1:4" ht="36" customHeight="1" x14ac:dyDescent="0.3">
      <c r="A77" s="686" t="s">
        <v>1147</v>
      </c>
      <c r="B77" s="682">
        <v>0.73</v>
      </c>
      <c r="C77" s="679">
        <v>2016</v>
      </c>
      <c r="D77" s="695">
        <v>2024</v>
      </c>
    </row>
    <row r="78" spans="1:4" ht="36" customHeight="1" x14ac:dyDescent="0.3">
      <c r="A78" s="686" t="s">
        <v>1148</v>
      </c>
      <c r="B78" s="682">
        <v>0.6</v>
      </c>
      <c r="C78" s="679">
        <v>2016</v>
      </c>
      <c r="D78" s="695">
        <v>2024</v>
      </c>
    </row>
    <row r="79" spans="1:4" ht="36" customHeight="1" x14ac:dyDescent="0.3">
      <c r="A79" s="678" t="s">
        <v>1149</v>
      </c>
      <c r="B79" s="682">
        <v>0.67</v>
      </c>
      <c r="C79" s="679">
        <v>2017</v>
      </c>
      <c r="D79" s="679">
        <v>2025</v>
      </c>
    </row>
    <row r="80" spans="1:4" ht="36" customHeight="1" x14ac:dyDescent="0.3">
      <c r="A80" s="678" t="s">
        <v>1150</v>
      </c>
      <c r="B80" s="682">
        <v>0.69499999999999995</v>
      </c>
      <c r="C80" s="679">
        <v>2019</v>
      </c>
      <c r="D80" s="679">
        <v>2025</v>
      </c>
    </row>
    <row r="81" spans="1:4" ht="36" customHeight="1" x14ac:dyDescent="0.3">
      <c r="A81" s="678" t="s">
        <v>1151</v>
      </c>
      <c r="B81" s="682">
        <v>0.79900000000000004</v>
      </c>
      <c r="C81" s="679">
        <v>2017</v>
      </c>
      <c r="D81" s="679">
        <v>2025</v>
      </c>
    </row>
    <row r="82" spans="1:4" ht="36" customHeight="1" x14ac:dyDescent="0.3">
      <c r="A82" s="678" t="s">
        <v>1152</v>
      </c>
      <c r="B82" s="682">
        <v>0.40050000000000002</v>
      </c>
      <c r="C82" s="679">
        <v>2020</v>
      </c>
      <c r="D82" s="679">
        <v>2025</v>
      </c>
    </row>
    <row r="83" spans="1:4" ht="36" customHeight="1" x14ac:dyDescent="0.3">
      <c r="A83" s="678" t="s">
        <v>1153</v>
      </c>
      <c r="B83" s="682">
        <v>0.95</v>
      </c>
      <c r="C83" s="679">
        <v>2017</v>
      </c>
      <c r="D83" s="679">
        <v>2025</v>
      </c>
    </row>
    <row r="84" spans="1:4" ht="36" customHeight="1" x14ac:dyDescent="0.3">
      <c r="A84" s="678" t="s">
        <v>1154</v>
      </c>
      <c r="B84" s="682">
        <v>0.79</v>
      </c>
      <c r="C84" s="679">
        <v>2017</v>
      </c>
      <c r="D84" s="679">
        <v>2025</v>
      </c>
    </row>
    <row r="85" spans="1:4" ht="36" customHeight="1" x14ac:dyDescent="0.3">
      <c r="A85" s="686" t="s">
        <v>1155</v>
      </c>
      <c r="B85" s="682">
        <v>0.76</v>
      </c>
      <c r="C85" s="679">
        <v>2019</v>
      </c>
      <c r="D85" s="695">
        <v>2025</v>
      </c>
    </row>
    <row r="86" spans="1:4" ht="36" customHeight="1" x14ac:dyDescent="0.3">
      <c r="A86" s="686" t="s">
        <v>1156</v>
      </c>
      <c r="B86" s="682">
        <v>0.84499999999999997</v>
      </c>
      <c r="C86" s="679">
        <v>2017</v>
      </c>
      <c r="D86" s="695">
        <v>2025</v>
      </c>
    </row>
    <row r="87" spans="1:4" ht="36" customHeight="1" x14ac:dyDescent="0.3">
      <c r="A87" s="686" t="s">
        <v>1157</v>
      </c>
      <c r="B87" s="682">
        <v>0.81</v>
      </c>
      <c r="C87" s="679">
        <v>2017</v>
      </c>
      <c r="D87" s="695">
        <v>2025</v>
      </c>
    </row>
    <row r="88" spans="1:4" ht="36" customHeight="1" x14ac:dyDescent="0.3">
      <c r="A88" s="686" t="s">
        <v>1158</v>
      </c>
      <c r="B88" s="682">
        <v>0.67</v>
      </c>
      <c r="C88" s="679">
        <v>2017</v>
      </c>
      <c r="D88" s="695">
        <v>2025</v>
      </c>
    </row>
    <row r="89" spans="1:4" ht="36" customHeight="1" x14ac:dyDescent="0.3">
      <c r="A89" s="686" t="s">
        <v>1159</v>
      </c>
      <c r="B89" s="682">
        <v>0.63270000000000004</v>
      </c>
      <c r="C89" s="679">
        <v>2019</v>
      </c>
      <c r="D89" s="695">
        <v>2025</v>
      </c>
    </row>
    <row r="90" spans="1:4" ht="36" customHeight="1" x14ac:dyDescent="0.3">
      <c r="A90" s="686" t="s">
        <v>1160</v>
      </c>
      <c r="B90" s="682">
        <v>0.94</v>
      </c>
      <c r="C90" s="679">
        <v>2017</v>
      </c>
      <c r="D90" s="695">
        <v>2025</v>
      </c>
    </row>
    <row r="91" spans="1:4" ht="36" customHeight="1" x14ac:dyDescent="0.3">
      <c r="A91" s="686" t="s">
        <v>1161</v>
      </c>
      <c r="B91" s="682">
        <v>0.81</v>
      </c>
      <c r="C91" s="679">
        <v>2017</v>
      </c>
      <c r="D91" s="695">
        <v>2025</v>
      </c>
    </row>
    <row r="92" spans="1:4" ht="36" customHeight="1" x14ac:dyDescent="0.3">
      <c r="A92" s="678" t="s">
        <v>1162</v>
      </c>
      <c r="B92" s="682">
        <v>0.77700000000000002</v>
      </c>
      <c r="C92" s="679">
        <v>2018</v>
      </c>
      <c r="D92" s="679">
        <v>2026</v>
      </c>
    </row>
    <row r="93" spans="1:4" ht="36" customHeight="1" x14ac:dyDescent="0.3">
      <c r="A93" s="678" t="s">
        <v>1163</v>
      </c>
      <c r="B93" s="682">
        <v>0.63500000000000001</v>
      </c>
      <c r="C93" s="679">
        <v>2018</v>
      </c>
      <c r="D93" s="679">
        <v>2026</v>
      </c>
    </row>
    <row r="94" spans="1:4" ht="36" customHeight="1" x14ac:dyDescent="0.3">
      <c r="A94" s="678" t="s">
        <v>1164</v>
      </c>
      <c r="B94" s="682">
        <v>0.43</v>
      </c>
      <c r="C94" s="679">
        <v>2018</v>
      </c>
      <c r="D94" s="679">
        <v>2026</v>
      </c>
    </row>
    <row r="95" spans="1:4" ht="36" customHeight="1" x14ac:dyDescent="0.3">
      <c r="A95" s="678" t="s">
        <v>1165</v>
      </c>
      <c r="B95" s="682">
        <v>0.84</v>
      </c>
      <c r="C95" s="679">
        <v>2018</v>
      </c>
      <c r="D95" s="679">
        <v>2026</v>
      </c>
    </row>
    <row r="96" spans="1:4" ht="36" customHeight="1" x14ac:dyDescent="0.3">
      <c r="A96" s="678" t="s">
        <v>1166</v>
      </c>
      <c r="B96" s="682">
        <v>0.84</v>
      </c>
      <c r="C96" s="679">
        <v>2019</v>
      </c>
      <c r="D96" s="679">
        <v>2027</v>
      </c>
    </row>
    <row r="97" spans="1:4" ht="36" customHeight="1" x14ac:dyDescent="0.3">
      <c r="A97" s="686" t="s">
        <v>1167</v>
      </c>
      <c r="B97" s="682">
        <v>0.64500000000000002</v>
      </c>
      <c r="C97" s="679">
        <v>2019</v>
      </c>
      <c r="D97" s="695">
        <v>2027</v>
      </c>
    </row>
    <row r="98" spans="1:4" ht="36" customHeight="1" x14ac:dyDescent="0.3">
      <c r="A98" s="686" t="s">
        <v>1168</v>
      </c>
      <c r="B98" s="682">
        <v>0.69499999999999995</v>
      </c>
      <c r="C98" s="679">
        <v>2019</v>
      </c>
      <c r="D98" s="695">
        <v>2027</v>
      </c>
    </row>
    <row r="99" spans="1:4" ht="36" customHeight="1" x14ac:dyDescent="0.3">
      <c r="A99" s="686" t="s">
        <v>1169</v>
      </c>
      <c r="B99" s="682">
        <v>0.82499999999999996</v>
      </c>
      <c r="C99" s="679">
        <v>2019</v>
      </c>
      <c r="D99" s="695">
        <v>2027</v>
      </c>
    </row>
    <row r="100" spans="1:4" ht="36" customHeight="1" x14ac:dyDescent="0.3">
      <c r="A100" s="686" t="s">
        <v>1170</v>
      </c>
      <c r="B100" s="682">
        <v>1</v>
      </c>
      <c r="C100" s="679">
        <v>2019</v>
      </c>
      <c r="D100" s="695">
        <v>2027</v>
      </c>
    </row>
    <row r="101" spans="1:4" ht="36" customHeight="1" x14ac:dyDescent="0.3">
      <c r="A101" s="686" t="s">
        <v>1171</v>
      </c>
      <c r="B101" s="682">
        <v>0.66349999999999998</v>
      </c>
      <c r="C101" s="679">
        <v>2019</v>
      </c>
      <c r="D101" s="695">
        <v>2027</v>
      </c>
    </row>
    <row r="102" spans="1:4" ht="36" customHeight="1" x14ac:dyDescent="0.3">
      <c r="A102" s="678" t="s">
        <v>1172</v>
      </c>
      <c r="B102" s="682">
        <v>0.86499999999999999</v>
      </c>
      <c r="C102" s="679">
        <v>2020</v>
      </c>
      <c r="D102" s="679">
        <v>2028</v>
      </c>
    </row>
    <row r="103" spans="1:4" ht="36" customHeight="1" x14ac:dyDescent="0.3">
      <c r="A103" s="678" t="s">
        <v>1173</v>
      </c>
      <c r="B103" s="682">
        <v>0.46</v>
      </c>
      <c r="C103" s="679">
        <v>2020</v>
      </c>
      <c r="D103" s="679">
        <v>2028</v>
      </c>
    </row>
    <row r="104" spans="1:4" ht="36" customHeight="1" x14ac:dyDescent="0.3">
      <c r="A104" s="686" t="s">
        <v>1174</v>
      </c>
      <c r="B104" s="682">
        <v>0.5</v>
      </c>
      <c r="C104" s="679">
        <v>2020</v>
      </c>
      <c r="D104" s="695">
        <v>2028</v>
      </c>
    </row>
    <row r="105" spans="1:4" ht="36" customHeight="1" x14ac:dyDescent="0.3">
      <c r="A105" s="686" t="s">
        <v>1175</v>
      </c>
      <c r="B105" s="682">
        <v>0.62</v>
      </c>
      <c r="C105" s="679">
        <v>2020</v>
      </c>
      <c r="D105" s="695">
        <v>2028</v>
      </c>
    </row>
    <row r="106" spans="1:4" ht="36" customHeight="1" x14ac:dyDescent="0.3">
      <c r="A106" s="686" t="s">
        <v>1176</v>
      </c>
      <c r="B106" s="682">
        <v>0.625</v>
      </c>
      <c r="C106" s="679">
        <v>2020</v>
      </c>
      <c r="D106" s="695">
        <v>2028</v>
      </c>
    </row>
    <row r="107" spans="1:4" ht="36" customHeight="1" x14ac:dyDescent="0.3">
      <c r="A107" s="678"/>
      <c r="B107" s="682"/>
      <c r="C107" s="679"/>
      <c r="D107" s="679"/>
    </row>
    <row r="108" spans="1:4" ht="36" customHeight="1" x14ac:dyDescent="0.3">
      <c r="A108" s="678"/>
      <c r="B108" s="682"/>
      <c r="C108" s="679"/>
      <c r="D108" s="679"/>
    </row>
    <row r="109" spans="1:4" ht="36" customHeight="1" x14ac:dyDescent="0.3">
      <c r="A109" s="678"/>
      <c r="B109" s="682"/>
      <c r="C109" s="679"/>
      <c r="D109" s="679"/>
    </row>
    <row r="110" spans="1:4" ht="36" customHeight="1" x14ac:dyDescent="0.3">
      <c r="A110" s="678"/>
      <c r="B110" s="682"/>
      <c r="C110" s="679"/>
      <c r="D110" s="679"/>
    </row>
    <row r="111" spans="1:4" ht="36" customHeight="1" x14ac:dyDescent="0.3">
      <c r="A111" s="678"/>
      <c r="B111" s="682"/>
      <c r="C111" s="679"/>
      <c r="D111" s="679"/>
    </row>
    <row r="112" spans="1:4" ht="36" customHeight="1" x14ac:dyDescent="0.3">
      <c r="A112" s="1224" t="s">
        <v>1177</v>
      </c>
      <c r="B112" s="1224"/>
      <c r="C112" s="1224"/>
      <c r="D112" s="1224"/>
    </row>
    <row r="113" spans="1:4" ht="15.75" customHeight="1" x14ac:dyDescent="0.3">
      <c r="A113" s="1225" t="s">
        <v>1178</v>
      </c>
      <c r="B113" s="1225"/>
      <c r="C113" s="1225"/>
      <c r="D113" s="1225"/>
    </row>
    <row r="114" spans="1:4" ht="15.75" customHeight="1" x14ac:dyDescent="0.3">
      <c r="A114" s="1221" t="s">
        <v>1179</v>
      </c>
      <c r="B114" s="1221"/>
      <c r="C114" s="1221"/>
      <c r="D114" s="1221"/>
    </row>
    <row r="115" spans="1:4" ht="15.75" customHeight="1" x14ac:dyDescent="0.3">
      <c r="A115" s="1225" t="s">
        <v>1180</v>
      </c>
      <c r="B115" s="1225"/>
      <c r="C115" s="1225"/>
      <c r="D115" s="1225"/>
    </row>
    <row r="116" spans="1:4" ht="21.9" customHeight="1" x14ac:dyDescent="0.3">
      <c r="A116" s="1226" t="s">
        <v>1181</v>
      </c>
      <c r="B116" s="1226"/>
      <c r="C116" s="1226"/>
      <c r="D116" s="1226"/>
    </row>
    <row r="117" spans="1:4" ht="21" customHeight="1" x14ac:dyDescent="0.3">
      <c r="A117" s="1222" t="s">
        <v>1182</v>
      </c>
      <c r="B117" s="1222"/>
      <c r="C117" s="1222"/>
      <c r="D117" s="1222"/>
    </row>
    <row r="118" spans="1:4" ht="15.75" customHeight="1" x14ac:dyDescent="0.3">
      <c r="A118" s="1222" t="s">
        <v>1183</v>
      </c>
      <c r="B118" s="1222"/>
      <c r="C118" s="1222"/>
      <c r="D118" s="1222"/>
    </row>
    <row r="119" spans="1:4" ht="15.75" customHeight="1" x14ac:dyDescent="0.3">
      <c r="A119" s="1222" t="s">
        <v>1184</v>
      </c>
      <c r="B119" s="1222"/>
      <c r="C119" s="1222"/>
      <c r="D119" s="122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87"/>
  <sheetViews>
    <sheetView workbookViewId="0">
      <selection activeCell="A2" sqref="A2:H2"/>
    </sheetView>
  </sheetViews>
  <sheetFormatPr defaultColWidth="9.109375" defaultRowHeight="14.4" x14ac:dyDescent="0.3"/>
  <cols>
    <col min="1" max="1" width="28.5546875" style="702" customWidth="1"/>
    <col min="2" max="16384" width="9.109375" style="702"/>
  </cols>
  <sheetData>
    <row r="1" spans="1:21" x14ac:dyDescent="0.3">
      <c r="A1" s="702" t="s">
        <v>1502</v>
      </c>
      <c r="M1" s="1010" t="s">
        <v>1677</v>
      </c>
      <c r="N1" s="1010"/>
      <c r="O1" s="1010"/>
      <c r="P1" s="1010"/>
      <c r="Q1" s="1010"/>
      <c r="R1" s="1010" t="s">
        <v>1678</v>
      </c>
      <c r="S1" s="1010"/>
      <c r="T1" s="1010"/>
      <c r="U1" s="1010"/>
    </row>
    <row r="2" spans="1:21" x14ac:dyDescent="0.3">
      <c r="A2" s="99" t="s">
        <v>1576</v>
      </c>
      <c r="B2" s="969">
        <v>601754</v>
      </c>
      <c r="C2" s="690"/>
      <c r="D2" s="56"/>
      <c r="E2" s="56"/>
      <c r="G2" s="702">
        <v>100</v>
      </c>
      <c r="I2" s="702" t="s">
        <v>577</v>
      </c>
      <c r="M2" s="1081" t="s">
        <v>1576</v>
      </c>
      <c r="N2" s="1082">
        <v>601754</v>
      </c>
      <c r="O2" s="1010" t="b">
        <f>EXACT(A2,M2)</f>
        <v>1</v>
      </c>
      <c r="P2" s="1010" t="b">
        <f>EXACT(B2,N2)</f>
        <v>1</v>
      </c>
      <c r="Q2" s="1010"/>
      <c r="R2" s="1084" t="s">
        <v>1576</v>
      </c>
      <c r="S2" s="975">
        <v>601754</v>
      </c>
      <c r="T2" s="1010" t="b">
        <f>EXACT(M2,R2)</f>
        <v>1</v>
      </c>
      <c r="U2" s="1010" t="b">
        <f>EXACT(N2,S2)</f>
        <v>1</v>
      </c>
    </row>
    <row r="3" spans="1:21" ht="15" customHeight="1" x14ac:dyDescent="0.3">
      <c r="A3" s="99" t="s">
        <v>1577</v>
      </c>
      <c r="B3" s="969">
        <v>601757</v>
      </c>
      <c r="C3" s="690"/>
      <c r="D3" s="55"/>
      <c r="E3" s="56"/>
      <c r="G3" s="702">
        <v>200</v>
      </c>
      <c r="I3" s="702" t="s">
        <v>578</v>
      </c>
      <c r="M3" s="1081" t="s">
        <v>1577</v>
      </c>
      <c r="N3" s="1083">
        <v>601757</v>
      </c>
      <c r="O3" s="1010" t="b">
        <f t="shared" ref="O3:O4" si="0">EXACT(A3,M3)</f>
        <v>1</v>
      </c>
      <c r="P3" s="1010" t="b">
        <f t="shared" ref="P3:P4" si="1">EXACT(B3,N3)</f>
        <v>1</v>
      </c>
      <c r="R3" s="1084" t="s">
        <v>1577</v>
      </c>
      <c r="S3" s="976">
        <v>601757</v>
      </c>
      <c r="T3" s="1010" t="b">
        <f t="shared" ref="T3:T4" si="2">EXACT(M3,R3)</f>
        <v>1</v>
      </c>
      <c r="U3" s="1010" t="b">
        <f t="shared" ref="U3:U4" si="3">EXACT(N3,S3)</f>
        <v>1</v>
      </c>
    </row>
    <row r="4" spans="1:21" ht="15" customHeight="1" x14ac:dyDescent="0.3">
      <c r="A4" s="99" t="s">
        <v>1578</v>
      </c>
      <c r="B4" s="969">
        <v>601758</v>
      </c>
      <c r="C4" s="690"/>
      <c r="D4" s="55"/>
      <c r="E4" s="56"/>
      <c r="G4" s="702">
        <v>300</v>
      </c>
      <c r="I4" s="702" t="s">
        <v>579</v>
      </c>
      <c r="M4" s="1081" t="s">
        <v>1578</v>
      </c>
      <c r="N4" s="1083">
        <v>601758</v>
      </c>
      <c r="O4" s="1010" t="b">
        <f t="shared" si="0"/>
        <v>1</v>
      </c>
      <c r="P4" s="1010" t="b">
        <f t="shared" si="1"/>
        <v>1</v>
      </c>
      <c r="R4" s="1084" t="s">
        <v>1578</v>
      </c>
      <c r="S4" s="976">
        <v>601758</v>
      </c>
      <c r="T4" s="1010" t="b">
        <f t="shared" si="2"/>
        <v>1</v>
      </c>
      <c r="U4" s="1010" t="b">
        <f t="shared" si="3"/>
        <v>1</v>
      </c>
    </row>
    <row r="5" spans="1:21" x14ac:dyDescent="0.3">
      <c r="A5" s="970"/>
      <c r="B5" s="971"/>
      <c r="C5" s="690"/>
      <c r="D5" s="55"/>
      <c r="E5" s="56"/>
      <c r="G5" s="702">
        <v>400</v>
      </c>
    </row>
    <row r="6" spans="1:21" x14ac:dyDescent="0.3">
      <c r="A6" s="970"/>
      <c r="B6" s="971"/>
      <c r="C6" s="690"/>
      <c r="D6" s="55"/>
      <c r="E6" s="56"/>
      <c r="G6" s="702">
        <v>500</v>
      </c>
    </row>
    <row r="7" spans="1:21" x14ac:dyDescent="0.3">
      <c r="A7" s="970"/>
      <c r="B7" s="971"/>
      <c r="C7" s="690"/>
      <c r="D7" s="55"/>
      <c r="E7" s="56"/>
    </row>
    <row r="8" spans="1:21" x14ac:dyDescent="0.3">
      <c r="A8" s="970"/>
      <c r="B8" s="971"/>
      <c r="C8" s="690"/>
      <c r="D8" s="55"/>
      <c r="E8" s="56"/>
    </row>
    <row r="9" spans="1:21" x14ac:dyDescent="0.3">
      <c r="A9" s="970"/>
      <c r="B9" s="971"/>
      <c r="C9" s="690"/>
      <c r="D9" s="55"/>
      <c r="E9" s="56"/>
    </row>
    <row r="10" spans="1:21" x14ac:dyDescent="0.3">
      <c r="A10" s="970"/>
      <c r="B10" s="971"/>
      <c r="C10" s="690"/>
      <c r="D10" s="55"/>
      <c r="E10" s="56"/>
    </row>
    <row r="11" spans="1:21" x14ac:dyDescent="0.3">
      <c r="A11" s="970"/>
      <c r="B11" s="971"/>
      <c r="C11" s="690"/>
      <c r="D11" s="55"/>
      <c r="E11" s="56"/>
    </row>
    <row r="12" spans="1:21" x14ac:dyDescent="0.3">
      <c r="A12" s="970"/>
      <c r="B12" s="971"/>
      <c r="C12" s="690"/>
      <c r="D12" s="55"/>
      <c r="E12" s="56"/>
    </row>
    <row r="13" spans="1:21" x14ac:dyDescent="0.3">
      <c r="A13" s="970"/>
      <c r="B13" s="971"/>
      <c r="C13" s="690"/>
      <c r="D13" s="55"/>
      <c r="E13" s="56"/>
    </row>
    <row r="14" spans="1:21" x14ac:dyDescent="0.3">
      <c r="A14" s="970"/>
      <c r="B14" s="971"/>
      <c r="C14" s="690"/>
      <c r="D14" s="55"/>
      <c r="E14" s="56"/>
    </row>
    <row r="15" spans="1:21" x14ac:dyDescent="0.3">
      <c r="A15" s="970"/>
      <c r="B15" s="971"/>
      <c r="C15" s="690"/>
      <c r="D15" s="55"/>
      <c r="E15" s="56"/>
    </row>
    <row r="16" spans="1:21" x14ac:dyDescent="0.3">
      <c r="A16" s="970"/>
      <c r="B16" s="971"/>
      <c r="C16" s="690"/>
      <c r="D16" s="55"/>
      <c r="E16" s="56"/>
    </row>
    <row r="17" spans="1:5" x14ac:dyDescent="0.3">
      <c r="A17" s="970"/>
      <c r="B17" s="971"/>
      <c r="C17" s="690"/>
      <c r="D17" s="55"/>
      <c r="E17" s="56"/>
    </row>
    <row r="18" spans="1:5" x14ac:dyDescent="0.3">
      <c r="A18" s="970"/>
      <c r="B18" s="971"/>
      <c r="C18" s="690"/>
      <c r="D18" s="55"/>
      <c r="E18" s="56"/>
    </row>
    <row r="19" spans="1:5" x14ac:dyDescent="0.3">
      <c r="A19" s="970"/>
      <c r="B19" s="971"/>
      <c r="C19" s="690"/>
      <c r="D19" s="55"/>
      <c r="E19" s="56"/>
    </row>
    <row r="20" spans="1:5" x14ac:dyDescent="0.3">
      <c r="A20" s="970"/>
      <c r="B20" s="971"/>
      <c r="C20" s="690"/>
      <c r="D20" s="55"/>
      <c r="E20" s="56"/>
    </row>
    <row r="21" spans="1:5" x14ac:dyDescent="0.3">
      <c r="A21" s="970"/>
      <c r="B21" s="971"/>
      <c r="C21" s="690"/>
      <c r="D21" s="55"/>
      <c r="E21" s="56"/>
    </row>
    <row r="22" spans="1:5" x14ac:dyDescent="0.3">
      <c r="A22" s="970"/>
      <c r="B22" s="971"/>
      <c r="C22" s="690"/>
      <c r="D22" s="55"/>
      <c r="E22" s="56"/>
    </row>
    <row r="23" spans="1:5" x14ac:dyDescent="0.3">
      <c r="A23" s="970"/>
      <c r="B23" s="971"/>
      <c r="C23" s="690"/>
      <c r="D23" s="55"/>
      <c r="E23" s="56"/>
    </row>
    <row r="24" spans="1:5" x14ac:dyDescent="0.3">
      <c r="A24" s="970"/>
      <c r="B24" s="971"/>
      <c r="C24" s="690"/>
      <c r="D24" s="55"/>
      <c r="E24" s="56"/>
    </row>
    <row r="25" spans="1:5" x14ac:dyDescent="0.3">
      <c r="A25" s="970"/>
      <c r="B25" s="971"/>
      <c r="C25" s="690"/>
      <c r="D25" s="55"/>
      <c r="E25" s="56"/>
    </row>
    <row r="26" spans="1:5" x14ac:dyDescent="0.3">
      <c r="A26" s="970"/>
      <c r="B26" s="971"/>
      <c r="C26" s="690"/>
      <c r="D26" s="55"/>
      <c r="E26" s="56"/>
    </row>
    <row r="27" spans="1:5" x14ac:dyDescent="0.3">
      <c r="A27" s="970"/>
      <c r="B27" s="971"/>
      <c r="C27" s="690"/>
      <c r="D27" s="55"/>
      <c r="E27" s="56"/>
    </row>
    <row r="28" spans="1:5" x14ac:dyDescent="0.3">
      <c r="A28" s="970"/>
      <c r="B28" s="971"/>
      <c r="C28" s="690"/>
      <c r="D28" s="55"/>
      <c r="E28" s="56"/>
    </row>
    <row r="29" spans="1:5" x14ac:dyDescent="0.3">
      <c r="A29" s="970"/>
      <c r="B29" s="971"/>
      <c r="C29" s="690"/>
      <c r="D29" s="55"/>
      <c r="E29" s="56"/>
    </row>
    <row r="30" spans="1:5" x14ac:dyDescent="0.3">
      <c r="A30" s="970"/>
      <c r="B30" s="971"/>
      <c r="C30" s="690"/>
      <c r="D30" s="55"/>
      <c r="E30" s="56"/>
    </row>
    <row r="31" spans="1:5" x14ac:dyDescent="0.3">
      <c r="A31" s="970"/>
      <c r="B31" s="971"/>
      <c r="C31" s="690"/>
      <c r="D31" s="55"/>
      <c r="E31" s="56"/>
    </row>
    <row r="32" spans="1:5" x14ac:dyDescent="0.3">
      <c r="A32" s="970"/>
      <c r="B32" s="971"/>
      <c r="C32" s="690"/>
      <c r="D32" s="55"/>
      <c r="E32" s="56"/>
    </row>
    <row r="33" spans="1:5" x14ac:dyDescent="0.3">
      <c r="A33" s="970"/>
      <c r="B33" s="971"/>
      <c r="C33" s="690"/>
      <c r="D33" s="55"/>
      <c r="E33" s="56"/>
    </row>
    <row r="34" spans="1:5" x14ac:dyDescent="0.3">
      <c r="A34" s="970"/>
      <c r="B34" s="971"/>
      <c r="C34" s="690"/>
      <c r="D34" s="55"/>
      <c r="E34" s="56"/>
    </row>
    <row r="35" spans="1:5" x14ac:dyDescent="0.3">
      <c r="A35" s="970"/>
      <c r="B35" s="971"/>
      <c r="C35" s="690"/>
      <c r="D35" s="55"/>
      <c r="E35" s="56"/>
    </row>
    <row r="36" spans="1:5" x14ac:dyDescent="0.3">
      <c r="A36" s="970"/>
      <c r="B36" s="971"/>
      <c r="C36" s="690"/>
      <c r="D36" s="55"/>
      <c r="E36" s="56"/>
    </row>
    <row r="37" spans="1:5" x14ac:dyDescent="0.3">
      <c r="A37" s="970"/>
      <c r="B37" s="971"/>
      <c r="C37" s="690"/>
      <c r="D37" s="55"/>
      <c r="E37" s="56"/>
    </row>
    <row r="38" spans="1:5" x14ac:dyDescent="0.3">
      <c r="A38" s="970"/>
      <c r="B38" s="971"/>
      <c r="C38" s="690"/>
      <c r="D38" s="55"/>
      <c r="E38" s="56"/>
    </row>
    <row r="39" spans="1:5" x14ac:dyDescent="0.3">
      <c r="A39" s="970"/>
      <c r="B39" s="971"/>
      <c r="C39" s="690"/>
      <c r="D39" s="55"/>
      <c r="E39" s="56"/>
    </row>
    <row r="40" spans="1:5" x14ac:dyDescent="0.3">
      <c r="A40" s="970"/>
      <c r="B40" s="971"/>
      <c r="C40" s="690"/>
      <c r="D40" s="55"/>
      <c r="E40" s="56"/>
    </row>
    <row r="41" spans="1:5" x14ac:dyDescent="0.3">
      <c r="A41" s="970"/>
      <c r="B41" s="971"/>
      <c r="C41" s="690"/>
      <c r="D41" s="55"/>
      <c r="E41" s="56"/>
    </row>
    <row r="42" spans="1:5" x14ac:dyDescent="0.3">
      <c r="A42" s="970"/>
      <c r="B42" s="971"/>
      <c r="C42" s="690"/>
      <c r="D42" s="55"/>
      <c r="E42" s="56"/>
    </row>
    <row r="43" spans="1:5" x14ac:dyDescent="0.3">
      <c r="A43" s="970"/>
      <c r="B43" s="971"/>
      <c r="C43" s="690"/>
      <c r="D43" s="55"/>
      <c r="E43" s="56"/>
    </row>
    <row r="44" spans="1:5" x14ac:dyDescent="0.3">
      <c r="A44" s="970"/>
      <c r="B44" s="971"/>
      <c r="C44" s="690"/>
      <c r="D44" s="55"/>
      <c r="E44" s="56"/>
    </row>
    <row r="45" spans="1:5" x14ac:dyDescent="0.3">
      <c r="A45" s="970"/>
      <c r="B45" s="971"/>
      <c r="C45" s="690"/>
      <c r="D45" s="55"/>
      <c r="E45" s="56"/>
    </row>
    <row r="46" spans="1:5" x14ac:dyDescent="0.3">
      <c r="A46" s="970"/>
      <c r="B46" s="971"/>
      <c r="C46" s="690"/>
      <c r="D46" s="55"/>
      <c r="E46" s="56"/>
    </row>
    <row r="47" spans="1:5" x14ac:dyDescent="0.3">
      <c r="A47" s="970"/>
      <c r="B47" s="971"/>
      <c r="C47" s="690"/>
      <c r="D47" s="55"/>
      <c r="E47" s="56"/>
    </row>
    <row r="48" spans="1:5" x14ac:dyDescent="0.3">
      <c r="A48" s="970"/>
      <c r="B48" s="971"/>
      <c r="C48" s="690"/>
      <c r="D48" s="55"/>
      <c r="E48" s="56"/>
    </row>
    <row r="49" spans="1:5" x14ac:dyDescent="0.3">
      <c r="A49" s="970"/>
      <c r="B49" s="971"/>
      <c r="C49" s="690"/>
      <c r="D49" s="55"/>
      <c r="E49" s="56"/>
    </row>
    <row r="50" spans="1:5" x14ac:dyDescent="0.3">
      <c r="A50" s="970"/>
      <c r="B50" s="971"/>
      <c r="C50" s="690"/>
      <c r="D50" s="55"/>
      <c r="E50" s="56"/>
    </row>
    <row r="51" spans="1:5" x14ac:dyDescent="0.3">
      <c r="A51" s="970"/>
      <c r="B51" s="971"/>
      <c r="C51" s="690"/>
      <c r="D51" s="55"/>
      <c r="E51" s="56"/>
    </row>
    <row r="52" spans="1:5" x14ac:dyDescent="0.3">
      <c r="A52" s="970"/>
      <c r="B52" s="971"/>
      <c r="C52" s="690"/>
      <c r="D52" s="55"/>
      <c r="E52" s="56"/>
    </row>
    <row r="53" spans="1:5" x14ac:dyDescent="0.3">
      <c r="A53" s="970"/>
      <c r="B53" s="971"/>
      <c r="C53" s="690"/>
      <c r="D53" s="55"/>
      <c r="E53" s="56"/>
    </row>
    <row r="54" spans="1:5" x14ac:dyDescent="0.3">
      <c r="A54" s="970"/>
      <c r="B54" s="971"/>
      <c r="C54" s="690"/>
      <c r="D54" s="55"/>
      <c r="E54" s="56"/>
    </row>
    <row r="55" spans="1:5" x14ac:dyDescent="0.3">
      <c r="A55" s="970"/>
      <c r="B55" s="971"/>
      <c r="C55" s="690"/>
      <c r="D55" s="55"/>
      <c r="E55" s="56"/>
    </row>
    <row r="56" spans="1:5" x14ac:dyDescent="0.3">
      <c r="A56" s="970"/>
      <c r="B56" s="971"/>
      <c r="C56" s="690"/>
      <c r="D56" s="55"/>
      <c r="E56" s="56"/>
    </row>
    <row r="57" spans="1:5" x14ac:dyDescent="0.3">
      <c r="A57" s="970"/>
      <c r="B57" s="971"/>
      <c r="C57" s="690"/>
      <c r="D57" s="55"/>
      <c r="E57" s="56"/>
    </row>
    <row r="58" spans="1:5" x14ac:dyDescent="0.3">
      <c r="A58" s="970"/>
      <c r="B58" s="971"/>
      <c r="C58" s="690"/>
      <c r="D58" s="55"/>
      <c r="E58" s="56"/>
    </row>
    <row r="59" spans="1:5" x14ac:dyDescent="0.3">
      <c r="A59" s="970"/>
      <c r="B59" s="971"/>
      <c r="C59" s="690"/>
      <c r="D59" s="55"/>
      <c r="E59" s="56"/>
    </row>
    <row r="60" spans="1:5" x14ac:dyDescent="0.3">
      <c r="A60" s="970"/>
      <c r="B60" s="971"/>
      <c r="C60" s="690"/>
      <c r="D60" s="55"/>
      <c r="E60" s="56"/>
    </row>
    <row r="61" spans="1:5" x14ac:dyDescent="0.3">
      <c r="A61" s="970"/>
      <c r="B61" s="971"/>
      <c r="C61" s="690"/>
      <c r="D61" s="55"/>
      <c r="E61" s="56"/>
    </row>
    <row r="62" spans="1:5" x14ac:dyDescent="0.3">
      <c r="A62" s="970"/>
      <c r="B62" s="971"/>
      <c r="C62" s="690"/>
      <c r="D62" s="55"/>
      <c r="E62" s="56"/>
    </row>
    <row r="63" spans="1:5" x14ac:dyDescent="0.3">
      <c r="A63" s="970"/>
      <c r="B63" s="971"/>
      <c r="C63" s="690"/>
      <c r="D63" s="55"/>
      <c r="E63" s="56"/>
    </row>
    <row r="64" spans="1:5" x14ac:dyDescent="0.3">
      <c r="A64" s="970"/>
      <c r="B64" s="971"/>
      <c r="C64" s="690"/>
      <c r="D64" s="55"/>
      <c r="E64" s="56"/>
    </row>
    <row r="65" spans="1:5" x14ac:dyDescent="0.3">
      <c r="A65" s="970"/>
      <c r="B65" s="971"/>
      <c r="C65" s="690"/>
      <c r="D65" s="55"/>
      <c r="E65" s="56"/>
    </row>
    <row r="66" spans="1:5" x14ac:dyDescent="0.3">
      <c r="A66" s="970"/>
      <c r="B66" s="971"/>
      <c r="C66" s="690"/>
      <c r="D66" s="55"/>
      <c r="E66" s="56"/>
    </row>
    <row r="67" spans="1:5" x14ac:dyDescent="0.3">
      <c r="A67" s="970"/>
      <c r="B67" s="971"/>
      <c r="C67" s="690"/>
      <c r="D67" s="55"/>
      <c r="E67" s="56"/>
    </row>
    <row r="68" spans="1:5" x14ac:dyDescent="0.3">
      <c r="A68" s="970"/>
      <c r="B68" s="971"/>
      <c r="C68" s="690"/>
      <c r="D68" s="55"/>
      <c r="E68" s="56"/>
    </row>
    <row r="69" spans="1:5" x14ac:dyDescent="0.3">
      <c r="A69" s="970"/>
      <c r="B69" s="971"/>
    </row>
    <row r="70" spans="1:5" x14ac:dyDescent="0.3">
      <c r="A70" s="970"/>
      <c r="B70" s="971"/>
    </row>
    <row r="71" spans="1:5" x14ac:dyDescent="0.3">
      <c r="A71" s="970"/>
      <c r="B71" s="971"/>
    </row>
    <row r="72" spans="1:5" x14ac:dyDescent="0.3">
      <c r="A72" s="970"/>
      <c r="B72" s="971"/>
    </row>
    <row r="73" spans="1:5" x14ac:dyDescent="0.3">
      <c r="A73" s="970"/>
      <c r="B73" s="971"/>
    </row>
    <row r="74" spans="1:5" x14ac:dyDescent="0.3">
      <c r="A74" s="970"/>
      <c r="B74" s="971"/>
    </row>
    <row r="75" spans="1:5" x14ac:dyDescent="0.3">
      <c r="A75" s="970"/>
      <c r="B75" s="971"/>
    </row>
    <row r="76" spans="1:5" x14ac:dyDescent="0.3">
      <c r="A76" s="970"/>
      <c r="B76" s="971"/>
    </row>
    <row r="77" spans="1:5" x14ac:dyDescent="0.3">
      <c r="A77" s="970"/>
      <c r="B77" s="971"/>
    </row>
    <row r="78" spans="1:5" x14ac:dyDescent="0.3">
      <c r="A78" s="590"/>
      <c r="B78" s="590"/>
    </row>
    <row r="79" spans="1:5" x14ac:dyDescent="0.3">
      <c r="A79" s="590"/>
      <c r="B79" s="590"/>
    </row>
    <row r="80" spans="1:5" x14ac:dyDescent="0.3">
      <c r="A80" s="590"/>
      <c r="B80" s="590"/>
    </row>
    <row r="81" spans="1:2" x14ac:dyDescent="0.3">
      <c r="A81" s="590"/>
      <c r="B81" s="590"/>
    </row>
    <row r="82" spans="1:2" x14ac:dyDescent="0.3">
      <c r="A82" s="590"/>
      <c r="B82" s="590"/>
    </row>
    <row r="83" spans="1:2" x14ac:dyDescent="0.3">
      <c r="A83" s="590"/>
      <c r="B83" s="590"/>
    </row>
    <row r="84" spans="1:2" x14ac:dyDescent="0.3">
      <c r="A84" s="590"/>
      <c r="B84" s="590"/>
    </row>
    <row r="85" spans="1:2" x14ac:dyDescent="0.3">
      <c r="A85" s="590"/>
      <c r="B85" s="590"/>
    </row>
    <row r="86" spans="1:2" x14ac:dyDescent="0.3">
      <c r="A86" s="590"/>
      <c r="B86" s="590"/>
    </row>
    <row r="87" spans="1:2" x14ac:dyDescent="0.3">
      <c r="A87" s="590"/>
      <c r="B87" s="590"/>
    </row>
  </sheetData>
  <sheetProtection algorithmName="SHA-512" hashValue="KG38jaq3TSy63cYS744GHVBpMLV/r33otXWdEUhjunZULWWDNQEd6rmgL4qH6k0gMOLLcnDmFIJdMBwa8oqxhg==" saltValue="a23X/iJQnHAyoExa471f/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09375" defaultRowHeight="14.4" x14ac:dyDescent="0.3"/>
  <cols>
    <col min="1" max="1" width="45.109375" style="407" customWidth="1"/>
    <col min="2" max="2" width="36.44140625" style="407" customWidth="1"/>
    <col min="3" max="3" width="9.109375" style="407"/>
    <col min="4" max="4" width="1.33203125" style="407" customWidth="1"/>
    <col min="5" max="5" width="37.5546875" style="407" customWidth="1"/>
    <col min="6" max="6" width="18.109375" style="407" customWidth="1"/>
    <col min="7" max="7" width="16.109375" style="407" customWidth="1"/>
    <col min="8" max="8" width="3.109375" style="407" customWidth="1"/>
    <col min="9" max="16384" width="9.109375" style="407"/>
  </cols>
  <sheetData>
    <row r="1" spans="1:8" x14ac:dyDescent="0.3">
      <c r="A1" s="408"/>
      <c r="B1" s="409"/>
      <c r="C1" s="410"/>
      <c r="D1" s="410"/>
      <c r="E1" s="411"/>
      <c r="F1" s="410"/>
      <c r="G1" s="410"/>
      <c r="H1" s="410"/>
    </row>
    <row r="2" spans="1:8" x14ac:dyDescent="0.3">
      <c r="A2" s="412" t="s">
        <v>961</v>
      </c>
      <c r="B2" s="413" t="str">
        <f>+'Unit Data from Audit Worksheet'!D2</f>
        <v>Select Unit Name from Drop Down List</v>
      </c>
      <c r="C2" s="410"/>
      <c r="D2" s="410"/>
      <c r="E2" s="411"/>
      <c r="F2" s="410"/>
      <c r="G2" s="410"/>
      <c r="H2" s="410"/>
    </row>
    <row r="3" spans="1:8" x14ac:dyDescent="0.3">
      <c r="A3" s="412" t="s">
        <v>1050</v>
      </c>
      <c r="B3" s="410" t="e">
        <f>+'Unit Data from Audit Worksheet'!D3</f>
        <v>#N/A</v>
      </c>
      <c r="C3" s="410"/>
      <c r="D3" s="410"/>
      <c r="E3" s="411"/>
      <c r="F3" s="410"/>
      <c r="G3" s="410"/>
      <c r="H3" s="410"/>
    </row>
    <row r="4" spans="1:8" x14ac:dyDescent="0.3">
      <c r="A4" s="410"/>
      <c r="B4" s="410"/>
      <c r="C4" s="410"/>
      <c r="D4" s="410"/>
      <c r="E4" s="411"/>
      <c r="F4" s="410"/>
      <c r="G4" s="410"/>
      <c r="H4" s="410"/>
    </row>
    <row r="5" spans="1:8" x14ac:dyDescent="0.3">
      <c r="A5" s="1236" t="s">
        <v>962</v>
      </c>
      <c r="B5" s="1236"/>
      <c r="C5" s="1236"/>
      <c r="D5" s="410"/>
      <c r="E5" s="1237" t="s">
        <v>963</v>
      </c>
      <c r="F5" s="1237"/>
      <c r="G5" s="410"/>
      <c r="H5" s="410"/>
    </row>
    <row r="6" spans="1:8" ht="15" thickBot="1" x14ac:dyDescent="0.35">
      <c r="A6" s="414"/>
      <c r="B6" s="415"/>
      <c r="C6" s="414"/>
      <c r="D6" s="408"/>
      <c r="E6" s="414"/>
      <c r="F6" s="415"/>
      <c r="G6" s="415"/>
      <c r="H6" s="410"/>
    </row>
    <row r="7" spans="1:8" ht="15" thickBot="1" x14ac:dyDescent="0.35">
      <c r="A7" s="416" t="s">
        <v>964</v>
      </c>
      <c r="B7" s="417">
        <v>0.03</v>
      </c>
      <c r="C7" s="417"/>
      <c r="D7" s="417"/>
      <c r="E7" s="417"/>
      <c r="F7" s="417"/>
      <c r="G7" s="417"/>
      <c r="H7" s="417"/>
    </row>
    <row r="8" spans="1:8" ht="15" thickBot="1" x14ac:dyDescent="0.35">
      <c r="A8" s="410" t="s">
        <v>1291</v>
      </c>
      <c r="B8" s="418" t="e">
        <f>HLOOKUP(B2,'2020 Data(H)'!F1:CC395,353,FALSE)</f>
        <v>#N/A</v>
      </c>
      <c r="C8" s="419"/>
      <c r="D8" s="419"/>
      <c r="E8" s="419"/>
      <c r="F8" s="410"/>
      <c r="G8" s="410"/>
      <c r="H8" s="410"/>
    </row>
    <row r="9" spans="1:8" ht="15" thickBot="1" x14ac:dyDescent="0.35">
      <c r="A9" s="410" t="s">
        <v>966</v>
      </c>
      <c r="B9" s="420" t="e">
        <f>B8*B7</f>
        <v>#N/A</v>
      </c>
      <c r="C9" s="421"/>
      <c r="D9" s="421"/>
      <c r="E9" s="421"/>
      <c r="F9" s="410"/>
      <c r="G9" s="410"/>
      <c r="H9" s="410"/>
    </row>
    <row r="10" spans="1:8" ht="15" thickBot="1" x14ac:dyDescent="0.35">
      <c r="A10" s="410"/>
      <c r="B10" s="410"/>
      <c r="C10" s="410"/>
      <c r="D10" s="410"/>
      <c r="E10" s="410"/>
      <c r="F10" s="410"/>
      <c r="G10" s="410"/>
      <c r="H10" s="410"/>
    </row>
    <row r="11" spans="1:8" ht="15" thickBot="1" x14ac:dyDescent="0.35">
      <c r="A11" s="416" t="s">
        <v>967</v>
      </c>
      <c r="B11" s="417">
        <v>0.05</v>
      </c>
      <c r="C11" s="417"/>
      <c r="D11" s="417"/>
      <c r="E11" s="417"/>
      <c r="F11" s="417"/>
      <c r="G11" s="417"/>
      <c r="H11" s="417"/>
    </row>
    <row r="12" spans="1:8" ht="15" thickBot="1" x14ac:dyDescent="0.35">
      <c r="A12" s="410" t="s">
        <v>1292</v>
      </c>
      <c r="B12" s="422" t="e">
        <f>HLOOKUP(B2,'2020 Data(H)'!F1:CC395,55,FALSE)</f>
        <v>#N/A</v>
      </c>
      <c r="C12" s="423"/>
      <c r="D12" s="423"/>
      <c r="E12" s="423"/>
      <c r="F12" s="410"/>
      <c r="G12" s="410"/>
      <c r="H12" s="410"/>
    </row>
    <row r="13" spans="1:8" ht="15" thickBot="1" x14ac:dyDescent="0.35">
      <c r="A13" s="410" t="s">
        <v>966</v>
      </c>
      <c r="B13" s="420" t="e">
        <f>B12*B11</f>
        <v>#N/A</v>
      </c>
      <c r="C13" s="421"/>
      <c r="D13" s="421"/>
      <c r="E13" s="421"/>
      <c r="F13" s="410"/>
      <c r="G13" s="410"/>
      <c r="H13" s="410"/>
    </row>
    <row r="14" spans="1:8" ht="15" thickBot="1" x14ac:dyDescent="0.35">
      <c r="A14" s="410"/>
      <c r="B14" s="410"/>
      <c r="C14" s="410"/>
      <c r="D14" s="410"/>
      <c r="E14" s="424" t="s">
        <v>968</v>
      </c>
      <c r="F14" s="425">
        <f>+Import!L177</f>
        <v>0</v>
      </c>
      <c r="G14" s="426"/>
      <c r="H14" s="410"/>
    </row>
    <row r="15" spans="1:8" x14ac:dyDescent="0.3">
      <c r="A15" s="410"/>
      <c r="B15" s="410"/>
      <c r="C15" s="410"/>
      <c r="D15" s="410"/>
      <c r="E15" s="410"/>
      <c r="F15" s="410"/>
      <c r="G15" s="410"/>
      <c r="H15" s="427"/>
    </row>
    <row r="16" spans="1:8" x14ac:dyDescent="0.3">
      <c r="A16" s="410"/>
      <c r="B16" s="424"/>
      <c r="C16" s="410"/>
      <c r="D16" s="410"/>
      <c r="E16" s="410"/>
      <c r="F16" s="410"/>
      <c r="G16" s="410"/>
      <c r="H16" s="410"/>
    </row>
    <row r="17" spans="1:8" x14ac:dyDescent="0.3">
      <c r="A17" s="414"/>
      <c r="B17" s="415"/>
      <c r="C17" s="414"/>
      <c r="D17" s="408"/>
      <c r="E17" s="414"/>
      <c r="F17" s="415"/>
      <c r="G17" s="415"/>
      <c r="H17" s="410"/>
    </row>
    <row r="18" spans="1:8" ht="15" thickBot="1" x14ac:dyDescent="0.35">
      <c r="A18" s="428" t="s">
        <v>969</v>
      </c>
      <c r="B18" s="410"/>
      <c r="C18" s="410"/>
      <c r="D18" s="410"/>
      <c r="E18" s="428" t="s">
        <v>969</v>
      </c>
      <c r="F18" s="412" t="s">
        <v>970</v>
      </c>
      <c r="G18" s="412" t="s">
        <v>971</v>
      </c>
      <c r="H18" s="410"/>
    </row>
    <row r="19" spans="1:8" ht="15" thickBot="1" x14ac:dyDescent="0.35">
      <c r="A19" s="410" t="s">
        <v>965</v>
      </c>
      <c r="B19" s="418" t="e">
        <f>+B8</f>
        <v>#N/A</v>
      </c>
      <c r="C19" s="419"/>
      <c r="D19" s="419"/>
      <c r="E19" s="410" t="s">
        <v>972</v>
      </c>
      <c r="F19" s="429">
        <f>+Import!L229</f>
        <v>0</v>
      </c>
      <c r="G19" s="430" t="e">
        <f>+B21</f>
        <v>#N/A</v>
      </c>
      <c r="H19" s="410"/>
    </row>
    <row r="20" spans="1:8" ht="15" thickBot="1" x14ac:dyDescent="0.35">
      <c r="A20" s="410" t="s">
        <v>973</v>
      </c>
      <c r="B20" s="431">
        <f>+Import!L243</f>
        <v>0</v>
      </c>
      <c r="C20" s="410"/>
      <c r="D20" s="410"/>
      <c r="E20" s="410"/>
      <c r="F20" s="432"/>
      <c r="G20" s="410"/>
      <c r="H20" s="410"/>
    </row>
    <row r="21" spans="1:8" ht="15" thickBot="1" x14ac:dyDescent="0.35">
      <c r="A21" s="410" t="s">
        <v>966</v>
      </c>
      <c r="B21" s="420" t="e">
        <f>ROUND((B19/100)*B20,0)</f>
        <v>#N/A</v>
      </c>
      <c r="C21" s="433"/>
      <c r="D21" s="421"/>
      <c r="E21" s="410"/>
      <c r="F21" s="410"/>
      <c r="G21" s="410"/>
      <c r="H21" s="410"/>
    </row>
    <row r="22" spans="1:8" ht="15" thickBot="1" x14ac:dyDescent="0.35">
      <c r="A22" s="410"/>
      <c r="B22" s="410"/>
      <c r="C22" s="434"/>
      <c r="D22" s="434"/>
      <c r="E22" s="410"/>
      <c r="F22" s="410"/>
      <c r="G22" s="410"/>
      <c r="H22" s="410"/>
    </row>
    <row r="23" spans="1:8" ht="15" thickBot="1" x14ac:dyDescent="0.35">
      <c r="A23" s="424"/>
      <c r="B23" s="435"/>
      <c r="C23" s="410"/>
      <c r="D23" s="410"/>
      <c r="E23" s="436" t="s">
        <v>974</v>
      </c>
      <c r="F23" s="420">
        <f>IF(F19=0,F14-F19,F14-MAX(F19,G19))</f>
        <v>0</v>
      </c>
      <c r="G23" s="437"/>
      <c r="H23" s="421"/>
    </row>
    <row r="24" spans="1:8" x14ac:dyDescent="0.3">
      <c r="A24" s="410"/>
      <c r="B24" s="410"/>
      <c r="C24" s="410"/>
      <c r="D24" s="410"/>
      <c r="E24" s="410"/>
      <c r="F24" s="433"/>
      <c r="G24" s="433"/>
      <c r="H24" s="421"/>
    </row>
    <row r="25" spans="1:8" x14ac:dyDescent="0.3">
      <c r="A25" s="414"/>
      <c r="B25" s="415"/>
      <c r="C25" s="414"/>
      <c r="D25" s="408"/>
      <c r="E25" s="414"/>
      <c r="F25" s="415"/>
      <c r="G25" s="415"/>
      <c r="H25" s="410"/>
    </row>
    <row r="26" spans="1:8" ht="15" thickBot="1" x14ac:dyDescent="0.35">
      <c r="A26" s="410"/>
      <c r="B26" s="410"/>
      <c r="C26" s="410"/>
      <c r="D26" s="428"/>
      <c r="E26" s="428" t="s">
        <v>975</v>
      </c>
      <c r="F26" s="428"/>
      <c r="G26" s="428"/>
      <c r="H26" s="428"/>
    </row>
    <row r="27" spans="1:8" ht="15" thickBot="1" x14ac:dyDescent="0.35">
      <c r="A27" s="410"/>
      <c r="B27" s="410"/>
      <c r="C27" s="410"/>
      <c r="D27" s="434"/>
      <c r="E27" s="410" t="s">
        <v>976</v>
      </c>
      <c r="F27" s="438" t="e">
        <f>MAX(B9,B13)</f>
        <v>#N/A</v>
      </c>
      <c r="G27" s="434"/>
      <c r="H27" s="410"/>
    </row>
    <row r="28" spans="1:8" ht="15" thickBot="1" x14ac:dyDescent="0.35">
      <c r="A28" s="410"/>
      <c r="B28" s="410"/>
      <c r="C28" s="410"/>
      <c r="D28" s="434"/>
      <c r="E28" s="410"/>
      <c r="F28" s="434"/>
      <c r="G28" s="434"/>
      <c r="H28" s="410"/>
    </row>
    <row r="29" spans="1:8" ht="33.75" customHeight="1" x14ac:dyDescent="0.3">
      <c r="A29" s="410"/>
      <c r="B29" s="410"/>
      <c r="C29" s="410"/>
      <c r="D29" s="439"/>
      <c r="E29" s="410" t="s">
        <v>977</v>
      </c>
      <c r="F29" s="440" t="e">
        <f>IF(F23&lt;=F27,"Yes", "No, unit exceeds limit by:")</f>
        <v>#N/A</v>
      </c>
      <c r="G29" s="410"/>
      <c r="H29" s="410"/>
    </row>
    <row r="30" spans="1:8" ht="15" thickBot="1" x14ac:dyDescent="0.35">
      <c r="A30" s="410"/>
      <c r="B30" s="410"/>
      <c r="C30" s="410"/>
      <c r="D30" s="439"/>
      <c r="E30" s="410"/>
      <c r="F30" s="441" t="e">
        <f>IF(F23-F27&lt;=0,0,F23-F27)</f>
        <v>#N/A</v>
      </c>
      <c r="G30" s="442"/>
      <c r="H30" s="410"/>
    </row>
    <row r="31" spans="1:8" ht="15" thickBot="1" x14ac:dyDescent="0.35">
      <c r="A31" s="410"/>
      <c r="B31" s="410"/>
      <c r="C31" s="410"/>
      <c r="D31" s="410"/>
      <c r="E31" s="410"/>
      <c r="F31" s="410"/>
      <c r="G31" s="410"/>
      <c r="H31" s="410"/>
    </row>
    <row r="32" spans="1:8" x14ac:dyDescent="0.3">
      <c r="A32" s="410"/>
      <c r="B32" s="410"/>
      <c r="C32" s="410"/>
      <c r="D32" s="410"/>
      <c r="E32" s="436" t="s">
        <v>978</v>
      </c>
      <c r="F32" s="443">
        <f>IF(F19=0,0,F19-G19)</f>
        <v>0</v>
      </c>
      <c r="G32" s="410"/>
      <c r="H32" s="410"/>
    </row>
    <row r="33" spans="1:7" ht="15" thickBot="1" x14ac:dyDescent="0.35">
      <c r="A33" s="410"/>
      <c r="B33" s="410"/>
      <c r="C33" s="410"/>
      <c r="D33" s="410"/>
      <c r="E33" s="410"/>
      <c r="F33" s="444" t="s">
        <v>642</v>
      </c>
      <c r="G33" s="410"/>
    </row>
    <row r="34" spans="1:7" x14ac:dyDescent="0.3">
      <c r="A34" s="408"/>
      <c r="B34" s="410"/>
      <c r="C34" s="410"/>
      <c r="D34" s="410"/>
      <c r="E34" s="408" t="s">
        <v>979</v>
      </c>
      <c r="F34" s="410"/>
      <c r="G34" s="410"/>
    </row>
    <row r="35" spans="1:7" x14ac:dyDescent="0.3">
      <c r="A35" s="445"/>
      <c r="B35" s="445"/>
      <c r="C35" s="445"/>
      <c r="D35" s="410"/>
      <c r="E35" s="1238" t="s">
        <v>1293</v>
      </c>
      <c r="F35" s="1239"/>
      <c r="G35" s="1240"/>
    </row>
    <row r="36" spans="1:7" x14ac:dyDescent="0.3">
      <c r="A36" s="445"/>
      <c r="B36" s="445"/>
      <c r="C36" s="445"/>
      <c r="D36" s="410"/>
      <c r="E36" s="1241"/>
      <c r="F36" s="1242"/>
      <c r="G36" s="1243"/>
    </row>
    <row r="37" spans="1:7" x14ac:dyDescent="0.3">
      <c r="A37" s="445"/>
      <c r="B37" s="445"/>
      <c r="C37" s="445"/>
      <c r="D37" s="410"/>
      <c r="E37" s="1241"/>
      <c r="F37" s="1242"/>
      <c r="G37" s="1243"/>
    </row>
    <row r="38" spans="1:7" x14ac:dyDescent="0.3">
      <c r="A38" s="445"/>
      <c r="B38" s="445"/>
      <c r="C38" s="445"/>
      <c r="D38" s="410"/>
      <c r="E38" s="1244"/>
      <c r="F38" s="1245"/>
      <c r="G38" s="1246"/>
    </row>
    <row r="39" spans="1:7" x14ac:dyDescent="0.3">
      <c r="A39" s="445"/>
      <c r="B39" s="445"/>
      <c r="C39" s="445"/>
      <c r="D39" s="410"/>
      <c r="E39" s="446"/>
      <c r="F39" s="446"/>
      <c r="G39" s="446"/>
    </row>
    <row r="40" spans="1:7" x14ac:dyDescent="0.3">
      <c r="A40" s="445"/>
      <c r="B40" s="445"/>
      <c r="C40" s="445"/>
      <c r="D40" s="410"/>
      <c r="E40" s="1238" t="s">
        <v>1294</v>
      </c>
      <c r="F40" s="1239"/>
      <c r="G40" s="1240"/>
    </row>
    <row r="41" spans="1:7" x14ac:dyDescent="0.3">
      <c r="A41" s="410"/>
      <c r="B41" s="410"/>
      <c r="C41" s="410"/>
      <c r="D41" s="410"/>
      <c r="E41" s="1241"/>
      <c r="F41" s="1242"/>
      <c r="G41" s="1243"/>
    </row>
    <row r="42" spans="1:7" x14ac:dyDescent="0.3">
      <c r="A42" s="410"/>
      <c r="B42" s="410"/>
      <c r="C42" s="410"/>
      <c r="D42" s="410"/>
      <c r="E42" s="1244"/>
      <c r="F42" s="1245"/>
      <c r="G42" s="1246"/>
    </row>
    <row r="43" spans="1:7" x14ac:dyDescent="0.3">
      <c r="A43" s="410"/>
      <c r="B43" s="410"/>
      <c r="C43" s="410"/>
      <c r="D43" s="410"/>
      <c r="E43" s="410"/>
      <c r="F43" s="410"/>
      <c r="G43" s="410"/>
    </row>
    <row r="44" spans="1:7" ht="15" thickBot="1" x14ac:dyDescent="0.35">
      <c r="A44" s="410"/>
      <c r="B44" s="410"/>
      <c r="C44" s="410"/>
      <c r="D44" s="410"/>
      <c r="E44" s="1247" t="s">
        <v>980</v>
      </c>
      <c r="F44" s="1247"/>
      <c r="G44" s="1247"/>
    </row>
    <row r="45" spans="1:7" x14ac:dyDescent="0.3">
      <c r="A45" s="410"/>
      <c r="B45" s="410"/>
      <c r="C45" s="410"/>
      <c r="D45" s="410"/>
      <c r="E45" s="1227"/>
      <c r="F45" s="1228"/>
      <c r="G45" s="1229"/>
    </row>
    <row r="46" spans="1:7" x14ac:dyDescent="0.3">
      <c r="A46" s="410"/>
      <c r="B46" s="410"/>
      <c r="C46" s="410"/>
      <c r="D46" s="410"/>
      <c r="E46" s="1230"/>
      <c r="F46" s="1231"/>
      <c r="G46" s="1232"/>
    </row>
    <row r="47" spans="1:7" x14ac:dyDescent="0.3">
      <c r="A47" s="410"/>
      <c r="B47" s="410"/>
      <c r="C47" s="410"/>
      <c r="D47" s="410"/>
      <c r="E47" s="1230"/>
      <c r="F47" s="1231"/>
      <c r="G47" s="1232"/>
    </row>
    <row r="48" spans="1:7" x14ac:dyDescent="0.3">
      <c r="A48" s="410"/>
      <c r="B48" s="410"/>
      <c r="C48" s="410"/>
      <c r="D48" s="410"/>
      <c r="E48" s="1230"/>
      <c r="F48" s="1231"/>
      <c r="G48" s="1232"/>
    </row>
    <row r="49" spans="5:7" x14ac:dyDescent="0.3">
      <c r="E49" s="1230"/>
      <c r="F49" s="1231"/>
      <c r="G49" s="1232"/>
    </row>
    <row r="50" spans="5:7" x14ac:dyDescent="0.3">
      <c r="E50" s="1230"/>
      <c r="F50" s="1231"/>
      <c r="G50" s="1232"/>
    </row>
    <row r="51" spans="5:7" x14ac:dyDescent="0.3">
      <c r="E51" s="1230"/>
      <c r="F51" s="1231"/>
      <c r="G51" s="1232"/>
    </row>
    <row r="52" spans="5:7" x14ac:dyDescent="0.3">
      <c r="E52" s="1230"/>
      <c r="F52" s="1231"/>
      <c r="G52" s="1232"/>
    </row>
    <row r="53" spans="5:7" x14ac:dyDescent="0.3">
      <c r="E53" s="1230"/>
      <c r="F53" s="1231"/>
      <c r="G53" s="1232"/>
    </row>
    <row r="54" spans="5:7" x14ac:dyDescent="0.3">
      <c r="E54" s="1230"/>
      <c r="F54" s="1231"/>
      <c r="G54" s="1232"/>
    </row>
    <row r="55" spans="5:7" x14ac:dyDescent="0.3">
      <c r="E55" s="1230"/>
      <c r="F55" s="1231"/>
      <c r="G55" s="1232"/>
    </row>
    <row r="56" spans="5:7" ht="15" thickBot="1" x14ac:dyDescent="0.35">
      <c r="E56" s="1233"/>
      <c r="F56" s="1234"/>
      <c r="G56" s="1235"/>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24"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706" customWidth="1"/>
    <col min="5" max="5" width="17.109375" style="18" customWidth="1"/>
    <col min="6" max="6" width="21.5546875" style="706" customWidth="1"/>
    <col min="7" max="7" width="26.6640625" style="795" customWidth="1"/>
    <col min="8" max="8" width="25.109375" style="593" customWidth="1"/>
    <col min="9" max="9" width="24" style="706"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5" hidden="1" customWidth="1"/>
    <col min="15" max="15" width="2.109375" style="18" hidden="1" customWidth="1"/>
    <col min="16" max="16" width="0" style="18" hidden="1" customWidth="1"/>
    <col min="17" max="17" width="15.109375" style="18" hidden="1" customWidth="1"/>
    <col min="18" max="25" width="9.109375" style="18"/>
    <col min="26" max="26" width="30.6640625" style="635" customWidth="1"/>
    <col min="27" max="1881" width="9.109375" style="18"/>
    <col min="1882" max="16384" width="9.109375" style="706"/>
  </cols>
  <sheetData>
    <row r="1" spans="1:44" ht="15" thickBot="1" x14ac:dyDescent="0.35">
      <c r="B1" s="797" t="s">
        <v>686</v>
      </c>
      <c r="C1" s="797"/>
      <c r="E1" s="709" t="s">
        <v>36</v>
      </c>
      <c r="F1" s="710">
        <v>2021</v>
      </c>
      <c r="G1" s="123" t="s">
        <v>126</v>
      </c>
      <c r="H1" s="711"/>
      <c r="I1" s="712"/>
      <c r="J1" s="713" t="s">
        <v>1227</v>
      </c>
      <c r="M1" s="18" t="s">
        <v>51</v>
      </c>
      <c r="O1" s="18">
        <v>1</v>
      </c>
    </row>
    <row r="2" spans="1:44" ht="44.25" customHeight="1" thickBot="1" x14ac:dyDescent="0.35">
      <c r="B2" s="1123" t="s">
        <v>521</v>
      </c>
      <c r="C2" s="1124"/>
      <c r="D2" s="714" t="s">
        <v>1502</v>
      </c>
      <c r="E2" s="1121" t="s">
        <v>535</v>
      </c>
      <c r="F2" s="1121"/>
      <c r="G2" s="1122"/>
      <c r="H2" s="715"/>
      <c r="I2" s="1109" t="s">
        <v>1714</v>
      </c>
      <c r="M2" s="18" t="s">
        <v>52</v>
      </c>
      <c r="N2" s="295">
        <v>50</v>
      </c>
      <c r="O2" s="18">
        <v>2</v>
      </c>
    </row>
    <row r="3" spans="1:44" ht="15" thickBot="1" x14ac:dyDescent="0.35">
      <c r="B3" s="798" t="s">
        <v>0</v>
      </c>
      <c r="C3" s="799"/>
      <c r="D3" s="716" t="e">
        <f>VLOOKUP(D2,'Unit Names(H)'!A2:B151,2,FALSE)</f>
        <v>#N/A</v>
      </c>
      <c r="E3" s="896"/>
      <c r="F3" s="717"/>
      <c r="G3" s="718"/>
      <c r="H3" s="715"/>
      <c r="N3" s="295">
        <v>51</v>
      </c>
      <c r="O3" s="18">
        <v>3</v>
      </c>
    </row>
    <row r="4" spans="1:44" ht="15" thickBot="1" x14ac:dyDescent="0.35">
      <c r="B4" s="800" t="s">
        <v>1340</v>
      </c>
      <c r="C4" s="801"/>
      <c r="D4" s="719"/>
      <c r="E4" s="719"/>
      <c r="F4" s="720"/>
      <c r="G4" s="721"/>
      <c r="H4" s="715"/>
      <c r="I4" s="2"/>
      <c r="M4" s="18" t="s">
        <v>568</v>
      </c>
      <c r="N4" s="295">
        <v>52</v>
      </c>
      <c r="O4" s="18">
        <v>4</v>
      </c>
    </row>
    <row r="5" spans="1:44" ht="37.5" customHeight="1" x14ac:dyDescent="0.3">
      <c r="A5" s="671" t="s">
        <v>683</v>
      </c>
      <c r="B5" s="560" t="s">
        <v>111</v>
      </c>
      <c r="C5" s="560" t="s">
        <v>128</v>
      </c>
      <c r="D5" s="722" t="s">
        <v>1</v>
      </c>
      <c r="E5" s="722">
        <v>2020</v>
      </c>
      <c r="F5" s="723">
        <v>2021</v>
      </c>
      <c r="G5" s="724" t="s">
        <v>1462</v>
      </c>
      <c r="H5" s="725" t="s">
        <v>539</v>
      </c>
      <c r="I5" s="710" t="s">
        <v>13</v>
      </c>
      <c r="M5" s="18" t="s">
        <v>754</v>
      </c>
    </row>
    <row r="6" spans="1:44" ht="22.5" hidden="1" customHeight="1" x14ac:dyDescent="0.3">
      <c r="A6" s="559"/>
      <c r="B6" s="838" t="s">
        <v>127</v>
      </c>
      <c r="C6" s="839"/>
      <c r="D6" s="840"/>
      <c r="E6" s="841"/>
      <c r="F6" s="842"/>
      <c r="G6" s="836"/>
      <c r="H6" s="17"/>
      <c r="M6" s="18" t="s">
        <v>733</v>
      </c>
    </row>
    <row r="7" spans="1:44" s="18" customFormat="1" ht="63.75" hidden="1" customHeight="1" thickBot="1" x14ac:dyDescent="0.35">
      <c r="A7" s="108">
        <v>333</v>
      </c>
      <c r="B7" s="635" t="s">
        <v>67</v>
      </c>
      <c r="C7" s="635" t="s">
        <v>129</v>
      </c>
      <c r="D7" s="705" t="s">
        <v>1341</v>
      </c>
      <c r="E7" s="669" t="e">
        <f>HLOOKUP($D$2,'2020 Data(H)'!$C$1:$CZ$426,99,FALSE)</f>
        <v>#N/A</v>
      </c>
      <c r="F7" s="294">
        <v>0</v>
      </c>
      <c r="G7" s="727">
        <f>IF(F7&lt;0,"Note: Number is normally positive.",)</f>
        <v>0</v>
      </c>
      <c r="H7" s="728"/>
      <c r="I7" s="729"/>
      <c r="J7" s="575" t="s">
        <v>1206</v>
      </c>
      <c r="L7" s="693"/>
      <c r="M7" s="18" t="s">
        <v>755</v>
      </c>
      <c r="N7" s="295"/>
      <c r="Q7" s="294">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hidden="1" customHeight="1" thickBot="1" x14ac:dyDescent="0.35">
      <c r="A8" s="108">
        <v>500</v>
      </c>
      <c r="B8" s="635" t="s">
        <v>55</v>
      </c>
      <c r="C8" s="635" t="s">
        <v>129</v>
      </c>
      <c r="D8" s="705" t="s">
        <v>1342</v>
      </c>
      <c r="E8" s="669" t="e">
        <f>HLOOKUP($D$2,'2020 Data(H)'!$C$1:$CZ$426,150,FALSE)</f>
        <v>#N/A</v>
      </c>
      <c r="F8" s="294">
        <v>0</v>
      </c>
      <c r="G8" s="727">
        <f>IF(F8&lt;0,"Note: Number is normally positive.",)</f>
        <v>0</v>
      </c>
      <c r="H8" s="728"/>
      <c r="I8" s="728"/>
      <c r="J8" s="575"/>
      <c r="L8" s="701"/>
      <c r="M8" s="18" t="s">
        <v>756</v>
      </c>
      <c r="N8" s="295"/>
      <c r="Q8" s="294">
        <v>1528687</v>
      </c>
      <c r="Z8" s="108"/>
      <c r="AA8" s="108"/>
      <c r="AB8" s="108"/>
      <c r="AC8" s="108"/>
      <c r="AD8" s="108"/>
      <c r="AE8" s="108"/>
      <c r="AF8" s="108"/>
      <c r="AG8" s="108"/>
      <c r="AH8" s="108"/>
      <c r="AI8" s="108"/>
      <c r="AJ8" s="108"/>
      <c r="AK8" s="108"/>
      <c r="AL8" s="108"/>
      <c r="AM8" s="108"/>
      <c r="AN8" s="108"/>
      <c r="AO8" s="108"/>
      <c r="AP8" s="108"/>
      <c r="AQ8" s="108"/>
      <c r="AR8" s="108"/>
    </row>
    <row r="9" spans="1:44" ht="51" hidden="1" customHeight="1" thickBot="1" x14ac:dyDescent="0.35">
      <c r="A9" s="108">
        <v>385</v>
      </c>
      <c r="B9" s="593" t="s">
        <v>60</v>
      </c>
      <c r="C9" s="635" t="s">
        <v>129</v>
      </c>
      <c r="D9" s="107" t="s">
        <v>130</v>
      </c>
      <c r="E9" s="669" t="e">
        <f>HLOOKUP($D$2,'2020 Data(H)'!$C$1:$CZ$426,144,FALSE)</f>
        <v>#N/A</v>
      </c>
      <c r="F9" s="294">
        <v>0</v>
      </c>
      <c r="G9" s="727">
        <f>IF((F7+F8)&gt;F9,"Error: Please review Account numbers (333+500)&gt;385",)</f>
        <v>0</v>
      </c>
      <c r="H9" s="17"/>
      <c r="I9" s="728"/>
      <c r="J9" s="575"/>
      <c r="L9" s="701"/>
      <c r="Q9" s="294">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hidden="1" customHeight="1" thickBot="1" x14ac:dyDescent="0.35">
      <c r="A10" s="108">
        <v>575</v>
      </c>
      <c r="B10" s="635" t="s">
        <v>70</v>
      </c>
      <c r="C10" s="635" t="s">
        <v>129</v>
      </c>
      <c r="D10" s="802" t="s">
        <v>1343</v>
      </c>
      <c r="E10" s="669" t="e">
        <f>HLOOKUP($D$2,'2020 Data(H)'!$C$1:$CZ$426,225,FALSE)</f>
        <v>#N/A</v>
      </c>
      <c r="F10" s="294">
        <v>0</v>
      </c>
      <c r="G10" s="727">
        <f>IF(F10&lt;0,"Note: Number is normally positive.",)</f>
        <v>0</v>
      </c>
      <c r="H10" s="730"/>
      <c r="I10" s="731"/>
      <c r="L10" s="701"/>
      <c r="N10" s="295"/>
      <c r="Q10" s="294">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hidden="1" customHeight="1" thickBot="1" x14ac:dyDescent="0.35">
      <c r="A11" s="108">
        <v>576</v>
      </c>
      <c r="B11" s="635" t="s">
        <v>70</v>
      </c>
      <c r="C11" s="635" t="s">
        <v>129</v>
      </c>
      <c r="D11" s="802" t="s">
        <v>1344</v>
      </c>
      <c r="E11" s="669" t="e">
        <f>HLOOKUP($D$2,'2020 Data(H)'!$C$1:$CZ$426,226,FALSE)</f>
        <v>#N/A</v>
      </c>
      <c r="F11" s="294">
        <v>0</v>
      </c>
      <c r="G11" s="727">
        <f>IF(F11&lt;0,"Error: Enter as positive.",)</f>
        <v>0</v>
      </c>
      <c r="H11" s="730"/>
      <c r="I11" s="731"/>
      <c r="J11" s="575"/>
      <c r="L11" s="701"/>
      <c r="N11" s="295"/>
      <c r="Q11" s="294">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hidden="1" customHeight="1" thickBot="1" x14ac:dyDescent="0.35">
      <c r="A12" s="307">
        <v>626</v>
      </c>
      <c r="B12" s="803" t="s">
        <v>805</v>
      </c>
      <c r="C12" s="803" t="s">
        <v>129</v>
      </c>
      <c r="D12" s="337" t="s">
        <v>1345</v>
      </c>
      <c r="E12" s="669" t="e">
        <f>HLOOKUP($D$2,'2020 Data(H)'!$C$1:$CZ$426,285,FALSE)</f>
        <v>#N/A</v>
      </c>
      <c r="F12" s="294">
        <v>0</v>
      </c>
      <c r="G12" s="727">
        <f>IF(F12&lt;0,"Error: Enter as positive.",)</f>
        <v>0</v>
      </c>
      <c r="H12" s="732"/>
      <c r="I12" s="732"/>
      <c r="J12" s="575"/>
      <c r="L12" s="701"/>
      <c r="Q12" s="294">
        <v>136667</v>
      </c>
      <c r="Z12" s="307"/>
      <c r="AA12" s="307"/>
      <c r="AB12" s="307"/>
      <c r="AC12" s="307"/>
      <c r="AD12" s="307"/>
      <c r="AE12" s="307"/>
      <c r="AF12" s="307"/>
      <c r="AG12" s="307"/>
      <c r="AH12" s="307"/>
      <c r="AI12" s="307"/>
      <c r="AJ12" s="307"/>
      <c r="AK12" s="307"/>
      <c r="AL12" s="307"/>
      <c r="AM12" s="307"/>
      <c r="AN12" s="307"/>
      <c r="AO12" s="307"/>
      <c r="AP12" s="307"/>
      <c r="AQ12" s="307"/>
      <c r="AR12" s="307"/>
    </row>
    <row r="13" spans="1:44" ht="89.25" hidden="1" customHeight="1" thickBot="1" x14ac:dyDescent="0.35">
      <c r="A13" s="306">
        <v>627</v>
      </c>
      <c r="B13" s="804" t="s">
        <v>652</v>
      </c>
      <c r="C13" s="803" t="s">
        <v>129</v>
      </c>
      <c r="D13" s="337" t="s">
        <v>1346</v>
      </c>
      <c r="E13" s="669" t="e">
        <f>HLOOKUP($D$2,'2020 Data(H)'!$C$1:$CZ$426,286,FALSE)</f>
        <v>#N/A</v>
      </c>
      <c r="F13" s="294">
        <v>0</v>
      </c>
      <c r="G13" s="727">
        <f>IF(F13&gt;F12,"Please review account numbers 627 &gt;626",)</f>
        <v>0</v>
      </c>
      <c r="H13" s="732"/>
      <c r="I13" s="732"/>
      <c r="J13" s="575"/>
      <c r="L13" s="701"/>
      <c r="Q13" s="294">
        <v>0</v>
      </c>
      <c r="Z13" s="306"/>
      <c r="AA13" s="306"/>
      <c r="AB13" s="306"/>
      <c r="AC13" s="306"/>
      <c r="AD13" s="306"/>
      <c r="AE13" s="306"/>
      <c r="AF13" s="306"/>
      <c r="AG13" s="306"/>
      <c r="AH13" s="306"/>
      <c r="AI13" s="306"/>
      <c r="AJ13" s="306"/>
      <c r="AK13" s="306"/>
      <c r="AL13" s="306"/>
      <c r="AM13" s="306"/>
      <c r="AN13" s="306"/>
      <c r="AO13" s="306"/>
      <c r="AP13" s="306"/>
      <c r="AQ13" s="306"/>
      <c r="AR13" s="306"/>
    </row>
    <row r="14" spans="1:44" ht="105" hidden="1" customHeight="1" thickBot="1" x14ac:dyDescent="0.35">
      <c r="A14" s="306">
        <v>628</v>
      </c>
      <c r="B14" s="804" t="s">
        <v>652</v>
      </c>
      <c r="C14" s="803" t="s">
        <v>129</v>
      </c>
      <c r="D14" s="337" t="s">
        <v>1347</v>
      </c>
      <c r="E14" s="669" t="e">
        <f>HLOOKUP($D$2,'2020 Data(H)'!$C$1:$CZ$426,287,FALSE)</f>
        <v>#N/A</v>
      </c>
      <c r="F14" s="294">
        <v>0</v>
      </c>
      <c r="G14" s="727">
        <f>IF(F14&gt;F12,"Please review account numbers 628 &gt; 626",)</f>
        <v>0</v>
      </c>
      <c r="H14" s="732"/>
      <c r="I14" s="732"/>
      <c r="J14" s="575"/>
      <c r="L14" s="701"/>
      <c r="Q14" s="294">
        <v>56141</v>
      </c>
      <c r="Z14" s="306"/>
      <c r="AA14" s="306"/>
      <c r="AB14" s="306"/>
      <c r="AC14" s="306"/>
      <c r="AD14" s="306"/>
      <c r="AE14" s="306"/>
      <c r="AF14" s="306"/>
      <c r="AG14" s="306"/>
      <c r="AH14" s="306"/>
      <c r="AI14" s="306"/>
      <c r="AJ14" s="306"/>
      <c r="AK14" s="306"/>
      <c r="AL14" s="306"/>
      <c r="AM14" s="306"/>
      <c r="AN14" s="306"/>
      <c r="AO14" s="306"/>
      <c r="AP14" s="306"/>
      <c r="AQ14" s="306"/>
      <c r="AR14" s="306"/>
    </row>
    <row r="15" spans="1:44" ht="95.25" hidden="1" customHeight="1" thickBot="1" x14ac:dyDescent="0.35">
      <c r="A15" s="306">
        <v>629</v>
      </c>
      <c r="B15" s="804" t="s">
        <v>652</v>
      </c>
      <c r="C15" s="803" t="s">
        <v>129</v>
      </c>
      <c r="D15" s="337" t="s">
        <v>1348</v>
      </c>
      <c r="E15" s="669" t="e">
        <f>HLOOKUP($D$2,'2020 Data(H)'!$C$1:$CZ$426,288,FALSE)</f>
        <v>#N/A</v>
      </c>
      <c r="F15" s="294">
        <v>0</v>
      </c>
      <c r="G15" s="727">
        <f>IF(F15&gt;F12,"Please review account numbers 629 &gt; 626",)</f>
        <v>0</v>
      </c>
      <c r="H15" s="732"/>
      <c r="I15" s="732"/>
      <c r="J15" s="575"/>
      <c r="L15" s="701"/>
      <c r="Q15" s="294">
        <v>0</v>
      </c>
      <c r="Z15" s="306"/>
      <c r="AA15" s="306"/>
      <c r="AB15" s="306"/>
      <c r="AC15" s="306"/>
      <c r="AD15" s="306"/>
      <c r="AE15" s="306"/>
      <c r="AF15" s="306"/>
      <c r="AG15" s="306"/>
      <c r="AH15" s="306"/>
      <c r="AI15" s="306"/>
      <c r="AJ15" s="306"/>
      <c r="AK15" s="306"/>
      <c r="AL15" s="306"/>
      <c r="AM15" s="306"/>
      <c r="AN15" s="306"/>
      <c r="AO15" s="306"/>
      <c r="AP15" s="306"/>
      <c r="AQ15" s="306"/>
      <c r="AR15" s="306"/>
    </row>
    <row r="16" spans="1:44" ht="69" hidden="1" customHeight="1" thickBot="1" x14ac:dyDescent="0.35">
      <c r="A16" s="306">
        <v>630</v>
      </c>
      <c r="B16" s="804" t="s">
        <v>652</v>
      </c>
      <c r="C16" s="803" t="s">
        <v>129</v>
      </c>
      <c r="D16" s="337" t="s">
        <v>749</v>
      </c>
      <c r="E16" s="669" t="e">
        <f>HLOOKUP($D$2,'2020 Data(H)'!$C$1:$CZ$426,289,FALSE)</f>
        <v>#N/A</v>
      </c>
      <c r="F16" s="294">
        <v>0</v>
      </c>
      <c r="G16" s="727">
        <f>IF(F16&gt;F12,"Please review account numbers 630 &gt; 626",)</f>
        <v>0</v>
      </c>
      <c r="H16" s="732"/>
      <c r="I16" s="732"/>
      <c r="J16" s="575"/>
      <c r="L16" s="701"/>
      <c r="Q16" s="294">
        <v>0</v>
      </c>
      <c r="Z16" s="306"/>
      <c r="AA16" s="306"/>
      <c r="AB16" s="306"/>
      <c r="AC16" s="306"/>
      <c r="AD16" s="306"/>
      <c r="AE16" s="306"/>
      <c r="AF16" s="306"/>
      <c r="AG16" s="306"/>
      <c r="AH16" s="306"/>
      <c r="AI16" s="306"/>
      <c r="AJ16" s="306"/>
      <c r="AK16" s="306"/>
      <c r="AL16" s="306"/>
      <c r="AM16" s="306"/>
      <c r="AN16" s="306"/>
      <c r="AO16" s="306"/>
      <c r="AP16" s="306"/>
      <c r="AQ16" s="306"/>
      <c r="AR16" s="306"/>
    </row>
    <row r="17" spans="1:44" ht="95.25" hidden="1" customHeight="1" thickBot="1" x14ac:dyDescent="0.35">
      <c r="A17" s="306">
        <v>631</v>
      </c>
      <c r="B17" s="804" t="s">
        <v>652</v>
      </c>
      <c r="C17" s="803" t="s">
        <v>129</v>
      </c>
      <c r="D17" s="337" t="s">
        <v>1349</v>
      </c>
      <c r="E17" s="669" t="e">
        <f>HLOOKUP($D$2,'2020 Data(H)'!$C$1:$CZ$426,290,FALSE)</f>
        <v>#N/A</v>
      </c>
      <c r="F17" s="294">
        <v>0</v>
      </c>
      <c r="G17" s="727">
        <f>IF(F17&gt;F12,"Please review account numbers 631 &gt; 626",)</f>
        <v>0</v>
      </c>
      <c r="H17" s="732"/>
      <c r="I17" s="732"/>
      <c r="J17" s="575"/>
      <c r="L17" s="701"/>
      <c r="Q17" s="294">
        <v>0</v>
      </c>
      <c r="Z17" s="306"/>
      <c r="AA17" s="306"/>
      <c r="AB17" s="306"/>
      <c r="AC17" s="306"/>
      <c r="AD17" s="306"/>
      <c r="AE17" s="306"/>
      <c r="AF17" s="306"/>
      <c r="AG17" s="306"/>
      <c r="AH17" s="306"/>
      <c r="AI17" s="306"/>
      <c r="AJ17" s="306"/>
      <c r="AK17" s="306"/>
      <c r="AL17" s="306"/>
      <c r="AM17" s="306"/>
      <c r="AN17" s="306"/>
      <c r="AO17" s="306"/>
      <c r="AP17" s="306"/>
      <c r="AQ17" s="306"/>
      <c r="AR17" s="306"/>
    </row>
    <row r="18" spans="1:44" ht="111.75" hidden="1" customHeight="1" thickBot="1" x14ac:dyDescent="0.35">
      <c r="A18" s="306">
        <v>632</v>
      </c>
      <c r="B18" s="804" t="s">
        <v>652</v>
      </c>
      <c r="C18" s="803" t="s">
        <v>129</v>
      </c>
      <c r="D18" s="337" t="s">
        <v>1350</v>
      </c>
      <c r="E18" s="669" t="e">
        <f>HLOOKUP($D$2,'2020 Data(H)'!$C$1:$CZ$426,291,FALSE)</f>
        <v>#N/A</v>
      </c>
      <c r="F18" s="294">
        <v>0</v>
      </c>
      <c r="G18" s="727">
        <f>IF(F18&gt;F12,"Please review account numbers 632 &gt; 626",)</f>
        <v>0</v>
      </c>
      <c r="H18" s="732"/>
      <c r="I18" s="732"/>
      <c r="J18" s="575"/>
      <c r="L18" s="701"/>
      <c r="Q18" s="294">
        <v>0</v>
      </c>
      <c r="Z18" s="306"/>
      <c r="AA18" s="306"/>
      <c r="AB18" s="306"/>
      <c r="AC18" s="306"/>
      <c r="AD18" s="306"/>
      <c r="AE18" s="306"/>
      <c r="AF18" s="306"/>
      <c r="AG18" s="306"/>
      <c r="AH18" s="306"/>
      <c r="AI18" s="306"/>
      <c r="AJ18" s="306"/>
      <c r="AK18" s="306"/>
      <c r="AL18" s="306"/>
      <c r="AM18" s="306"/>
      <c r="AN18" s="306"/>
      <c r="AO18" s="306"/>
      <c r="AP18" s="306"/>
      <c r="AQ18" s="306"/>
      <c r="AR18" s="306"/>
    </row>
    <row r="19" spans="1:44" ht="55.5" hidden="1" customHeight="1" thickBot="1" x14ac:dyDescent="0.35">
      <c r="A19" s="108">
        <v>338</v>
      </c>
      <c r="B19" s="593" t="s">
        <v>56</v>
      </c>
      <c r="C19" s="635" t="s">
        <v>129</v>
      </c>
      <c r="D19" s="107" t="s">
        <v>131</v>
      </c>
      <c r="E19" s="669" t="e">
        <f>HLOOKUP($D$2,'2020 Data(H)'!$C$1:$CZ$426,104,FALSE)</f>
        <v>#N/A</v>
      </c>
      <c r="F19" s="294">
        <v>0</v>
      </c>
      <c r="G19" s="727" t="str">
        <f>IF(F12&gt;F19,"Error: Please review accts 626 &gt; 338","")</f>
        <v/>
      </c>
      <c r="H19" s="17"/>
      <c r="I19" s="728"/>
      <c r="J19" s="575"/>
      <c r="L19" s="701"/>
      <c r="Q19" s="294">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hidden="1" customHeight="1" thickBot="1" x14ac:dyDescent="0.35">
      <c r="A20" s="108">
        <v>335</v>
      </c>
      <c r="B20" s="593" t="s">
        <v>56</v>
      </c>
      <c r="C20" s="635" t="s">
        <v>129</v>
      </c>
      <c r="D20" s="705" t="s">
        <v>1351</v>
      </c>
      <c r="E20" s="669" t="e">
        <f>HLOOKUP($D$2,'2020 Data(H)'!$C$1:$CZ$426,101,FALSE)</f>
        <v>#N/A</v>
      </c>
      <c r="F20" s="294">
        <v>0</v>
      </c>
      <c r="G20" s="727">
        <f>IF(F20&lt;0,"Error: Enter as positive.",)</f>
        <v>0</v>
      </c>
      <c r="H20" s="17"/>
      <c r="I20" s="372"/>
      <c r="J20" s="575"/>
      <c r="L20" s="701"/>
      <c r="Q20" s="294">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hidden="1" customHeight="1" thickBot="1" x14ac:dyDescent="0.35">
      <c r="A21" s="108">
        <v>252</v>
      </c>
      <c r="B21" s="593" t="s">
        <v>56</v>
      </c>
      <c r="C21" s="635" t="s">
        <v>129</v>
      </c>
      <c r="D21" s="107" t="s">
        <v>132</v>
      </c>
      <c r="E21" s="669" t="e">
        <f>HLOOKUP($D$2,'2020 Data(H)'!$C$1:$CZ$426,78,FALSE)</f>
        <v>#N/A</v>
      </c>
      <c r="F21" s="294">
        <v>0</v>
      </c>
      <c r="G21" s="733"/>
      <c r="H21" s="17"/>
      <c r="I21" s="79"/>
      <c r="J21" s="575"/>
      <c r="L21" s="701"/>
      <c r="Q21" s="294">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hidden="1" thickBot="1" x14ac:dyDescent="0.35">
      <c r="A22" s="108">
        <v>253</v>
      </c>
      <c r="B22" s="593" t="s">
        <v>56</v>
      </c>
      <c r="C22" s="635" t="s">
        <v>129</v>
      </c>
      <c r="D22" s="107" t="s">
        <v>133</v>
      </c>
      <c r="E22" s="669" t="e">
        <f>HLOOKUP($D$2,'2020 Data(H)'!$C$1:$CZ$426,79,FALSE)</f>
        <v>#N/A</v>
      </c>
      <c r="F22" s="294">
        <v>0</v>
      </c>
      <c r="G22" s="727"/>
      <c r="H22" s="17"/>
      <c r="I22" s="79"/>
      <c r="J22" s="575"/>
      <c r="L22" s="701"/>
      <c r="Q22" s="294">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hidden="1" customHeight="1" thickBot="1" x14ac:dyDescent="0.35">
      <c r="A23" s="108">
        <v>254</v>
      </c>
      <c r="B23" s="593" t="s">
        <v>56</v>
      </c>
      <c r="C23" s="635" t="s">
        <v>129</v>
      </c>
      <c r="D23" s="107" t="s">
        <v>1352</v>
      </c>
      <c r="E23" s="669" t="e">
        <f>HLOOKUP($D$2,'2020 Data(H)'!$C$1:$CZ$426,80,FALSE)</f>
        <v>#N/A</v>
      </c>
      <c r="F23" s="294">
        <v>0</v>
      </c>
      <c r="G23" s="727">
        <f>IF(H23=0,,"Error: Total assets and deferred outflows less total liabilities and deferred inflows do not equal total net position. Account numbers  385-338-252-253-254 = 0.  The amount the formula is off is located in the cell to the right")</f>
        <v>0</v>
      </c>
      <c r="H23" s="730">
        <f>F9-F19-F21-F22-F23</f>
        <v>0</v>
      </c>
      <c r="I23" s="79"/>
      <c r="J23" s="575"/>
      <c r="L23" s="701"/>
      <c r="Q23" s="294">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29" t="s">
        <v>134</v>
      </c>
      <c r="C24" s="830"/>
      <c r="D24" s="833"/>
      <c r="E24" s="834"/>
      <c r="F24" s="843"/>
      <c r="G24" s="844"/>
      <c r="H24" s="17"/>
      <c r="I24" s="79"/>
      <c r="L24" s="701"/>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593" t="s">
        <v>55</v>
      </c>
      <c r="C25" s="635" t="s">
        <v>136</v>
      </c>
      <c r="D25" s="705" t="s">
        <v>1353</v>
      </c>
      <c r="E25" s="669" t="e">
        <f>HLOOKUP($D$2,'2020 Data(H)'!$C$1:$CZ$426,152,FALSE)</f>
        <v>#N/A</v>
      </c>
      <c r="F25" s="294">
        <v>0</v>
      </c>
      <c r="G25" s="727">
        <f>IF(F25&lt;0,"Note: Number is normally positive.",)</f>
        <v>0</v>
      </c>
      <c r="H25" s="17"/>
      <c r="I25" s="79"/>
      <c r="L25" s="701"/>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593" t="s">
        <v>55</v>
      </c>
      <c r="C26" s="635" t="s">
        <v>136</v>
      </c>
      <c r="D26" s="107" t="s">
        <v>135</v>
      </c>
      <c r="E26" s="669" t="e">
        <f>HLOOKUP($D$2,'2020 Data(H)'!$C$1:$CZ$426,153,FALSE)</f>
        <v>#N/A</v>
      </c>
      <c r="F26" s="274">
        <v>0</v>
      </c>
      <c r="G26" s="727">
        <f>IF(F26&lt;0,"Note: Number is normally positive.",)</f>
        <v>0</v>
      </c>
      <c r="H26" s="17"/>
      <c r="I26" s="79"/>
      <c r="L26" s="701"/>
      <c r="Z26" s="108"/>
      <c r="AA26" s="108"/>
      <c r="AB26" s="108"/>
      <c r="AC26" s="108"/>
      <c r="AD26" s="108"/>
      <c r="AE26" s="108"/>
      <c r="AF26" s="108"/>
      <c r="AG26" s="108"/>
      <c r="AH26" s="108"/>
      <c r="AI26" s="108"/>
      <c r="AJ26" s="108"/>
      <c r="AK26" s="108"/>
      <c r="AL26" s="108"/>
      <c r="AM26" s="108"/>
      <c r="AN26" s="108"/>
      <c r="AO26" s="108"/>
      <c r="AP26" s="108"/>
      <c r="AQ26" s="108"/>
      <c r="AR26" s="108"/>
    </row>
    <row r="27" spans="1:44" ht="27" hidden="1" customHeight="1" thickBot="1" x14ac:dyDescent="0.35">
      <c r="A27" s="108"/>
      <c r="B27" s="829" t="s">
        <v>137</v>
      </c>
      <c r="C27" s="830"/>
      <c r="D27" s="833"/>
      <c r="E27" s="834"/>
      <c r="F27" s="835"/>
      <c r="G27" s="836"/>
      <c r="H27" s="17"/>
      <c r="I27" s="79"/>
      <c r="L27" s="701"/>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08">
        <v>344</v>
      </c>
      <c r="B28" s="593" t="s">
        <v>56</v>
      </c>
      <c r="C28" s="593" t="s">
        <v>144</v>
      </c>
      <c r="D28" s="107" t="s">
        <v>138</v>
      </c>
      <c r="E28" s="669" t="e">
        <f>HLOOKUP($D$2,'2020 Data(H)'!$C$1:$CZ$426,110,FALSE)</f>
        <v>#N/A</v>
      </c>
      <c r="F28" s="294">
        <v>0</v>
      </c>
      <c r="G28" s="727">
        <f t="shared" ref="G28:G35" si="0">IF(F28&lt;0,"Error: Enter as positive.",)</f>
        <v>0</v>
      </c>
      <c r="H28" s="17"/>
      <c r="I28" s="79"/>
      <c r="L28" s="701"/>
      <c r="Z28" s="108"/>
      <c r="AA28" s="108"/>
      <c r="AB28" s="108"/>
      <c r="AC28" s="108"/>
      <c r="AD28" s="108"/>
      <c r="AE28" s="108"/>
      <c r="AF28" s="108"/>
      <c r="AG28" s="108"/>
      <c r="AH28" s="108"/>
      <c r="AI28" s="108"/>
      <c r="AJ28" s="108"/>
      <c r="AK28" s="108"/>
      <c r="AL28" s="108"/>
      <c r="AM28" s="108"/>
      <c r="AN28" s="108"/>
      <c r="AO28" s="108"/>
      <c r="AP28" s="108"/>
      <c r="AQ28" s="108"/>
      <c r="AR28" s="108"/>
    </row>
    <row r="29" spans="1:44" ht="49.5" hidden="1" customHeight="1" thickBot="1" x14ac:dyDescent="0.35">
      <c r="A29" s="108">
        <v>388</v>
      </c>
      <c r="B29" s="593" t="s">
        <v>60</v>
      </c>
      <c r="C29" s="593" t="s">
        <v>144</v>
      </c>
      <c r="D29" s="107" t="s">
        <v>139</v>
      </c>
      <c r="E29" s="669" t="e">
        <f>HLOOKUP($D$2,'2020 Data(H)'!$C$1:$CZ$426,147,FALSE)</f>
        <v>#N/A</v>
      </c>
      <c r="F29" s="294">
        <v>0</v>
      </c>
      <c r="G29" s="727">
        <f t="shared" si="0"/>
        <v>0</v>
      </c>
      <c r="H29" s="17"/>
      <c r="I29" s="79"/>
      <c r="J29" s="575"/>
      <c r="L29" s="701"/>
      <c r="Z29" s="108"/>
      <c r="AA29" s="108"/>
      <c r="AB29" s="108"/>
      <c r="AC29" s="108"/>
      <c r="AD29" s="108"/>
      <c r="AE29" s="108"/>
      <c r="AF29" s="108"/>
      <c r="AG29" s="108"/>
      <c r="AH29" s="108"/>
      <c r="AI29" s="108"/>
      <c r="AJ29" s="108"/>
      <c r="AK29" s="108"/>
      <c r="AL29" s="108"/>
      <c r="AM29" s="108"/>
      <c r="AN29" s="108"/>
      <c r="AO29" s="108"/>
      <c r="AP29" s="108"/>
      <c r="AQ29" s="108"/>
      <c r="AR29" s="108"/>
    </row>
    <row r="30" spans="1:44" ht="51.75" hidden="1" customHeight="1" thickBot="1" x14ac:dyDescent="0.35">
      <c r="A30" s="108">
        <v>339</v>
      </c>
      <c r="B30" s="593" t="s">
        <v>56</v>
      </c>
      <c r="C30" s="593" t="s">
        <v>144</v>
      </c>
      <c r="D30" s="107" t="s">
        <v>140</v>
      </c>
      <c r="E30" s="669" t="e">
        <f>HLOOKUP($D$2,'2020 Data(H)'!$C$1:$CZ$426,105,FALSE)</f>
        <v>#N/A</v>
      </c>
      <c r="F30" s="294">
        <v>0</v>
      </c>
      <c r="G30" s="727">
        <f t="shared" si="0"/>
        <v>0</v>
      </c>
      <c r="H30" s="17"/>
      <c r="I30" s="79"/>
      <c r="J30" s="575"/>
      <c r="L30" s="701"/>
      <c r="Z30" s="108"/>
      <c r="AA30" s="108"/>
      <c r="AB30" s="108"/>
      <c r="AC30" s="108"/>
      <c r="AD30" s="108"/>
      <c r="AE30" s="108"/>
      <c r="AF30" s="108"/>
      <c r="AG30" s="108"/>
      <c r="AH30" s="108"/>
      <c r="AI30" s="108"/>
      <c r="AJ30" s="108"/>
      <c r="AK30" s="108"/>
      <c r="AL30" s="108"/>
      <c r="AM30" s="108"/>
      <c r="AN30" s="108"/>
      <c r="AO30" s="108"/>
      <c r="AP30" s="108"/>
      <c r="AQ30" s="108"/>
      <c r="AR30" s="108"/>
    </row>
    <row r="31" spans="1:44" ht="50.25" hidden="1" customHeight="1" thickBot="1" x14ac:dyDescent="0.35">
      <c r="A31" s="108">
        <v>504</v>
      </c>
      <c r="B31" s="593" t="s">
        <v>56</v>
      </c>
      <c r="C31" s="593" t="s">
        <v>144</v>
      </c>
      <c r="D31" s="107" t="s">
        <v>141</v>
      </c>
      <c r="E31" s="669" t="e">
        <f>HLOOKUP($D$2,'2020 Data(H)'!$C$1:$CZ$426,154,FALSE)</f>
        <v>#N/A</v>
      </c>
      <c r="F31" s="294">
        <v>0</v>
      </c>
      <c r="G31" s="727">
        <f t="shared" si="0"/>
        <v>0</v>
      </c>
      <c r="H31" s="17"/>
      <c r="I31" s="79"/>
      <c r="J31" s="575"/>
      <c r="L31" s="701"/>
      <c r="Z31" s="108"/>
      <c r="AA31" s="108"/>
      <c r="AB31" s="108"/>
      <c r="AC31" s="108"/>
      <c r="AD31" s="108"/>
      <c r="AE31" s="108"/>
      <c r="AF31" s="108"/>
      <c r="AG31" s="108"/>
      <c r="AH31" s="108"/>
      <c r="AI31" s="108"/>
      <c r="AJ31" s="108"/>
      <c r="AK31" s="108"/>
      <c r="AL31" s="108"/>
      <c r="AM31" s="108"/>
      <c r="AN31" s="108"/>
      <c r="AO31" s="108"/>
      <c r="AP31" s="108"/>
      <c r="AQ31" s="108"/>
      <c r="AR31" s="108"/>
    </row>
    <row r="32" spans="1:44" ht="60" hidden="1" customHeight="1" thickBot="1" x14ac:dyDescent="0.35">
      <c r="A32" s="108">
        <v>505</v>
      </c>
      <c r="B32" s="593" t="s">
        <v>56</v>
      </c>
      <c r="C32" s="593" t="s">
        <v>144</v>
      </c>
      <c r="D32" s="687" t="s">
        <v>142</v>
      </c>
      <c r="E32" s="669" t="e">
        <f>HLOOKUP($D$2,'2020 Data(H)'!$C$1:$CZ$426,155,FALSE)</f>
        <v>#N/A</v>
      </c>
      <c r="F32" s="294">
        <v>0</v>
      </c>
      <c r="G32" s="727">
        <f t="shared" si="0"/>
        <v>0</v>
      </c>
      <c r="H32" s="17"/>
      <c r="I32" s="79"/>
      <c r="J32" s="575"/>
      <c r="L32" s="701"/>
      <c r="Z32" s="108"/>
      <c r="AA32" s="108"/>
      <c r="AB32" s="108"/>
      <c r="AC32" s="108"/>
      <c r="AD32" s="108"/>
      <c r="AE32" s="108"/>
      <c r="AF32" s="108"/>
      <c r="AG32" s="108"/>
      <c r="AH32" s="108"/>
      <c r="AI32" s="108"/>
      <c r="AJ32" s="108"/>
      <c r="AK32" s="108"/>
      <c r="AL32" s="108"/>
      <c r="AM32" s="108"/>
      <c r="AN32" s="108"/>
      <c r="AO32" s="108"/>
      <c r="AP32" s="108"/>
      <c r="AQ32" s="108"/>
      <c r="AR32" s="108"/>
    </row>
    <row r="33" spans="1:44" ht="67.95" hidden="1" customHeight="1" thickBot="1" x14ac:dyDescent="0.35">
      <c r="A33" s="108">
        <v>341</v>
      </c>
      <c r="B33" s="593" t="s">
        <v>56</v>
      </c>
      <c r="C33" s="593" t="s">
        <v>144</v>
      </c>
      <c r="D33" s="705" t="s">
        <v>1354</v>
      </c>
      <c r="E33" s="669" t="e">
        <f>HLOOKUP($D$2,'2020 Data(H)'!$C$1:$CZ$426,107,FALSE)</f>
        <v>#N/A</v>
      </c>
      <c r="F33" s="294">
        <v>0</v>
      </c>
      <c r="G33" s="727">
        <f t="shared" si="0"/>
        <v>0</v>
      </c>
      <c r="H33" s="17"/>
      <c r="I33" s="79"/>
      <c r="J33" s="575"/>
      <c r="L33" s="701"/>
      <c r="Z33" s="108"/>
      <c r="AA33" s="108"/>
      <c r="AB33" s="108"/>
      <c r="AC33" s="108"/>
      <c r="AD33" s="108"/>
      <c r="AE33" s="108"/>
      <c r="AF33" s="108"/>
      <c r="AG33" s="108"/>
      <c r="AH33" s="108"/>
      <c r="AI33" s="108"/>
      <c r="AJ33" s="108"/>
      <c r="AK33" s="108"/>
      <c r="AL33" s="108"/>
      <c r="AM33" s="108"/>
      <c r="AN33" s="108"/>
      <c r="AO33" s="108"/>
      <c r="AP33" s="108"/>
      <c r="AQ33" s="108"/>
      <c r="AR33" s="108"/>
    </row>
    <row r="34" spans="1:44" ht="44.25" hidden="1" customHeight="1" thickBot="1" x14ac:dyDescent="0.35">
      <c r="A34" s="108">
        <v>386</v>
      </c>
      <c r="B34" s="593" t="s">
        <v>56</v>
      </c>
      <c r="C34" s="593" t="s">
        <v>144</v>
      </c>
      <c r="D34" s="107" t="s">
        <v>1355</v>
      </c>
      <c r="E34" s="669" t="e">
        <f>HLOOKUP($D$2,'2020 Data(H)'!$C$1:$CZ$426,145,FALSE)</f>
        <v>#N/A</v>
      </c>
      <c r="F34" s="294">
        <v>0</v>
      </c>
      <c r="G34" s="727">
        <f t="shared" si="0"/>
        <v>0</v>
      </c>
      <c r="H34" s="17"/>
      <c r="I34" s="79"/>
      <c r="L34" s="701"/>
      <c r="Z34" s="108"/>
      <c r="AA34" s="108"/>
      <c r="AB34" s="108"/>
      <c r="AC34" s="108"/>
      <c r="AD34" s="108"/>
      <c r="AE34" s="108"/>
      <c r="AF34" s="108"/>
      <c r="AG34" s="108"/>
      <c r="AH34" s="108"/>
      <c r="AI34" s="108"/>
      <c r="AJ34" s="108"/>
      <c r="AK34" s="108"/>
      <c r="AL34" s="108"/>
      <c r="AM34" s="108"/>
      <c r="AN34" s="108"/>
      <c r="AO34" s="108"/>
      <c r="AP34" s="108"/>
      <c r="AQ34" s="108"/>
      <c r="AR34" s="108"/>
    </row>
    <row r="35" spans="1:44" ht="48.75" hidden="1" customHeight="1" thickBot="1" x14ac:dyDescent="0.35">
      <c r="A35" s="108">
        <v>387</v>
      </c>
      <c r="B35" s="593" t="s">
        <v>60</v>
      </c>
      <c r="C35" s="593" t="s">
        <v>144</v>
      </c>
      <c r="D35" s="107" t="s">
        <v>1356</v>
      </c>
      <c r="E35" s="669" t="e">
        <f>HLOOKUP($D$2,'2020 Data(H)'!$C$1:$CZ$426,146,FALSE)</f>
        <v>#N/A</v>
      </c>
      <c r="F35" s="294">
        <v>0</v>
      </c>
      <c r="G35" s="727">
        <f t="shared" si="0"/>
        <v>0</v>
      </c>
      <c r="H35" s="17"/>
      <c r="I35" s="79"/>
      <c r="L35" s="701"/>
      <c r="Z35" s="108"/>
      <c r="AA35" s="108"/>
      <c r="AB35" s="108"/>
      <c r="AC35" s="108"/>
      <c r="AD35" s="108"/>
      <c r="AE35" s="108"/>
      <c r="AF35" s="108"/>
      <c r="AG35" s="108"/>
      <c r="AH35" s="108"/>
      <c r="AI35" s="108"/>
      <c r="AJ35" s="108"/>
      <c r="AK35" s="108"/>
      <c r="AL35" s="108"/>
      <c r="AM35" s="108"/>
      <c r="AN35" s="108"/>
      <c r="AO35" s="108"/>
      <c r="AP35" s="108"/>
      <c r="AQ35" s="108"/>
      <c r="AR35" s="108"/>
    </row>
    <row r="36" spans="1:44" ht="92.25" hidden="1" customHeight="1" thickBot="1" x14ac:dyDescent="0.35">
      <c r="A36" s="108">
        <v>389</v>
      </c>
      <c r="B36" s="593" t="s">
        <v>60</v>
      </c>
      <c r="C36" s="593" t="s">
        <v>144</v>
      </c>
      <c r="D36" s="705" t="s">
        <v>1357</v>
      </c>
      <c r="E36" s="669" t="e">
        <f>HLOOKUP($D$2,'2020 Data(H)'!$C$1:$CZ$426,148,FALSE)</f>
        <v>#N/A</v>
      </c>
      <c r="F36" s="294">
        <v>0</v>
      </c>
      <c r="G36" s="727"/>
      <c r="H36" s="17"/>
      <c r="I36" s="79"/>
      <c r="J36" s="575"/>
      <c r="L36" s="701"/>
      <c r="Z36" s="108"/>
      <c r="AA36" s="108"/>
      <c r="AB36" s="108"/>
      <c r="AC36" s="108"/>
      <c r="AD36" s="108"/>
      <c r="AE36" s="108"/>
      <c r="AF36" s="108"/>
      <c r="AG36" s="108"/>
      <c r="AH36" s="108"/>
      <c r="AI36" s="108"/>
      <c r="AJ36" s="108"/>
      <c r="AK36" s="108"/>
      <c r="AL36" s="108"/>
      <c r="AM36" s="108"/>
      <c r="AN36" s="108"/>
      <c r="AO36" s="108"/>
      <c r="AP36" s="108"/>
      <c r="AQ36" s="108"/>
      <c r="AR36" s="108"/>
    </row>
    <row r="37" spans="1:44" ht="84.75" hidden="1" customHeight="1" thickBot="1" x14ac:dyDescent="0.35">
      <c r="A37" s="108">
        <v>255</v>
      </c>
      <c r="B37" s="593" t="s">
        <v>56</v>
      </c>
      <c r="C37" s="593" t="s">
        <v>144</v>
      </c>
      <c r="D37" s="705" t="s">
        <v>1358</v>
      </c>
      <c r="E37" s="669" t="e">
        <f>HLOOKUP($D$2,'2020 Data(H)'!$C$1:$CZ$426,81,FALSE)</f>
        <v>#N/A</v>
      </c>
      <c r="F37" s="294">
        <v>0</v>
      </c>
      <c r="G37" s="727">
        <f>IF(H37=0,,"Error: Total revenues less total expenses do not equal total change in net position. Account numbers 339+504+505+341+386-387+389-388-255 = 0  The amount the formula is off is located in the cell to the right")</f>
        <v>0</v>
      </c>
      <c r="H37" s="730">
        <f>F30+F31+F32+F33+F34-F35+F36-F29-F37</f>
        <v>0</v>
      </c>
      <c r="I37" s="79"/>
      <c r="J37" s="575"/>
      <c r="L37" s="701"/>
      <c r="Z37" s="108"/>
      <c r="AA37" s="108"/>
      <c r="AB37" s="108"/>
      <c r="AC37" s="108"/>
      <c r="AD37" s="108"/>
      <c r="AE37" s="108"/>
      <c r="AF37" s="108"/>
      <c r="AG37" s="108"/>
      <c r="AH37" s="108"/>
      <c r="AI37" s="108"/>
      <c r="AJ37" s="108"/>
      <c r="AK37" s="108"/>
      <c r="AL37" s="108"/>
      <c r="AM37" s="108"/>
      <c r="AN37" s="108"/>
      <c r="AO37" s="108"/>
      <c r="AP37" s="108"/>
      <c r="AQ37" s="108"/>
      <c r="AR37" s="108"/>
    </row>
    <row r="38" spans="1:44" ht="138" hidden="1" customHeight="1" thickBot="1" x14ac:dyDescent="0.35">
      <c r="A38" s="108">
        <v>376</v>
      </c>
      <c r="B38" s="593" t="s">
        <v>56</v>
      </c>
      <c r="C38" s="593" t="s">
        <v>144</v>
      </c>
      <c r="D38" s="705" t="s">
        <v>1359</v>
      </c>
      <c r="E38" s="669" t="e">
        <f>HLOOKUP($D$2,'2020 Data(H)'!$C$1:$CZ$426,135,FALSE)</f>
        <v>#N/A</v>
      </c>
      <c r="F38" s="292">
        <v>0</v>
      </c>
      <c r="G38" s="893" t="e">
        <f>IF(H38=0,,"Error: Beginning Balance does not agree with our records.  Account numbers  252+253+254-255-376-(Prior Year 252+253+254)=0  The amount the formula is off is located in the cell to the right")</f>
        <v>#N/A</v>
      </c>
      <c r="H38" s="734" t="e">
        <f>F21+F22+F23-F37-F38-(E21+E22+E23)</f>
        <v>#N/A</v>
      </c>
      <c r="I38" s="825"/>
      <c r="J38" s="575"/>
      <c r="L38" s="701"/>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08">
        <v>597</v>
      </c>
      <c r="B39" s="635" t="s">
        <v>570</v>
      </c>
      <c r="C39" s="635" t="s">
        <v>613</v>
      </c>
      <c r="D39" s="805" t="s">
        <v>1360</v>
      </c>
      <c r="E39" s="669" t="e">
        <f>HLOOKUP($D$2,'2020 Data(H)'!$C$1:$CZ$426,256,FALSE)</f>
        <v>#N/A</v>
      </c>
      <c r="F39" s="292">
        <v>0</v>
      </c>
      <c r="G39" s="727">
        <f>IF(F39&lt;0,"Note: Number is normally positive.",)</f>
        <v>0</v>
      </c>
      <c r="H39" s="728"/>
      <c r="I39" s="729"/>
      <c r="J39" s="575"/>
      <c r="L39" s="701"/>
      <c r="N39" s="295"/>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29" t="s">
        <v>569</v>
      </c>
      <c r="C40" s="830"/>
      <c r="D40" s="833"/>
      <c r="E40" s="834"/>
      <c r="F40" s="835"/>
      <c r="G40" s="836"/>
      <c r="H40" s="17"/>
      <c r="I40" s="79"/>
      <c r="L40" s="701"/>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35" t="s">
        <v>59</v>
      </c>
      <c r="C41" s="635" t="s">
        <v>571</v>
      </c>
      <c r="D41" s="705" t="s">
        <v>1361</v>
      </c>
      <c r="E41" s="669" t="e">
        <f>HLOOKUP($D$2,'2020 Data(H)'!$C$1:$CZ$426,253,FALSE)</f>
        <v>#N/A</v>
      </c>
      <c r="F41" s="735">
        <v>0</v>
      </c>
      <c r="G41" s="727"/>
      <c r="H41" s="728"/>
      <c r="J41" s="575"/>
      <c r="L41" s="701"/>
      <c r="N41" s="295"/>
      <c r="Z41" s="108"/>
      <c r="AA41" s="108"/>
      <c r="AB41" s="108"/>
      <c r="AC41" s="108"/>
      <c r="AD41" s="108"/>
      <c r="AE41" s="108"/>
      <c r="AF41" s="108"/>
      <c r="AG41" s="108"/>
      <c r="AH41" s="108"/>
      <c r="AI41" s="108"/>
      <c r="AJ41" s="108"/>
      <c r="AK41" s="108"/>
      <c r="AL41" s="108"/>
      <c r="AM41" s="108"/>
      <c r="AN41" s="108"/>
      <c r="AO41" s="108"/>
      <c r="AP41" s="108"/>
      <c r="AQ41" s="108"/>
      <c r="AR41" s="108"/>
    </row>
    <row r="42" spans="1:44" s="1251" customFormat="1" ht="71.25" customHeight="1" thickBot="1" x14ac:dyDescent="0.35">
      <c r="A42" s="1248">
        <v>591</v>
      </c>
      <c r="B42" s="635" t="s">
        <v>59</v>
      </c>
      <c r="C42" s="635" t="s">
        <v>571</v>
      </c>
      <c r="D42" s="29" t="s">
        <v>572</v>
      </c>
      <c r="E42" s="1249" t="e">
        <f>HLOOKUP($D$2,'2020 Data(H)'!$C$1:$CZ$426,252,FALSE)</f>
        <v>#N/A</v>
      </c>
      <c r="F42" s="1250">
        <v>0</v>
      </c>
      <c r="G42" s="727">
        <f>IF(F42&lt;0,"Error: Enter as positive.",)</f>
        <v>0</v>
      </c>
      <c r="H42" s="728"/>
      <c r="J42" s="1252"/>
      <c r="L42" s="701"/>
      <c r="N42" s="1253"/>
      <c r="Z42" s="1248"/>
      <c r="AA42" s="1248"/>
      <c r="AB42" s="1248"/>
      <c r="AC42" s="1248"/>
      <c r="AD42" s="1248"/>
      <c r="AE42" s="1248"/>
      <c r="AF42" s="1248"/>
      <c r="AG42" s="1248"/>
      <c r="AH42" s="1248"/>
      <c r="AI42" s="1248"/>
      <c r="AJ42" s="1248"/>
      <c r="AK42" s="1248"/>
      <c r="AL42" s="1248"/>
      <c r="AM42" s="1248"/>
      <c r="AN42" s="1248"/>
      <c r="AO42" s="1248"/>
      <c r="AP42" s="1248"/>
      <c r="AQ42" s="1248"/>
      <c r="AR42" s="1248"/>
    </row>
    <row r="43" spans="1:44" s="1251" customFormat="1" ht="71.25" hidden="1" customHeight="1" thickBot="1" x14ac:dyDescent="0.35">
      <c r="A43" s="1248">
        <v>593</v>
      </c>
      <c r="B43" s="635" t="s">
        <v>59</v>
      </c>
      <c r="C43" s="1254" t="s">
        <v>571</v>
      </c>
      <c r="D43" s="29" t="s">
        <v>1304</v>
      </c>
      <c r="E43" s="1249" t="s">
        <v>1463</v>
      </c>
      <c r="F43" s="1250">
        <v>0</v>
      </c>
      <c r="G43" s="727"/>
      <c r="H43" s="728"/>
      <c r="J43" s="1252"/>
      <c r="L43" s="701"/>
      <c r="N43" s="1253"/>
      <c r="Z43" s="1248"/>
      <c r="AA43" s="1248"/>
      <c r="AB43" s="1248"/>
      <c r="AC43" s="1248"/>
      <c r="AD43" s="1248"/>
      <c r="AE43" s="1248"/>
      <c r="AF43" s="1248"/>
      <c r="AG43" s="1248"/>
      <c r="AH43" s="1248"/>
      <c r="AI43" s="1248"/>
      <c r="AJ43" s="1248"/>
      <c r="AK43" s="1248"/>
      <c r="AL43" s="1248"/>
      <c r="AM43" s="1248"/>
      <c r="AN43" s="1248"/>
      <c r="AO43" s="1248"/>
      <c r="AP43" s="1248"/>
      <c r="AQ43" s="1248"/>
      <c r="AR43" s="1248"/>
    </row>
    <row r="44" spans="1:44" s="1251" customFormat="1" ht="71.25" hidden="1" customHeight="1" thickBot="1" x14ac:dyDescent="0.35">
      <c r="A44" s="1248">
        <v>594</v>
      </c>
      <c r="B44" s="635" t="s">
        <v>59</v>
      </c>
      <c r="C44" s="1254" t="s">
        <v>571</v>
      </c>
      <c r="D44" s="29" t="s">
        <v>1305</v>
      </c>
      <c r="E44" s="1249" t="s">
        <v>1463</v>
      </c>
      <c r="F44" s="1250">
        <v>0</v>
      </c>
      <c r="G44" s="727"/>
      <c r="H44" s="728"/>
      <c r="J44" s="1252"/>
      <c r="L44" s="701"/>
      <c r="N44" s="1253"/>
      <c r="Z44" s="1248"/>
      <c r="AA44" s="1248"/>
      <c r="AB44" s="1248"/>
      <c r="AC44" s="1248"/>
      <c r="AD44" s="1248"/>
      <c r="AE44" s="1248"/>
      <c r="AF44" s="1248"/>
      <c r="AG44" s="1248"/>
      <c r="AH44" s="1248"/>
      <c r="AI44" s="1248"/>
      <c r="AJ44" s="1248"/>
      <c r="AK44" s="1248"/>
      <c r="AL44" s="1248"/>
      <c r="AM44" s="1248"/>
      <c r="AN44" s="1248"/>
      <c r="AO44" s="1248"/>
      <c r="AP44" s="1248"/>
      <c r="AQ44" s="1248"/>
      <c r="AR44" s="1248"/>
    </row>
    <row r="45" spans="1:44" s="1251" customFormat="1" ht="27" hidden="1" customHeight="1" thickBot="1" x14ac:dyDescent="0.35">
      <c r="A45" s="1248"/>
      <c r="B45" s="829" t="s">
        <v>1467</v>
      </c>
      <c r="C45" s="1255"/>
      <c r="D45" s="1256"/>
      <c r="E45" s="1257"/>
      <c r="F45" s="1258"/>
      <c r="G45" s="844"/>
      <c r="H45" s="728"/>
      <c r="J45" s="1252"/>
      <c r="L45" s="701"/>
      <c r="N45" s="1253"/>
      <c r="Z45" s="1248"/>
      <c r="AA45" s="1248"/>
      <c r="AB45" s="1248"/>
      <c r="AC45" s="1248"/>
      <c r="AD45" s="1248"/>
      <c r="AE45" s="1248"/>
      <c r="AF45" s="1248"/>
      <c r="AG45" s="1248"/>
      <c r="AH45" s="1248"/>
      <c r="AI45" s="1248"/>
      <c r="AJ45" s="1248"/>
      <c r="AK45" s="1248"/>
      <c r="AL45" s="1248"/>
      <c r="AM45" s="1248"/>
      <c r="AN45" s="1248"/>
      <c r="AO45" s="1248"/>
      <c r="AP45" s="1248"/>
      <c r="AQ45" s="1248"/>
      <c r="AR45" s="1248"/>
    </row>
    <row r="46" spans="1:44" s="1251" customFormat="1" ht="71.25" hidden="1" customHeight="1" thickBot="1" x14ac:dyDescent="0.35">
      <c r="A46" s="1248">
        <v>558</v>
      </c>
      <c r="B46" s="635" t="s">
        <v>59</v>
      </c>
      <c r="C46" s="1254" t="s">
        <v>1306</v>
      </c>
      <c r="D46" s="29" t="s">
        <v>1311</v>
      </c>
      <c r="E46" s="1249" t="e">
        <f>HLOOKUP($D$2,'2020 Data(H)'!$C$1:$CZ$426,208,FALSE)</f>
        <v>#N/A</v>
      </c>
      <c r="F46" s="1250">
        <v>0</v>
      </c>
      <c r="G46" s="727"/>
      <c r="H46" s="728"/>
      <c r="J46" s="1252"/>
      <c r="L46" s="701"/>
      <c r="N46" s="1253"/>
      <c r="Z46" s="1248"/>
      <c r="AA46" s="1248"/>
      <c r="AB46" s="1248"/>
      <c r="AC46" s="1248"/>
      <c r="AD46" s="1248"/>
      <c r="AE46" s="1248"/>
      <c r="AF46" s="1248"/>
      <c r="AG46" s="1248"/>
      <c r="AH46" s="1248"/>
      <c r="AI46" s="1248"/>
      <c r="AJ46" s="1248"/>
      <c r="AK46" s="1248"/>
      <c r="AL46" s="1248"/>
      <c r="AM46" s="1248"/>
      <c r="AN46" s="1248"/>
      <c r="AO46" s="1248"/>
      <c r="AP46" s="1248"/>
      <c r="AQ46" s="1248"/>
      <c r="AR46" s="1248"/>
    </row>
    <row r="47" spans="1:44" s="1251" customFormat="1" ht="71.25" hidden="1" customHeight="1" thickBot="1" x14ac:dyDescent="0.35">
      <c r="A47" s="1248">
        <v>559</v>
      </c>
      <c r="B47" s="635" t="s">
        <v>59</v>
      </c>
      <c r="C47" s="1254" t="s">
        <v>1306</v>
      </c>
      <c r="D47" s="29" t="s">
        <v>146</v>
      </c>
      <c r="E47" s="1249" t="e">
        <f>HLOOKUP($D$2,'2020 Data(H)'!$C$1:$CZ$426,209,FALSE)</f>
        <v>#N/A</v>
      </c>
      <c r="F47" s="1250">
        <v>0</v>
      </c>
      <c r="G47" s="727"/>
      <c r="H47" s="728"/>
      <c r="J47" s="1252"/>
      <c r="L47" s="701"/>
      <c r="N47" s="1253"/>
      <c r="Z47" s="1248"/>
      <c r="AA47" s="1248"/>
      <c r="AB47" s="1248"/>
      <c r="AC47" s="1248"/>
      <c r="AD47" s="1248"/>
      <c r="AE47" s="1248"/>
      <c r="AF47" s="1248"/>
      <c r="AG47" s="1248"/>
      <c r="AH47" s="1248"/>
      <c r="AI47" s="1248"/>
      <c r="AJ47" s="1248"/>
      <c r="AK47" s="1248"/>
      <c r="AL47" s="1248"/>
      <c r="AM47" s="1248"/>
      <c r="AN47" s="1248"/>
      <c r="AO47" s="1248"/>
      <c r="AP47" s="1248"/>
      <c r="AQ47" s="1248"/>
      <c r="AR47" s="1248"/>
    </row>
    <row r="48" spans="1:44" s="1251" customFormat="1" ht="108" hidden="1" customHeight="1" thickBot="1" x14ac:dyDescent="0.35">
      <c r="A48" s="1248">
        <v>560</v>
      </c>
      <c r="B48" s="635" t="s">
        <v>59</v>
      </c>
      <c r="C48" s="1254" t="s">
        <v>1306</v>
      </c>
      <c r="D48" s="24" t="s">
        <v>1308</v>
      </c>
      <c r="E48" s="1249" t="e">
        <f>HLOOKUP($D$2,'2020 Data(H)'!$C$1:$CZ$426,210,FALSE)</f>
        <v>#N/A</v>
      </c>
      <c r="F48" s="1250">
        <v>0</v>
      </c>
      <c r="G48" s="727"/>
      <c r="H48" s="728"/>
      <c r="J48" s="1252"/>
      <c r="L48" s="701"/>
      <c r="N48" s="1253"/>
      <c r="Z48" s="1248"/>
      <c r="AA48" s="1248"/>
      <c r="AB48" s="1248"/>
      <c r="AC48" s="1248"/>
      <c r="AD48" s="1248"/>
      <c r="AE48" s="1248"/>
      <c r="AF48" s="1248"/>
      <c r="AG48" s="1248"/>
      <c r="AH48" s="1248"/>
      <c r="AI48" s="1248"/>
      <c r="AJ48" s="1248"/>
      <c r="AK48" s="1248"/>
      <c r="AL48" s="1248"/>
      <c r="AM48" s="1248"/>
      <c r="AN48" s="1248"/>
      <c r="AO48" s="1248"/>
      <c r="AP48" s="1248"/>
      <c r="AQ48" s="1248"/>
      <c r="AR48" s="1248"/>
    </row>
    <row r="49" spans="1:1881" s="1251" customFormat="1" ht="71.25" hidden="1" customHeight="1" thickBot="1" x14ac:dyDescent="0.35">
      <c r="A49" s="1248">
        <v>561</v>
      </c>
      <c r="B49" s="635" t="s">
        <v>59</v>
      </c>
      <c r="C49" s="1254" t="s">
        <v>1306</v>
      </c>
      <c r="D49" s="24" t="s">
        <v>1309</v>
      </c>
      <c r="E49" s="1249" t="e">
        <f>HLOOKUP($D$2,'2020 Data(H)'!$C$1:$CZ$426,211,FALSE)</f>
        <v>#N/A</v>
      </c>
      <c r="F49" s="1250">
        <v>0</v>
      </c>
      <c r="G49" s="727"/>
      <c r="H49" s="728"/>
      <c r="J49" s="1252"/>
      <c r="L49" s="701"/>
      <c r="N49" s="1253"/>
      <c r="Z49" s="1248"/>
      <c r="AA49" s="1248"/>
      <c r="AB49" s="1248"/>
      <c r="AC49" s="1248"/>
      <c r="AD49" s="1248"/>
      <c r="AE49" s="1248"/>
      <c r="AF49" s="1248"/>
      <c r="AG49" s="1248"/>
      <c r="AH49" s="1248"/>
      <c r="AI49" s="1248"/>
      <c r="AJ49" s="1248"/>
      <c r="AK49" s="1248"/>
      <c r="AL49" s="1248"/>
      <c r="AM49" s="1248"/>
      <c r="AN49" s="1248"/>
      <c r="AO49" s="1248"/>
      <c r="AP49" s="1248"/>
      <c r="AQ49" s="1248"/>
      <c r="AR49" s="1248"/>
    </row>
    <row r="50" spans="1:1881" s="1251" customFormat="1" ht="122.25" hidden="1" customHeight="1" thickBot="1" x14ac:dyDescent="0.35">
      <c r="A50" s="1248">
        <v>563</v>
      </c>
      <c r="B50" s="635" t="s">
        <v>59</v>
      </c>
      <c r="C50" s="1254" t="s">
        <v>1306</v>
      </c>
      <c r="D50" s="24" t="s">
        <v>1307</v>
      </c>
      <c r="E50" s="1249" t="e">
        <f>HLOOKUP($D$2,'2020 Data(H)'!$C$1:$CZ$426,213,FALSE)</f>
        <v>#N/A</v>
      </c>
      <c r="F50" s="1250">
        <v>0</v>
      </c>
      <c r="G50" s="727"/>
      <c r="H50" s="728"/>
      <c r="J50" s="1252"/>
      <c r="L50" s="701"/>
      <c r="N50" s="1253"/>
      <c r="Z50" s="1248"/>
      <c r="AA50" s="1248"/>
      <c r="AB50" s="1248"/>
      <c r="AC50" s="1248"/>
      <c r="AD50" s="1248"/>
      <c r="AE50" s="1248"/>
      <c r="AF50" s="1248"/>
      <c r="AG50" s="1248"/>
      <c r="AH50" s="1248"/>
      <c r="AI50" s="1248"/>
      <c r="AJ50" s="1248"/>
      <c r="AK50" s="1248"/>
      <c r="AL50" s="1248"/>
      <c r="AM50" s="1248"/>
      <c r="AN50" s="1248"/>
      <c r="AO50" s="1248"/>
      <c r="AP50" s="1248"/>
      <c r="AQ50" s="1248"/>
      <c r="AR50" s="1248"/>
    </row>
    <row r="51" spans="1:1881" s="1251" customFormat="1" ht="96.75" hidden="1" customHeight="1" thickBot="1" x14ac:dyDescent="0.35">
      <c r="A51" s="1248">
        <v>564</v>
      </c>
      <c r="B51" s="635" t="s">
        <v>59</v>
      </c>
      <c r="C51" s="1254" t="s">
        <v>1313</v>
      </c>
      <c r="D51" s="24" t="s">
        <v>1310</v>
      </c>
      <c r="E51" s="1249" t="e">
        <f>HLOOKUP($D$2,'2020 Data(H)'!$C$1:$CZ$426,214,FALSE)</f>
        <v>#N/A</v>
      </c>
      <c r="F51" s="1250">
        <v>0</v>
      </c>
      <c r="G51" s="727"/>
      <c r="H51" s="728"/>
      <c r="J51" s="1252"/>
      <c r="L51" s="701"/>
      <c r="N51" s="1253"/>
      <c r="Z51" s="1248"/>
      <c r="AA51" s="1248"/>
      <c r="AB51" s="1248"/>
      <c r="AC51" s="1248"/>
      <c r="AD51" s="1248"/>
      <c r="AE51" s="1248"/>
      <c r="AF51" s="1248"/>
      <c r="AG51" s="1248"/>
      <c r="AH51" s="1248"/>
      <c r="AI51" s="1248"/>
      <c r="AJ51" s="1248"/>
      <c r="AK51" s="1248"/>
      <c r="AL51" s="1248"/>
      <c r="AM51" s="1248"/>
      <c r="AN51" s="1248"/>
      <c r="AO51" s="1248"/>
      <c r="AP51" s="1248"/>
      <c r="AQ51" s="1248"/>
      <c r="AR51" s="1248"/>
    </row>
    <row r="52" spans="1:1881" s="1251" customFormat="1" ht="93.75" hidden="1" customHeight="1" thickBot="1" x14ac:dyDescent="0.35">
      <c r="A52" s="1248">
        <v>568</v>
      </c>
      <c r="B52" s="635" t="s">
        <v>59</v>
      </c>
      <c r="C52" s="1254" t="s">
        <v>1313</v>
      </c>
      <c r="D52" s="24" t="s">
        <v>1312</v>
      </c>
      <c r="E52" s="1249" t="e">
        <f>HLOOKUP($D$2,'2020 Data(H)'!$C$1:$CZ$426,218,FALSE)</f>
        <v>#N/A</v>
      </c>
      <c r="F52" s="1250">
        <v>0</v>
      </c>
      <c r="G52" s="727"/>
      <c r="H52" s="728"/>
      <c r="J52" s="1252"/>
      <c r="L52" s="701"/>
      <c r="N52" s="1253"/>
      <c r="Z52" s="1248"/>
      <c r="AA52" s="1248"/>
      <c r="AB52" s="1248"/>
      <c r="AC52" s="1248"/>
      <c r="AD52" s="1248"/>
      <c r="AE52" s="1248"/>
      <c r="AF52" s="1248"/>
      <c r="AG52" s="1248"/>
      <c r="AH52" s="1248"/>
      <c r="AI52" s="1248"/>
      <c r="AJ52" s="1248"/>
      <c r="AK52" s="1248"/>
      <c r="AL52" s="1248"/>
      <c r="AM52" s="1248"/>
      <c r="AN52" s="1248"/>
      <c r="AO52" s="1248"/>
      <c r="AP52" s="1248"/>
      <c r="AQ52" s="1248"/>
      <c r="AR52" s="1248"/>
    </row>
    <row r="53" spans="1:1881" s="1251" customFormat="1" ht="100.5" hidden="1" customHeight="1" thickBot="1" x14ac:dyDescent="0.35">
      <c r="A53" s="1248">
        <v>565</v>
      </c>
      <c r="B53" s="635" t="s">
        <v>59</v>
      </c>
      <c r="C53" s="1254" t="s">
        <v>1313</v>
      </c>
      <c r="D53" s="24" t="s">
        <v>529</v>
      </c>
      <c r="E53" s="1249" t="e">
        <f>HLOOKUP($D$2,'2020 Data(H)'!$C$1:$CZ$426,215,FALSE)</f>
        <v>#N/A</v>
      </c>
      <c r="F53" s="1250">
        <v>0</v>
      </c>
      <c r="G53" s="727"/>
      <c r="H53" s="728"/>
      <c r="J53" s="1252"/>
      <c r="L53" s="701"/>
      <c r="N53" s="1253"/>
      <c r="Z53" s="1248"/>
      <c r="AA53" s="1248"/>
      <c r="AB53" s="1248"/>
      <c r="AC53" s="1248"/>
      <c r="AD53" s="1248"/>
      <c r="AE53" s="1248"/>
      <c r="AF53" s="1248"/>
      <c r="AG53" s="1248"/>
      <c r="AH53" s="1248"/>
      <c r="AI53" s="1248"/>
      <c r="AJ53" s="1248"/>
      <c r="AK53" s="1248"/>
      <c r="AL53" s="1248"/>
      <c r="AM53" s="1248"/>
      <c r="AN53" s="1248"/>
      <c r="AO53" s="1248"/>
      <c r="AP53" s="1248"/>
      <c r="AQ53" s="1248"/>
      <c r="AR53" s="1248"/>
    </row>
    <row r="54" spans="1:1881" s="1251" customFormat="1" ht="98.25" hidden="1" customHeight="1" thickBot="1" x14ac:dyDescent="0.35">
      <c r="A54" s="1248">
        <v>566</v>
      </c>
      <c r="B54" s="635" t="s">
        <v>59</v>
      </c>
      <c r="C54" s="1254" t="s">
        <v>1313</v>
      </c>
      <c r="D54" s="24" t="s">
        <v>531</v>
      </c>
      <c r="E54" s="1249" t="e">
        <f>HLOOKUP($D$2,'2020 Data(H)'!$C$1:$CZ$426,216,FALSE)</f>
        <v>#N/A</v>
      </c>
      <c r="F54" s="1250">
        <v>0</v>
      </c>
      <c r="G54" s="727"/>
      <c r="H54" s="728"/>
      <c r="J54" s="1252"/>
      <c r="L54" s="701"/>
      <c r="N54" s="1253"/>
      <c r="Z54" s="1248"/>
      <c r="AA54" s="1248"/>
      <c r="AB54" s="1248"/>
      <c r="AC54" s="1248"/>
      <c r="AD54" s="1248"/>
      <c r="AE54" s="1248"/>
      <c r="AF54" s="1248"/>
      <c r="AG54" s="1248"/>
      <c r="AH54" s="1248"/>
      <c r="AI54" s="1248"/>
      <c r="AJ54" s="1248"/>
      <c r="AK54" s="1248"/>
      <c r="AL54" s="1248"/>
      <c r="AM54" s="1248"/>
      <c r="AN54" s="1248"/>
      <c r="AO54" s="1248"/>
      <c r="AP54" s="1248"/>
      <c r="AQ54" s="1248"/>
      <c r="AR54" s="1248"/>
    </row>
    <row r="55" spans="1:1881" s="1251" customFormat="1" ht="111" hidden="1" customHeight="1" thickBot="1" x14ac:dyDescent="0.35">
      <c r="A55" s="1248">
        <v>567</v>
      </c>
      <c r="B55" s="635" t="s">
        <v>59</v>
      </c>
      <c r="C55" s="1254" t="s">
        <v>1313</v>
      </c>
      <c r="D55" s="24" t="s">
        <v>1305</v>
      </c>
      <c r="E55" s="1249" t="e">
        <f>HLOOKUP($D$2,'2020 Data(H)'!$C$1:$CZ$426,217,FALSE)</f>
        <v>#N/A</v>
      </c>
      <c r="F55" s="1250">
        <v>0</v>
      </c>
      <c r="G55" s="727"/>
      <c r="H55" s="728"/>
      <c r="J55" s="1252"/>
      <c r="L55" s="701"/>
      <c r="N55" s="1253"/>
      <c r="Z55" s="1248"/>
      <c r="AA55" s="1248"/>
      <c r="AB55" s="1248"/>
      <c r="AC55" s="1248"/>
      <c r="AD55" s="1248"/>
      <c r="AE55" s="1248"/>
      <c r="AF55" s="1248"/>
      <c r="AG55" s="1248"/>
      <c r="AH55" s="1248"/>
      <c r="AI55" s="1248"/>
      <c r="AJ55" s="1248"/>
      <c r="AK55" s="1248"/>
      <c r="AL55" s="1248"/>
      <c r="AM55" s="1248"/>
      <c r="AN55" s="1248"/>
      <c r="AO55" s="1248"/>
      <c r="AP55" s="1248"/>
      <c r="AQ55" s="1248"/>
      <c r="AR55" s="1248"/>
    </row>
    <row r="56" spans="1:1881" s="1251" customFormat="1" ht="71.25" hidden="1" customHeight="1" thickBot="1" x14ac:dyDescent="0.35">
      <c r="A56" s="1248">
        <v>562</v>
      </c>
      <c r="B56" s="635" t="s">
        <v>59</v>
      </c>
      <c r="C56" s="1254" t="s">
        <v>13</v>
      </c>
      <c r="D56" s="1259" t="s">
        <v>1314</v>
      </c>
      <c r="E56" s="1249" t="e">
        <f>HLOOKUP($D$2,'2020 Data(H)'!$C$1:$CZ$426,212,FALSE)</f>
        <v>#N/A</v>
      </c>
      <c r="F56" s="1250">
        <v>0</v>
      </c>
      <c r="G56" s="727"/>
      <c r="H56" s="728"/>
      <c r="J56" s="1252"/>
      <c r="L56" s="701"/>
      <c r="N56" s="1253"/>
      <c r="Z56" s="1248"/>
      <c r="AA56" s="1248"/>
      <c r="AB56" s="1248"/>
      <c r="AC56" s="1248"/>
      <c r="AD56" s="1248"/>
      <c r="AE56" s="1248"/>
      <c r="AF56" s="1248"/>
      <c r="AG56" s="1248"/>
      <c r="AH56" s="1248"/>
      <c r="AI56" s="1248"/>
      <c r="AJ56" s="1248"/>
      <c r="AK56" s="1248"/>
      <c r="AL56" s="1248"/>
      <c r="AM56" s="1248"/>
      <c r="AN56" s="1248"/>
      <c r="AO56" s="1248"/>
      <c r="AP56" s="1248"/>
      <c r="AQ56" s="1248"/>
      <c r="AR56" s="1248"/>
    </row>
    <row r="57" spans="1:1881" s="1251" customFormat="1" ht="71.25" hidden="1" customHeight="1" thickBot="1" x14ac:dyDescent="0.35">
      <c r="A57" s="1248">
        <v>569</v>
      </c>
      <c r="B57" s="635" t="s">
        <v>59</v>
      </c>
      <c r="C57" s="1254" t="s">
        <v>13</v>
      </c>
      <c r="D57" s="24" t="s">
        <v>1315</v>
      </c>
      <c r="E57" s="1249" t="e">
        <f>HLOOKUP($D$2,'2020 Data(H)'!$C$1:$CZ$426,219,FALSE)</f>
        <v>#N/A</v>
      </c>
      <c r="F57" s="1250">
        <v>0</v>
      </c>
      <c r="G57" s="727"/>
      <c r="H57" s="728"/>
      <c r="J57" s="1252"/>
      <c r="L57" s="701"/>
      <c r="N57" s="1253"/>
      <c r="Z57" s="1248"/>
      <c r="AA57" s="1248"/>
      <c r="AB57" s="1248"/>
      <c r="AC57" s="1248"/>
      <c r="AD57" s="1248"/>
      <c r="AE57" s="1248"/>
      <c r="AF57" s="1248"/>
      <c r="AG57" s="1248"/>
      <c r="AH57" s="1248"/>
      <c r="AI57" s="1248"/>
      <c r="AJ57" s="1248"/>
      <c r="AK57" s="1248"/>
      <c r="AL57" s="1248"/>
      <c r="AM57" s="1248"/>
      <c r="AN57" s="1248"/>
      <c r="AO57" s="1248"/>
      <c r="AP57" s="1248"/>
      <c r="AQ57" s="1248"/>
      <c r="AR57" s="1248"/>
    </row>
    <row r="58" spans="1:1881" s="1261" customFormat="1" ht="27" hidden="1" customHeight="1" thickBot="1" x14ac:dyDescent="0.35">
      <c r="A58" s="1248"/>
      <c r="B58" s="829" t="s">
        <v>145</v>
      </c>
      <c r="C58" s="830"/>
      <c r="D58" s="850"/>
      <c r="E58" s="834"/>
      <c r="F58" s="1260"/>
      <c r="G58" s="837"/>
      <c r="H58" s="17"/>
      <c r="I58" s="760"/>
      <c r="J58" s="1251"/>
      <c r="K58" s="1251"/>
      <c r="L58" s="701"/>
      <c r="M58" s="1251"/>
      <c r="N58" s="1253"/>
      <c r="O58" s="1251"/>
      <c r="P58" s="1251"/>
      <c r="Q58" s="1251"/>
      <c r="R58" s="1251"/>
      <c r="S58" s="1251"/>
      <c r="T58" s="1251"/>
      <c r="U58" s="1251"/>
      <c r="V58" s="1251"/>
      <c r="W58" s="1251"/>
      <c r="X58" s="1251"/>
      <c r="Y58" s="1251"/>
      <c r="Z58" s="1248"/>
      <c r="AA58" s="1248"/>
      <c r="AB58" s="1248"/>
      <c r="AC58" s="1248"/>
      <c r="AD58" s="1248"/>
      <c r="AE58" s="1248"/>
      <c r="AF58" s="1248"/>
      <c r="AG58" s="1248"/>
      <c r="AH58" s="1248"/>
      <c r="AI58" s="1248"/>
      <c r="AJ58" s="1248"/>
      <c r="AK58" s="1248"/>
      <c r="AL58" s="1248"/>
      <c r="AM58" s="1248"/>
      <c r="AN58" s="1248"/>
      <c r="AO58" s="1248"/>
      <c r="AP58" s="1248"/>
      <c r="AQ58" s="1248"/>
      <c r="AR58" s="1248"/>
      <c r="AS58" s="1251"/>
      <c r="AT58" s="1251"/>
      <c r="AU58" s="1251"/>
      <c r="AV58" s="1251"/>
      <c r="AW58" s="1251"/>
      <c r="AX58" s="1251"/>
      <c r="AY58" s="1251"/>
      <c r="AZ58" s="1251"/>
      <c r="BA58" s="1251"/>
      <c r="BB58" s="1251"/>
      <c r="BC58" s="1251"/>
      <c r="BD58" s="1251"/>
      <c r="BE58" s="1251"/>
      <c r="BF58" s="1251"/>
      <c r="BG58" s="1251"/>
      <c r="BH58" s="1251"/>
      <c r="BI58" s="1251"/>
      <c r="BJ58" s="1251"/>
      <c r="BK58" s="1251"/>
      <c r="BL58" s="1251"/>
      <c r="BM58" s="1251"/>
      <c r="BN58" s="1251"/>
      <c r="BO58" s="1251"/>
      <c r="BP58" s="1251"/>
      <c r="BQ58" s="1251"/>
      <c r="BR58" s="1251"/>
      <c r="BS58" s="1251"/>
      <c r="BT58" s="1251"/>
      <c r="BU58" s="1251"/>
      <c r="BV58" s="1251"/>
      <c r="BW58" s="1251"/>
      <c r="BX58" s="1251"/>
      <c r="BY58" s="1251"/>
      <c r="BZ58" s="1251"/>
      <c r="CA58" s="1251"/>
      <c r="CB58" s="1251"/>
      <c r="CC58" s="1251"/>
      <c r="CD58" s="1251"/>
      <c r="CE58" s="1251"/>
      <c r="CF58" s="1251"/>
      <c r="CG58" s="1251"/>
      <c r="CH58" s="1251"/>
      <c r="CI58" s="1251"/>
      <c r="CJ58" s="1251"/>
      <c r="CK58" s="1251"/>
      <c r="CL58" s="1251"/>
      <c r="CM58" s="1251"/>
      <c r="CN58" s="1251"/>
      <c r="CO58" s="1251"/>
      <c r="CP58" s="1251"/>
      <c r="CQ58" s="1251"/>
      <c r="CR58" s="1251"/>
      <c r="CS58" s="1251"/>
      <c r="CT58" s="1251"/>
      <c r="CU58" s="1251"/>
      <c r="CV58" s="1251"/>
      <c r="CW58" s="1251"/>
      <c r="CX58" s="1251"/>
      <c r="CY58" s="1251"/>
      <c r="CZ58" s="1251"/>
      <c r="DA58" s="1251"/>
      <c r="DB58" s="1251"/>
      <c r="DC58" s="1251"/>
      <c r="DD58" s="1251"/>
      <c r="DE58" s="1251"/>
      <c r="DF58" s="1251"/>
      <c r="DG58" s="1251"/>
      <c r="DH58" s="1251"/>
      <c r="DI58" s="1251"/>
      <c r="DJ58" s="1251"/>
      <c r="DK58" s="1251"/>
      <c r="DL58" s="1251"/>
      <c r="DM58" s="1251"/>
      <c r="DN58" s="1251"/>
      <c r="DO58" s="1251"/>
      <c r="DP58" s="1251"/>
      <c r="DQ58" s="1251"/>
      <c r="DR58" s="1251"/>
      <c r="DS58" s="1251"/>
      <c r="DT58" s="1251"/>
      <c r="DU58" s="1251"/>
      <c r="DV58" s="1251"/>
      <c r="DW58" s="1251"/>
      <c r="DX58" s="1251"/>
      <c r="DY58" s="1251"/>
      <c r="DZ58" s="1251"/>
      <c r="EA58" s="1251"/>
      <c r="EB58" s="1251"/>
      <c r="EC58" s="1251"/>
      <c r="ED58" s="1251"/>
      <c r="EE58" s="1251"/>
      <c r="EF58" s="1251"/>
      <c r="EG58" s="1251"/>
      <c r="EH58" s="1251"/>
      <c r="EI58" s="1251"/>
      <c r="EJ58" s="1251"/>
      <c r="EK58" s="1251"/>
      <c r="EL58" s="1251"/>
      <c r="EM58" s="1251"/>
      <c r="EN58" s="1251"/>
      <c r="EO58" s="1251"/>
      <c r="EP58" s="1251"/>
      <c r="EQ58" s="1251"/>
      <c r="ER58" s="1251"/>
      <c r="ES58" s="1251"/>
      <c r="ET58" s="1251"/>
      <c r="EU58" s="1251"/>
      <c r="EV58" s="1251"/>
      <c r="EW58" s="1251"/>
      <c r="EX58" s="1251"/>
      <c r="EY58" s="1251"/>
      <c r="EZ58" s="1251"/>
      <c r="FA58" s="1251"/>
      <c r="FB58" s="1251"/>
      <c r="FC58" s="1251"/>
      <c r="FD58" s="1251"/>
      <c r="FE58" s="1251"/>
      <c r="FF58" s="1251"/>
      <c r="FG58" s="1251"/>
      <c r="FH58" s="1251"/>
      <c r="FI58" s="1251"/>
      <c r="FJ58" s="1251"/>
      <c r="FK58" s="1251"/>
      <c r="FL58" s="1251"/>
      <c r="FM58" s="1251"/>
      <c r="FN58" s="1251"/>
      <c r="FO58" s="1251"/>
      <c r="FP58" s="1251"/>
      <c r="FQ58" s="1251"/>
      <c r="FR58" s="1251"/>
      <c r="FS58" s="1251"/>
      <c r="FT58" s="1251"/>
      <c r="FU58" s="1251"/>
      <c r="FV58" s="1251"/>
      <c r="FW58" s="1251"/>
      <c r="FX58" s="1251"/>
      <c r="FY58" s="1251"/>
      <c r="FZ58" s="1251"/>
      <c r="GA58" s="1251"/>
      <c r="GB58" s="1251"/>
      <c r="GC58" s="1251"/>
      <c r="GD58" s="1251"/>
      <c r="GE58" s="1251"/>
      <c r="GF58" s="1251"/>
      <c r="GG58" s="1251"/>
      <c r="GH58" s="1251"/>
      <c r="GI58" s="1251"/>
      <c r="GJ58" s="1251"/>
      <c r="GK58" s="1251"/>
      <c r="GL58" s="1251"/>
      <c r="GM58" s="1251"/>
      <c r="GN58" s="1251"/>
      <c r="GO58" s="1251"/>
      <c r="GP58" s="1251"/>
      <c r="GQ58" s="1251"/>
      <c r="GR58" s="1251"/>
      <c r="GS58" s="1251"/>
      <c r="GT58" s="1251"/>
      <c r="GU58" s="1251"/>
      <c r="GV58" s="1251"/>
      <c r="GW58" s="1251"/>
      <c r="GX58" s="1251"/>
      <c r="GY58" s="1251"/>
      <c r="GZ58" s="1251"/>
      <c r="HA58" s="1251"/>
      <c r="HB58" s="1251"/>
      <c r="HC58" s="1251"/>
      <c r="HD58" s="1251"/>
      <c r="HE58" s="1251"/>
      <c r="HF58" s="1251"/>
      <c r="HG58" s="1251"/>
      <c r="HH58" s="1251"/>
      <c r="HI58" s="1251"/>
      <c r="HJ58" s="1251"/>
      <c r="HK58" s="1251"/>
      <c r="HL58" s="1251"/>
      <c r="HM58" s="1251"/>
      <c r="HN58" s="1251"/>
      <c r="HO58" s="1251"/>
      <c r="HP58" s="1251"/>
      <c r="HQ58" s="1251"/>
      <c r="HR58" s="1251"/>
      <c r="HS58" s="1251"/>
      <c r="HT58" s="1251"/>
      <c r="HU58" s="1251"/>
      <c r="HV58" s="1251"/>
      <c r="HW58" s="1251"/>
      <c r="HX58" s="1251"/>
      <c r="HY58" s="1251"/>
      <c r="HZ58" s="1251"/>
      <c r="IA58" s="1251"/>
      <c r="IB58" s="1251"/>
      <c r="IC58" s="1251"/>
      <c r="ID58" s="1251"/>
      <c r="IE58" s="1251"/>
      <c r="IF58" s="1251"/>
      <c r="IG58" s="1251"/>
      <c r="IH58" s="1251"/>
      <c r="II58" s="1251"/>
      <c r="IJ58" s="1251"/>
      <c r="IK58" s="1251"/>
      <c r="IL58" s="1251"/>
      <c r="IM58" s="1251"/>
      <c r="IN58" s="1251"/>
      <c r="IO58" s="1251"/>
      <c r="IP58" s="1251"/>
      <c r="IQ58" s="1251"/>
      <c r="IR58" s="1251"/>
      <c r="IS58" s="1251"/>
      <c r="IT58" s="1251"/>
      <c r="IU58" s="1251"/>
      <c r="IV58" s="1251"/>
      <c r="IW58" s="1251"/>
      <c r="IX58" s="1251"/>
      <c r="IY58" s="1251"/>
      <c r="IZ58" s="1251"/>
      <c r="JA58" s="1251"/>
      <c r="JB58" s="1251"/>
      <c r="JC58" s="1251"/>
      <c r="JD58" s="1251"/>
      <c r="JE58" s="1251"/>
      <c r="JF58" s="1251"/>
      <c r="JG58" s="1251"/>
      <c r="JH58" s="1251"/>
      <c r="JI58" s="1251"/>
      <c r="JJ58" s="1251"/>
      <c r="JK58" s="1251"/>
      <c r="JL58" s="1251"/>
      <c r="JM58" s="1251"/>
      <c r="JN58" s="1251"/>
      <c r="JO58" s="1251"/>
      <c r="JP58" s="1251"/>
      <c r="JQ58" s="1251"/>
      <c r="JR58" s="1251"/>
      <c r="JS58" s="1251"/>
      <c r="JT58" s="1251"/>
      <c r="JU58" s="1251"/>
      <c r="JV58" s="1251"/>
      <c r="JW58" s="1251"/>
      <c r="JX58" s="1251"/>
      <c r="JY58" s="1251"/>
      <c r="JZ58" s="1251"/>
      <c r="KA58" s="1251"/>
      <c r="KB58" s="1251"/>
      <c r="KC58" s="1251"/>
      <c r="KD58" s="1251"/>
      <c r="KE58" s="1251"/>
      <c r="KF58" s="1251"/>
      <c r="KG58" s="1251"/>
      <c r="KH58" s="1251"/>
      <c r="KI58" s="1251"/>
      <c r="KJ58" s="1251"/>
      <c r="KK58" s="1251"/>
      <c r="KL58" s="1251"/>
      <c r="KM58" s="1251"/>
      <c r="KN58" s="1251"/>
      <c r="KO58" s="1251"/>
      <c r="KP58" s="1251"/>
      <c r="KQ58" s="1251"/>
      <c r="KR58" s="1251"/>
      <c r="KS58" s="1251"/>
      <c r="KT58" s="1251"/>
      <c r="KU58" s="1251"/>
      <c r="KV58" s="1251"/>
      <c r="KW58" s="1251"/>
      <c r="KX58" s="1251"/>
      <c r="KY58" s="1251"/>
      <c r="KZ58" s="1251"/>
      <c r="LA58" s="1251"/>
      <c r="LB58" s="1251"/>
      <c r="LC58" s="1251"/>
      <c r="LD58" s="1251"/>
      <c r="LE58" s="1251"/>
      <c r="LF58" s="1251"/>
      <c r="LG58" s="1251"/>
      <c r="LH58" s="1251"/>
      <c r="LI58" s="1251"/>
      <c r="LJ58" s="1251"/>
      <c r="LK58" s="1251"/>
      <c r="LL58" s="1251"/>
      <c r="LM58" s="1251"/>
      <c r="LN58" s="1251"/>
      <c r="LO58" s="1251"/>
      <c r="LP58" s="1251"/>
      <c r="LQ58" s="1251"/>
      <c r="LR58" s="1251"/>
      <c r="LS58" s="1251"/>
      <c r="LT58" s="1251"/>
      <c r="LU58" s="1251"/>
      <c r="LV58" s="1251"/>
      <c r="LW58" s="1251"/>
      <c r="LX58" s="1251"/>
      <c r="LY58" s="1251"/>
      <c r="LZ58" s="1251"/>
      <c r="MA58" s="1251"/>
      <c r="MB58" s="1251"/>
      <c r="MC58" s="1251"/>
      <c r="MD58" s="1251"/>
      <c r="ME58" s="1251"/>
      <c r="MF58" s="1251"/>
      <c r="MG58" s="1251"/>
      <c r="MH58" s="1251"/>
      <c r="MI58" s="1251"/>
      <c r="MJ58" s="1251"/>
      <c r="MK58" s="1251"/>
      <c r="ML58" s="1251"/>
      <c r="MM58" s="1251"/>
      <c r="MN58" s="1251"/>
      <c r="MO58" s="1251"/>
      <c r="MP58" s="1251"/>
      <c r="MQ58" s="1251"/>
      <c r="MR58" s="1251"/>
      <c r="MS58" s="1251"/>
      <c r="MT58" s="1251"/>
      <c r="MU58" s="1251"/>
      <c r="MV58" s="1251"/>
      <c r="MW58" s="1251"/>
      <c r="MX58" s="1251"/>
      <c r="MY58" s="1251"/>
      <c r="MZ58" s="1251"/>
      <c r="NA58" s="1251"/>
      <c r="NB58" s="1251"/>
      <c r="NC58" s="1251"/>
      <c r="ND58" s="1251"/>
      <c r="NE58" s="1251"/>
      <c r="NF58" s="1251"/>
      <c r="NG58" s="1251"/>
      <c r="NH58" s="1251"/>
      <c r="NI58" s="1251"/>
      <c r="NJ58" s="1251"/>
      <c r="NK58" s="1251"/>
      <c r="NL58" s="1251"/>
      <c r="NM58" s="1251"/>
      <c r="NN58" s="1251"/>
      <c r="NO58" s="1251"/>
      <c r="NP58" s="1251"/>
      <c r="NQ58" s="1251"/>
      <c r="NR58" s="1251"/>
      <c r="NS58" s="1251"/>
      <c r="NT58" s="1251"/>
      <c r="NU58" s="1251"/>
      <c r="NV58" s="1251"/>
      <c r="NW58" s="1251"/>
      <c r="NX58" s="1251"/>
      <c r="NY58" s="1251"/>
      <c r="NZ58" s="1251"/>
      <c r="OA58" s="1251"/>
      <c r="OB58" s="1251"/>
      <c r="OC58" s="1251"/>
      <c r="OD58" s="1251"/>
      <c r="OE58" s="1251"/>
      <c r="OF58" s="1251"/>
      <c r="OG58" s="1251"/>
      <c r="OH58" s="1251"/>
      <c r="OI58" s="1251"/>
      <c r="OJ58" s="1251"/>
      <c r="OK58" s="1251"/>
      <c r="OL58" s="1251"/>
      <c r="OM58" s="1251"/>
      <c r="ON58" s="1251"/>
      <c r="OO58" s="1251"/>
      <c r="OP58" s="1251"/>
      <c r="OQ58" s="1251"/>
      <c r="OR58" s="1251"/>
      <c r="OS58" s="1251"/>
      <c r="OT58" s="1251"/>
      <c r="OU58" s="1251"/>
      <c r="OV58" s="1251"/>
      <c r="OW58" s="1251"/>
      <c r="OX58" s="1251"/>
      <c r="OY58" s="1251"/>
      <c r="OZ58" s="1251"/>
      <c r="PA58" s="1251"/>
      <c r="PB58" s="1251"/>
      <c r="PC58" s="1251"/>
      <c r="PD58" s="1251"/>
      <c r="PE58" s="1251"/>
      <c r="PF58" s="1251"/>
      <c r="PG58" s="1251"/>
      <c r="PH58" s="1251"/>
      <c r="PI58" s="1251"/>
      <c r="PJ58" s="1251"/>
      <c r="PK58" s="1251"/>
      <c r="PL58" s="1251"/>
      <c r="PM58" s="1251"/>
      <c r="PN58" s="1251"/>
      <c r="PO58" s="1251"/>
      <c r="PP58" s="1251"/>
      <c r="PQ58" s="1251"/>
      <c r="PR58" s="1251"/>
      <c r="PS58" s="1251"/>
      <c r="PT58" s="1251"/>
      <c r="PU58" s="1251"/>
      <c r="PV58" s="1251"/>
      <c r="PW58" s="1251"/>
      <c r="PX58" s="1251"/>
      <c r="PY58" s="1251"/>
      <c r="PZ58" s="1251"/>
      <c r="QA58" s="1251"/>
      <c r="QB58" s="1251"/>
      <c r="QC58" s="1251"/>
      <c r="QD58" s="1251"/>
      <c r="QE58" s="1251"/>
      <c r="QF58" s="1251"/>
      <c r="QG58" s="1251"/>
      <c r="QH58" s="1251"/>
      <c r="QI58" s="1251"/>
      <c r="QJ58" s="1251"/>
      <c r="QK58" s="1251"/>
      <c r="QL58" s="1251"/>
      <c r="QM58" s="1251"/>
      <c r="QN58" s="1251"/>
      <c r="QO58" s="1251"/>
      <c r="QP58" s="1251"/>
      <c r="QQ58" s="1251"/>
      <c r="QR58" s="1251"/>
      <c r="QS58" s="1251"/>
      <c r="QT58" s="1251"/>
      <c r="QU58" s="1251"/>
      <c r="QV58" s="1251"/>
      <c r="QW58" s="1251"/>
      <c r="QX58" s="1251"/>
      <c r="QY58" s="1251"/>
      <c r="QZ58" s="1251"/>
      <c r="RA58" s="1251"/>
      <c r="RB58" s="1251"/>
      <c r="RC58" s="1251"/>
      <c r="RD58" s="1251"/>
      <c r="RE58" s="1251"/>
      <c r="RF58" s="1251"/>
      <c r="RG58" s="1251"/>
      <c r="RH58" s="1251"/>
      <c r="RI58" s="1251"/>
      <c r="RJ58" s="1251"/>
      <c r="RK58" s="1251"/>
      <c r="RL58" s="1251"/>
      <c r="RM58" s="1251"/>
      <c r="RN58" s="1251"/>
      <c r="RO58" s="1251"/>
      <c r="RP58" s="1251"/>
      <c r="RQ58" s="1251"/>
      <c r="RR58" s="1251"/>
      <c r="RS58" s="1251"/>
      <c r="RT58" s="1251"/>
      <c r="RU58" s="1251"/>
      <c r="RV58" s="1251"/>
      <c r="RW58" s="1251"/>
      <c r="RX58" s="1251"/>
      <c r="RY58" s="1251"/>
      <c r="RZ58" s="1251"/>
      <c r="SA58" s="1251"/>
      <c r="SB58" s="1251"/>
      <c r="SC58" s="1251"/>
      <c r="SD58" s="1251"/>
      <c r="SE58" s="1251"/>
      <c r="SF58" s="1251"/>
      <c r="SG58" s="1251"/>
      <c r="SH58" s="1251"/>
      <c r="SI58" s="1251"/>
      <c r="SJ58" s="1251"/>
      <c r="SK58" s="1251"/>
      <c r="SL58" s="1251"/>
      <c r="SM58" s="1251"/>
      <c r="SN58" s="1251"/>
      <c r="SO58" s="1251"/>
      <c r="SP58" s="1251"/>
      <c r="SQ58" s="1251"/>
      <c r="SR58" s="1251"/>
      <c r="SS58" s="1251"/>
      <c r="ST58" s="1251"/>
      <c r="SU58" s="1251"/>
      <c r="SV58" s="1251"/>
      <c r="SW58" s="1251"/>
      <c r="SX58" s="1251"/>
      <c r="SY58" s="1251"/>
      <c r="SZ58" s="1251"/>
      <c r="TA58" s="1251"/>
      <c r="TB58" s="1251"/>
      <c r="TC58" s="1251"/>
      <c r="TD58" s="1251"/>
      <c r="TE58" s="1251"/>
      <c r="TF58" s="1251"/>
      <c r="TG58" s="1251"/>
      <c r="TH58" s="1251"/>
      <c r="TI58" s="1251"/>
      <c r="TJ58" s="1251"/>
      <c r="TK58" s="1251"/>
      <c r="TL58" s="1251"/>
      <c r="TM58" s="1251"/>
      <c r="TN58" s="1251"/>
      <c r="TO58" s="1251"/>
      <c r="TP58" s="1251"/>
      <c r="TQ58" s="1251"/>
      <c r="TR58" s="1251"/>
      <c r="TS58" s="1251"/>
      <c r="TT58" s="1251"/>
      <c r="TU58" s="1251"/>
      <c r="TV58" s="1251"/>
      <c r="TW58" s="1251"/>
      <c r="TX58" s="1251"/>
      <c r="TY58" s="1251"/>
      <c r="TZ58" s="1251"/>
      <c r="UA58" s="1251"/>
      <c r="UB58" s="1251"/>
      <c r="UC58" s="1251"/>
      <c r="UD58" s="1251"/>
      <c r="UE58" s="1251"/>
      <c r="UF58" s="1251"/>
      <c r="UG58" s="1251"/>
      <c r="UH58" s="1251"/>
      <c r="UI58" s="1251"/>
      <c r="UJ58" s="1251"/>
      <c r="UK58" s="1251"/>
      <c r="UL58" s="1251"/>
      <c r="UM58" s="1251"/>
      <c r="UN58" s="1251"/>
      <c r="UO58" s="1251"/>
      <c r="UP58" s="1251"/>
      <c r="UQ58" s="1251"/>
      <c r="UR58" s="1251"/>
      <c r="US58" s="1251"/>
      <c r="UT58" s="1251"/>
      <c r="UU58" s="1251"/>
      <c r="UV58" s="1251"/>
      <c r="UW58" s="1251"/>
      <c r="UX58" s="1251"/>
      <c r="UY58" s="1251"/>
      <c r="UZ58" s="1251"/>
      <c r="VA58" s="1251"/>
      <c r="VB58" s="1251"/>
      <c r="VC58" s="1251"/>
      <c r="VD58" s="1251"/>
      <c r="VE58" s="1251"/>
      <c r="VF58" s="1251"/>
      <c r="VG58" s="1251"/>
      <c r="VH58" s="1251"/>
      <c r="VI58" s="1251"/>
      <c r="VJ58" s="1251"/>
      <c r="VK58" s="1251"/>
      <c r="VL58" s="1251"/>
      <c r="VM58" s="1251"/>
      <c r="VN58" s="1251"/>
      <c r="VO58" s="1251"/>
      <c r="VP58" s="1251"/>
      <c r="VQ58" s="1251"/>
      <c r="VR58" s="1251"/>
      <c r="VS58" s="1251"/>
      <c r="VT58" s="1251"/>
      <c r="VU58" s="1251"/>
      <c r="VV58" s="1251"/>
      <c r="VW58" s="1251"/>
      <c r="VX58" s="1251"/>
      <c r="VY58" s="1251"/>
      <c r="VZ58" s="1251"/>
      <c r="WA58" s="1251"/>
      <c r="WB58" s="1251"/>
      <c r="WC58" s="1251"/>
      <c r="WD58" s="1251"/>
      <c r="WE58" s="1251"/>
      <c r="WF58" s="1251"/>
      <c r="WG58" s="1251"/>
      <c r="WH58" s="1251"/>
      <c r="WI58" s="1251"/>
      <c r="WJ58" s="1251"/>
      <c r="WK58" s="1251"/>
      <c r="WL58" s="1251"/>
      <c r="WM58" s="1251"/>
      <c r="WN58" s="1251"/>
      <c r="WO58" s="1251"/>
      <c r="WP58" s="1251"/>
      <c r="WQ58" s="1251"/>
      <c r="WR58" s="1251"/>
      <c r="WS58" s="1251"/>
      <c r="WT58" s="1251"/>
      <c r="WU58" s="1251"/>
      <c r="WV58" s="1251"/>
      <c r="WW58" s="1251"/>
      <c r="WX58" s="1251"/>
      <c r="WY58" s="1251"/>
      <c r="WZ58" s="1251"/>
      <c r="XA58" s="1251"/>
      <c r="XB58" s="1251"/>
      <c r="XC58" s="1251"/>
      <c r="XD58" s="1251"/>
      <c r="XE58" s="1251"/>
      <c r="XF58" s="1251"/>
      <c r="XG58" s="1251"/>
      <c r="XH58" s="1251"/>
      <c r="XI58" s="1251"/>
      <c r="XJ58" s="1251"/>
      <c r="XK58" s="1251"/>
      <c r="XL58" s="1251"/>
      <c r="XM58" s="1251"/>
      <c r="XN58" s="1251"/>
      <c r="XO58" s="1251"/>
      <c r="XP58" s="1251"/>
      <c r="XQ58" s="1251"/>
      <c r="XR58" s="1251"/>
      <c r="XS58" s="1251"/>
      <c r="XT58" s="1251"/>
      <c r="XU58" s="1251"/>
      <c r="XV58" s="1251"/>
      <c r="XW58" s="1251"/>
      <c r="XX58" s="1251"/>
      <c r="XY58" s="1251"/>
      <c r="XZ58" s="1251"/>
      <c r="YA58" s="1251"/>
      <c r="YB58" s="1251"/>
      <c r="YC58" s="1251"/>
      <c r="YD58" s="1251"/>
      <c r="YE58" s="1251"/>
      <c r="YF58" s="1251"/>
      <c r="YG58" s="1251"/>
      <c r="YH58" s="1251"/>
      <c r="YI58" s="1251"/>
      <c r="YJ58" s="1251"/>
      <c r="YK58" s="1251"/>
      <c r="YL58" s="1251"/>
      <c r="YM58" s="1251"/>
      <c r="YN58" s="1251"/>
      <c r="YO58" s="1251"/>
      <c r="YP58" s="1251"/>
      <c r="YQ58" s="1251"/>
      <c r="YR58" s="1251"/>
      <c r="YS58" s="1251"/>
      <c r="YT58" s="1251"/>
      <c r="YU58" s="1251"/>
      <c r="YV58" s="1251"/>
      <c r="YW58" s="1251"/>
      <c r="YX58" s="1251"/>
      <c r="YY58" s="1251"/>
      <c r="YZ58" s="1251"/>
      <c r="ZA58" s="1251"/>
      <c r="ZB58" s="1251"/>
      <c r="ZC58" s="1251"/>
      <c r="ZD58" s="1251"/>
      <c r="ZE58" s="1251"/>
      <c r="ZF58" s="1251"/>
      <c r="ZG58" s="1251"/>
      <c r="ZH58" s="1251"/>
      <c r="ZI58" s="1251"/>
      <c r="ZJ58" s="1251"/>
      <c r="ZK58" s="1251"/>
      <c r="ZL58" s="1251"/>
      <c r="ZM58" s="1251"/>
      <c r="ZN58" s="1251"/>
      <c r="ZO58" s="1251"/>
      <c r="ZP58" s="1251"/>
      <c r="ZQ58" s="1251"/>
      <c r="ZR58" s="1251"/>
      <c r="ZS58" s="1251"/>
      <c r="ZT58" s="1251"/>
      <c r="ZU58" s="1251"/>
      <c r="ZV58" s="1251"/>
      <c r="ZW58" s="1251"/>
      <c r="ZX58" s="1251"/>
      <c r="ZY58" s="1251"/>
      <c r="ZZ58" s="1251"/>
      <c r="AAA58" s="1251"/>
      <c r="AAB58" s="1251"/>
      <c r="AAC58" s="1251"/>
      <c r="AAD58" s="1251"/>
      <c r="AAE58" s="1251"/>
      <c r="AAF58" s="1251"/>
      <c r="AAG58" s="1251"/>
      <c r="AAH58" s="1251"/>
      <c r="AAI58" s="1251"/>
      <c r="AAJ58" s="1251"/>
      <c r="AAK58" s="1251"/>
      <c r="AAL58" s="1251"/>
      <c r="AAM58" s="1251"/>
      <c r="AAN58" s="1251"/>
      <c r="AAO58" s="1251"/>
      <c r="AAP58" s="1251"/>
      <c r="AAQ58" s="1251"/>
      <c r="AAR58" s="1251"/>
      <c r="AAS58" s="1251"/>
      <c r="AAT58" s="1251"/>
      <c r="AAU58" s="1251"/>
      <c r="AAV58" s="1251"/>
      <c r="AAW58" s="1251"/>
      <c r="AAX58" s="1251"/>
      <c r="AAY58" s="1251"/>
      <c r="AAZ58" s="1251"/>
      <c r="ABA58" s="1251"/>
      <c r="ABB58" s="1251"/>
      <c r="ABC58" s="1251"/>
      <c r="ABD58" s="1251"/>
      <c r="ABE58" s="1251"/>
      <c r="ABF58" s="1251"/>
      <c r="ABG58" s="1251"/>
      <c r="ABH58" s="1251"/>
      <c r="ABI58" s="1251"/>
      <c r="ABJ58" s="1251"/>
      <c r="ABK58" s="1251"/>
      <c r="ABL58" s="1251"/>
      <c r="ABM58" s="1251"/>
      <c r="ABN58" s="1251"/>
      <c r="ABO58" s="1251"/>
      <c r="ABP58" s="1251"/>
      <c r="ABQ58" s="1251"/>
      <c r="ABR58" s="1251"/>
      <c r="ABS58" s="1251"/>
      <c r="ABT58" s="1251"/>
      <c r="ABU58" s="1251"/>
      <c r="ABV58" s="1251"/>
      <c r="ABW58" s="1251"/>
      <c r="ABX58" s="1251"/>
      <c r="ABY58" s="1251"/>
      <c r="ABZ58" s="1251"/>
      <c r="ACA58" s="1251"/>
      <c r="ACB58" s="1251"/>
      <c r="ACC58" s="1251"/>
      <c r="ACD58" s="1251"/>
      <c r="ACE58" s="1251"/>
      <c r="ACF58" s="1251"/>
      <c r="ACG58" s="1251"/>
      <c r="ACH58" s="1251"/>
      <c r="ACI58" s="1251"/>
      <c r="ACJ58" s="1251"/>
      <c r="ACK58" s="1251"/>
      <c r="ACL58" s="1251"/>
      <c r="ACM58" s="1251"/>
      <c r="ACN58" s="1251"/>
      <c r="ACO58" s="1251"/>
      <c r="ACP58" s="1251"/>
      <c r="ACQ58" s="1251"/>
      <c r="ACR58" s="1251"/>
      <c r="ACS58" s="1251"/>
      <c r="ACT58" s="1251"/>
      <c r="ACU58" s="1251"/>
      <c r="ACV58" s="1251"/>
      <c r="ACW58" s="1251"/>
      <c r="ACX58" s="1251"/>
      <c r="ACY58" s="1251"/>
      <c r="ACZ58" s="1251"/>
      <c r="ADA58" s="1251"/>
      <c r="ADB58" s="1251"/>
      <c r="ADC58" s="1251"/>
      <c r="ADD58" s="1251"/>
      <c r="ADE58" s="1251"/>
      <c r="ADF58" s="1251"/>
      <c r="ADG58" s="1251"/>
      <c r="ADH58" s="1251"/>
      <c r="ADI58" s="1251"/>
      <c r="ADJ58" s="1251"/>
      <c r="ADK58" s="1251"/>
      <c r="ADL58" s="1251"/>
      <c r="ADM58" s="1251"/>
      <c r="ADN58" s="1251"/>
      <c r="ADO58" s="1251"/>
      <c r="ADP58" s="1251"/>
      <c r="ADQ58" s="1251"/>
      <c r="ADR58" s="1251"/>
      <c r="ADS58" s="1251"/>
      <c r="ADT58" s="1251"/>
      <c r="ADU58" s="1251"/>
      <c r="ADV58" s="1251"/>
      <c r="ADW58" s="1251"/>
      <c r="ADX58" s="1251"/>
      <c r="ADY58" s="1251"/>
      <c r="ADZ58" s="1251"/>
      <c r="AEA58" s="1251"/>
      <c r="AEB58" s="1251"/>
      <c r="AEC58" s="1251"/>
      <c r="AED58" s="1251"/>
      <c r="AEE58" s="1251"/>
      <c r="AEF58" s="1251"/>
      <c r="AEG58" s="1251"/>
      <c r="AEH58" s="1251"/>
      <c r="AEI58" s="1251"/>
      <c r="AEJ58" s="1251"/>
      <c r="AEK58" s="1251"/>
      <c r="AEL58" s="1251"/>
      <c r="AEM58" s="1251"/>
      <c r="AEN58" s="1251"/>
      <c r="AEO58" s="1251"/>
      <c r="AEP58" s="1251"/>
      <c r="AEQ58" s="1251"/>
      <c r="AER58" s="1251"/>
      <c r="AES58" s="1251"/>
      <c r="AET58" s="1251"/>
      <c r="AEU58" s="1251"/>
      <c r="AEV58" s="1251"/>
      <c r="AEW58" s="1251"/>
      <c r="AEX58" s="1251"/>
      <c r="AEY58" s="1251"/>
      <c r="AEZ58" s="1251"/>
      <c r="AFA58" s="1251"/>
      <c r="AFB58" s="1251"/>
      <c r="AFC58" s="1251"/>
      <c r="AFD58" s="1251"/>
      <c r="AFE58" s="1251"/>
      <c r="AFF58" s="1251"/>
      <c r="AFG58" s="1251"/>
      <c r="AFH58" s="1251"/>
      <c r="AFI58" s="1251"/>
      <c r="AFJ58" s="1251"/>
      <c r="AFK58" s="1251"/>
      <c r="AFL58" s="1251"/>
      <c r="AFM58" s="1251"/>
      <c r="AFN58" s="1251"/>
      <c r="AFO58" s="1251"/>
      <c r="AFP58" s="1251"/>
      <c r="AFQ58" s="1251"/>
      <c r="AFR58" s="1251"/>
      <c r="AFS58" s="1251"/>
      <c r="AFT58" s="1251"/>
      <c r="AFU58" s="1251"/>
      <c r="AFV58" s="1251"/>
      <c r="AFW58" s="1251"/>
      <c r="AFX58" s="1251"/>
      <c r="AFY58" s="1251"/>
      <c r="AFZ58" s="1251"/>
      <c r="AGA58" s="1251"/>
      <c r="AGB58" s="1251"/>
      <c r="AGC58" s="1251"/>
      <c r="AGD58" s="1251"/>
      <c r="AGE58" s="1251"/>
      <c r="AGF58" s="1251"/>
      <c r="AGG58" s="1251"/>
      <c r="AGH58" s="1251"/>
      <c r="AGI58" s="1251"/>
      <c r="AGJ58" s="1251"/>
      <c r="AGK58" s="1251"/>
      <c r="AGL58" s="1251"/>
      <c r="AGM58" s="1251"/>
      <c r="AGN58" s="1251"/>
      <c r="AGO58" s="1251"/>
      <c r="AGP58" s="1251"/>
      <c r="AGQ58" s="1251"/>
      <c r="AGR58" s="1251"/>
      <c r="AGS58" s="1251"/>
      <c r="AGT58" s="1251"/>
      <c r="AGU58" s="1251"/>
      <c r="AGV58" s="1251"/>
      <c r="AGW58" s="1251"/>
      <c r="AGX58" s="1251"/>
      <c r="AGY58" s="1251"/>
      <c r="AGZ58" s="1251"/>
      <c r="AHA58" s="1251"/>
      <c r="AHB58" s="1251"/>
      <c r="AHC58" s="1251"/>
      <c r="AHD58" s="1251"/>
      <c r="AHE58" s="1251"/>
      <c r="AHF58" s="1251"/>
      <c r="AHG58" s="1251"/>
      <c r="AHH58" s="1251"/>
      <c r="AHI58" s="1251"/>
      <c r="AHJ58" s="1251"/>
      <c r="AHK58" s="1251"/>
      <c r="AHL58" s="1251"/>
      <c r="AHM58" s="1251"/>
      <c r="AHN58" s="1251"/>
      <c r="AHO58" s="1251"/>
      <c r="AHP58" s="1251"/>
      <c r="AHQ58" s="1251"/>
      <c r="AHR58" s="1251"/>
      <c r="AHS58" s="1251"/>
      <c r="AHT58" s="1251"/>
      <c r="AHU58" s="1251"/>
      <c r="AHV58" s="1251"/>
      <c r="AHW58" s="1251"/>
      <c r="AHX58" s="1251"/>
      <c r="AHY58" s="1251"/>
      <c r="AHZ58" s="1251"/>
      <c r="AIA58" s="1251"/>
      <c r="AIB58" s="1251"/>
      <c r="AIC58" s="1251"/>
      <c r="AID58" s="1251"/>
      <c r="AIE58" s="1251"/>
      <c r="AIF58" s="1251"/>
      <c r="AIG58" s="1251"/>
      <c r="AIH58" s="1251"/>
      <c r="AII58" s="1251"/>
      <c r="AIJ58" s="1251"/>
      <c r="AIK58" s="1251"/>
      <c r="AIL58" s="1251"/>
      <c r="AIM58" s="1251"/>
      <c r="AIN58" s="1251"/>
      <c r="AIO58" s="1251"/>
      <c r="AIP58" s="1251"/>
      <c r="AIQ58" s="1251"/>
      <c r="AIR58" s="1251"/>
      <c r="AIS58" s="1251"/>
      <c r="AIT58" s="1251"/>
      <c r="AIU58" s="1251"/>
      <c r="AIV58" s="1251"/>
      <c r="AIW58" s="1251"/>
      <c r="AIX58" s="1251"/>
      <c r="AIY58" s="1251"/>
      <c r="AIZ58" s="1251"/>
      <c r="AJA58" s="1251"/>
      <c r="AJB58" s="1251"/>
      <c r="AJC58" s="1251"/>
      <c r="AJD58" s="1251"/>
      <c r="AJE58" s="1251"/>
      <c r="AJF58" s="1251"/>
      <c r="AJG58" s="1251"/>
      <c r="AJH58" s="1251"/>
      <c r="AJI58" s="1251"/>
      <c r="AJJ58" s="1251"/>
      <c r="AJK58" s="1251"/>
      <c r="AJL58" s="1251"/>
      <c r="AJM58" s="1251"/>
      <c r="AJN58" s="1251"/>
      <c r="AJO58" s="1251"/>
      <c r="AJP58" s="1251"/>
      <c r="AJQ58" s="1251"/>
      <c r="AJR58" s="1251"/>
      <c r="AJS58" s="1251"/>
      <c r="AJT58" s="1251"/>
      <c r="AJU58" s="1251"/>
      <c r="AJV58" s="1251"/>
      <c r="AJW58" s="1251"/>
      <c r="AJX58" s="1251"/>
      <c r="AJY58" s="1251"/>
      <c r="AJZ58" s="1251"/>
      <c r="AKA58" s="1251"/>
      <c r="AKB58" s="1251"/>
      <c r="AKC58" s="1251"/>
      <c r="AKD58" s="1251"/>
      <c r="AKE58" s="1251"/>
      <c r="AKF58" s="1251"/>
      <c r="AKG58" s="1251"/>
      <c r="AKH58" s="1251"/>
      <c r="AKI58" s="1251"/>
      <c r="AKJ58" s="1251"/>
      <c r="AKK58" s="1251"/>
      <c r="AKL58" s="1251"/>
      <c r="AKM58" s="1251"/>
      <c r="AKN58" s="1251"/>
      <c r="AKO58" s="1251"/>
      <c r="AKP58" s="1251"/>
      <c r="AKQ58" s="1251"/>
      <c r="AKR58" s="1251"/>
      <c r="AKS58" s="1251"/>
      <c r="AKT58" s="1251"/>
      <c r="AKU58" s="1251"/>
      <c r="AKV58" s="1251"/>
      <c r="AKW58" s="1251"/>
      <c r="AKX58" s="1251"/>
      <c r="AKY58" s="1251"/>
      <c r="AKZ58" s="1251"/>
      <c r="ALA58" s="1251"/>
      <c r="ALB58" s="1251"/>
      <c r="ALC58" s="1251"/>
      <c r="ALD58" s="1251"/>
      <c r="ALE58" s="1251"/>
      <c r="ALF58" s="1251"/>
      <c r="ALG58" s="1251"/>
      <c r="ALH58" s="1251"/>
      <c r="ALI58" s="1251"/>
      <c r="ALJ58" s="1251"/>
      <c r="ALK58" s="1251"/>
      <c r="ALL58" s="1251"/>
      <c r="ALM58" s="1251"/>
      <c r="ALN58" s="1251"/>
      <c r="ALO58" s="1251"/>
      <c r="ALP58" s="1251"/>
      <c r="ALQ58" s="1251"/>
      <c r="ALR58" s="1251"/>
      <c r="ALS58" s="1251"/>
      <c r="ALT58" s="1251"/>
      <c r="ALU58" s="1251"/>
      <c r="ALV58" s="1251"/>
      <c r="ALW58" s="1251"/>
      <c r="ALX58" s="1251"/>
      <c r="ALY58" s="1251"/>
      <c r="ALZ58" s="1251"/>
      <c r="AMA58" s="1251"/>
      <c r="AMB58" s="1251"/>
      <c r="AMC58" s="1251"/>
      <c r="AMD58" s="1251"/>
      <c r="AME58" s="1251"/>
      <c r="AMF58" s="1251"/>
      <c r="AMG58" s="1251"/>
      <c r="AMH58" s="1251"/>
      <c r="AMI58" s="1251"/>
      <c r="AMJ58" s="1251"/>
      <c r="AMK58" s="1251"/>
      <c r="AML58" s="1251"/>
      <c r="AMM58" s="1251"/>
      <c r="AMN58" s="1251"/>
      <c r="AMO58" s="1251"/>
      <c r="AMP58" s="1251"/>
      <c r="AMQ58" s="1251"/>
      <c r="AMR58" s="1251"/>
      <c r="AMS58" s="1251"/>
      <c r="AMT58" s="1251"/>
      <c r="AMU58" s="1251"/>
      <c r="AMV58" s="1251"/>
      <c r="AMW58" s="1251"/>
      <c r="AMX58" s="1251"/>
      <c r="AMY58" s="1251"/>
      <c r="AMZ58" s="1251"/>
      <c r="ANA58" s="1251"/>
      <c r="ANB58" s="1251"/>
      <c r="ANC58" s="1251"/>
      <c r="AND58" s="1251"/>
      <c r="ANE58" s="1251"/>
      <c r="ANF58" s="1251"/>
      <c r="ANG58" s="1251"/>
      <c r="ANH58" s="1251"/>
      <c r="ANI58" s="1251"/>
      <c r="ANJ58" s="1251"/>
      <c r="ANK58" s="1251"/>
      <c r="ANL58" s="1251"/>
      <c r="ANM58" s="1251"/>
      <c r="ANN58" s="1251"/>
      <c r="ANO58" s="1251"/>
      <c r="ANP58" s="1251"/>
      <c r="ANQ58" s="1251"/>
      <c r="ANR58" s="1251"/>
      <c r="ANS58" s="1251"/>
      <c r="ANT58" s="1251"/>
      <c r="ANU58" s="1251"/>
      <c r="ANV58" s="1251"/>
      <c r="ANW58" s="1251"/>
      <c r="ANX58" s="1251"/>
      <c r="ANY58" s="1251"/>
      <c r="ANZ58" s="1251"/>
      <c r="AOA58" s="1251"/>
      <c r="AOB58" s="1251"/>
      <c r="AOC58" s="1251"/>
      <c r="AOD58" s="1251"/>
      <c r="AOE58" s="1251"/>
      <c r="AOF58" s="1251"/>
      <c r="AOG58" s="1251"/>
      <c r="AOH58" s="1251"/>
      <c r="AOI58" s="1251"/>
      <c r="AOJ58" s="1251"/>
      <c r="AOK58" s="1251"/>
      <c r="AOL58" s="1251"/>
      <c r="AOM58" s="1251"/>
      <c r="AON58" s="1251"/>
      <c r="AOO58" s="1251"/>
      <c r="AOP58" s="1251"/>
      <c r="AOQ58" s="1251"/>
      <c r="AOR58" s="1251"/>
      <c r="AOS58" s="1251"/>
      <c r="AOT58" s="1251"/>
      <c r="AOU58" s="1251"/>
      <c r="AOV58" s="1251"/>
      <c r="AOW58" s="1251"/>
      <c r="AOX58" s="1251"/>
      <c r="AOY58" s="1251"/>
      <c r="AOZ58" s="1251"/>
      <c r="APA58" s="1251"/>
      <c r="APB58" s="1251"/>
      <c r="APC58" s="1251"/>
      <c r="APD58" s="1251"/>
      <c r="APE58" s="1251"/>
      <c r="APF58" s="1251"/>
      <c r="APG58" s="1251"/>
      <c r="APH58" s="1251"/>
      <c r="API58" s="1251"/>
      <c r="APJ58" s="1251"/>
      <c r="APK58" s="1251"/>
      <c r="APL58" s="1251"/>
      <c r="APM58" s="1251"/>
      <c r="APN58" s="1251"/>
      <c r="APO58" s="1251"/>
      <c r="APP58" s="1251"/>
      <c r="APQ58" s="1251"/>
      <c r="APR58" s="1251"/>
      <c r="APS58" s="1251"/>
      <c r="APT58" s="1251"/>
      <c r="APU58" s="1251"/>
      <c r="APV58" s="1251"/>
      <c r="APW58" s="1251"/>
      <c r="APX58" s="1251"/>
      <c r="APY58" s="1251"/>
      <c r="APZ58" s="1251"/>
      <c r="AQA58" s="1251"/>
      <c r="AQB58" s="1251"/>
      <c r="AQC58" s="1251"/>
      <c r="AQD58" s="1251"/>
      <c r="AQE58" s="1251"/>
      <c r="AQF58" s="1251"/>
      <c r="AQG58" s="1251"/>
      <c r="AQH58" s="1251"/>
      <c r="AQI58" s="1251"/>
      <c r="AQJ58" s="1251"/>
      <c r="AQK58" s="1251"/>
      <c r="AQL58" s="1251"/>
      <c r="AQM58" s="1251"/>
      <c r="AQN58" s="1251"/>
      <c r="AQO58" s="1251"/>
      <c r="AQP58" s="1251"/>
      <c r="AQQ58" s="1251"/>
      <c r="AQR58" s="1251"/>
      <c r="AQS58" s="1251"/>
      <c r="AQT58" s="1251"/>
      <c r="AQU58" s="1251"/>
      <c r="AQV58" s="1251"/>
      <c r="AQW58" s="1251"/>
      <c r="AQX58" s="1251"/>
      <c r="AQY58" s="1251"/>
      <c r="AQZ58" s="1251"/>
      <c r="ARA58" s="1251"/>
      <c r="ARB58" s="1251"/>
      <c r="ARC58" s="1251"/>
      <c r="ARD58" s="1251"/>
      <c r="ARE58" s="1251"/>
      <c r="ARF58" s="1251"/>
      <c r="ARG58" s="1251"/>
      <c r="ARH58" s="1251"/>
      <c r="ARI58" s="1251"/>
      <c r="ARJ58" s="1251"/>
      <c r="ARK58" s="1251"/>
      <c r="ARL58" s="1251"/>
      <c r="ARM58" s="1251"/>
      <c r="ARN58" s="1251"/>
      <c r="ARO58" s="1251"/>
      <c r="ARP58" s="1251"/>
      <c r="ARQ58" s="1251"/>
      <c r="ARR58" s="1251"/>
      <c r="ARS58" s="1251"/>
      <c r="ART58" s="1251"/>
      <c r="ARU58" s="1251"/>
      <c r="ARV58" s="1251"/>
      <c r="ARW58" s="1251"/>
      <c r="ARX58" s="1251"/>
      <c r="ARY58" s="1251"/>
      <c r="ARZ58" s="1251"/>
      <c r="ASA58" s="1251"/>
      <c r="ASB58" s="1251"/>
      <c r="ASC58" s="1251"/>
      <c r="ASD58" s="1251"/>
      <c r="ASE58" s="1251"/>
      <c r="ASF58" s="1251"/>
      <c r="ASG58" s="1251"/>
      <c r="ASH58" s="1251"/>
      <c r="ASI58" s="1251"/>
      <c r="ASJ58" s="1251"/>
      <c r="ASK58" s="1251"/>
      <c r="ASL58" s="1251"/>
      <c r="ASM58" s="1251"/>
      <c r="ASN58" s="1251"/>
      <c r="ASO58" s="1251"/>
      <c r="ASP58" s="1251"/>
      <c r="ASQ58" s="1251"/>
      <c r="ASR58" s="1251"/>
      <c r="ASS58" s="1251"/>
      <c r="AST58" s="1251"/>
      <c r="ASU58" s="1251"/>
      <c r="ASV58" s="1251"/>
      <c r="ASW58" s="1251"/>
      <c r="ASX58" s="1251"/>
      <c r="ASY58" s="1251"/>
      <c r="ASZ58" s="1251"/>
      <c r="ATA58" s="1251"/>
      <c r="ATB58" s="1251"/>
      <c r="ATC58" s="1251"/>
      <c r="ATD58" s="1251"/>
      <c r="ATE58" s="1251"/>
      <c r="ATF58" s="1251"/>
      <c r="ATG58" s="1251"/>
      <c r="ATH58" s="1251"/>
      <c r="ATI58" s="1251"/>
      <c r="ATJ58" s="1251"/>
      <c r="ATK58" s="1251"/>
      <c r="ATL58" s="1251"/>
      <c r="ATM58" s="1251"/>
      <c r="ATN58" s="1251"/>
      <c r="ATO58" s="1251"/>
      <c r="ATP58" s="1251"/>
      <c r="ATQ58" s="1251"/>
      <c r="ATR58" s="1251"/>
      <c r="ATS58" s="1251"/>
      <c r="ATT58" s="1251"/>
      <c r="ATU58" s="1251"/>
      <c r="ATV58" s="1251"/>
      <c r="ATW58" s="1251"/>
      <c r="ATX58" s="1251"/>
      <c r="ATY58" s="1251"/>
      <c r="ATZ58" s="1251"/>
      <c r="AUA58" s="1251"/>
      <c r="AUB58" s="1251"/>
      <c r="AUC58" s="1251"/>
      <c r="AUD58" s="1251"/>
      <c r="AUE58" s="1251"/>
      <c r="AUF58" s="1251"/>
      <c r="AUG58" s="1251"/>
      <c r="AUH58" s="1251"/>
      <c r="AUI58" s="1251"/>
      <c r="AUJ58" s="1251"/>
      <c r="AUK58" s="1251"/>
      <c r="AUL58" s="1251"/>
      <c r="AUM58" s="1251"/>
      <c r="AUN58" s="1251"/>
      <c r="AUO58" s="1251"/>
      <c r="AUP58" s="1251"/>
      <c r="AUQ58" s="1251"/>
      <c r="AUR58" s="1251"/>
      <c r="AUS58" s="1251"/>
      <c r="AUT58" s="1251"/>
      <c r="AUU58" s="1251"/>
      <c r="AUV58" s="1251"/>
      <c r="AUW58" s="1251"/>
      <c r="AUX58" s="1251"/>
      <c r="AUY58" s="1251"/>
      <c r="AUZ58" s="1251"/>
      <c r="AVA58" s="1251"/>
      <c r="AVB58" s="1251"/>
      <c r="AVC58" s="1251"/>
      <c r="AVD58" s="1251"/>
      <c r="AVE58" s="1251"/>
      <c r="AVF58" s="1251"/>
      <c r="AVG58" s="1251"/>
      <c r="AVH58" s="1251"/>
      <c r="AVI58" s="1251"/>
      <c r="AVJ58" s="1251"/>
      <c r="AVK58" s="1251"/>
      <c r="AVL58" s="1251"/>
      <c r="AVM58" s="1251"/>
      <c r="AVN58" s="1251"/>
      <c r="AVO58" s="1251"/>
      <c r="AVP58" s="1251"/>
      <c r="AVQ58" s="1251"/>
      <c r="AVR58" s="1251"/>
      <c r="AVS58" s="1251"/>
      <c r="AVT58" s="1251"/>
      <c r="AVU58" s="1251"/>
      <c r="AVV58" s="1251"/>
      <c r="AVW58" s="1251"/>
      <c r="AVX58" s="1251"/>
      <c r="AVY58" s="1251"/>
      <c r="AVZ58" s="1251"/>
      <c r="AWA58" s="1251"/>
      <c r="AWB58" s="1251"/>
      <c r="AWC58" s="1251"/>
      <c r="AWD58" s="1251"/>
      <c r="AWE58" s="1251"/>
      <c r="AWF58" s="1251"/>
      <c r="AWG58" s="1251"/>
      <c r="AWH58" s="1251"/>
      <c r="AWI58" s="1251"/>
      <c r="AWJ58" s="1251"/>
      <c r="AWK58" s="1251"/>
      <c r="AWL58" s="1251"/>
      <c r="AWM58" s="1251"/>
      <c r="AWN58" s="1251"/>
      <c r="AWO58" s="1251"/>
      <c r="AWP58" s="1251"/>
      <c r="AWQ58" s="1251"/>
      <c r="AWR58" s="1251"/>
      <c r="AWS58" s="1251"/>
      <c r="AWT58" s="1251"/>
      <c r="AWU58" s="1251"/>
      <c r="AWV58" s="1251"/>
      <c r="AWW58" s="1251"/>
      <c r="AWX58" s="1251"/>
      <c r="AWY58" s="1251"/>
      <c r="AWZ58" s="1251"/>
      <c r="AXA58" s="1251"/>
      <c r="AXB58" s="1251"/>
      <c r="AXC58" s="1251"/>
      <c r="AXD58" s="1251"/>
      <c r="AXE58" s="1251"/>
      <c r="AXF58" s="1251"/>
      <c r="AXG58" s="1251"/>
      <c r="AXH58" s="1251"/>
      <c r="AXI58" s="1251"/>
      <c r="AXJ58" s="1251"/>
      <c r="AXK58" s="1251"/>
      <c r="AXL58" s="1251"/>
      <c r="AXM58" s="1251"/>
      <c r="AXN58" s="1251"/>
      <c r="AXO58" s="1251"/>
      <c r="AXP58" s="1251"/>
      <c r="AXQ58" s="1251"/>
      <c r="AXR58" s="1251"/>
      <c r="AXS58" s="1251"/>
      <c r="AXT58" s="1251"/>
      <c r="AXU58" s="1251"/>
      <c r="AXV58" s="1251"/>
      <c r="AXW58" s="1251"/>
      <c r="AXX58" s="1251"/>
      <c r="AXY58" s="1251"/>
      <c r="AXZ58" s="1251"/>
      <c r="AYA58" s="1251"/>
      <c r="AYB58" s="1251"/>
      <c r="AYC58" s="1251"/>
      <c r="AYD58" s="1251"/>
      <c r="AYE58" s="1251"/>
      <c r="AYF58" s="1251"/>
      <c r="AYG58" s="1251"/>
      <c r="AYH58" s="1251"/>
      <c r="AYI58" s="1251"/>
      <c r="AYJ58" s="1251"/>
      <c r="AYK58" s="1251"/>
      <c r="AYL58" s="1251"/>
      <c r="AYM58" s="1251"/>
      <c r="AYN58" s="1251"/>
      <c r="AYO58" s="1251"/>
      <c r="AYP58" s="1251"/>
      <c r="AYQ58" s="1251"/>
      <c r="AYR58" s="1251"/>
      <c r="AYS58" s="1251"/>
      <c r="AYT58" s="1251"/>
      <c r="AYU58" s="1251"/>
      <c r="AYV58" s="1251"/>
      <c r="AYW58" s="1251"/>
      <c r="AYX58" s="1251"/>
      <c r="AYY58" s="1251"/>
      <c r="AYZ58" s="1251"/>
      <c r="AZA58" s="1251"/>
      <c r="AZB58" s="1251"/>
      <c r="AZC58" s="1251"/>
      <c r="AZD58" s="1251"/>
      <c r="AZE58" s="1251"/>
      <c r="AZF58" s="1251"/>
      <c r="AZG58" s="1251"/>
      <c r="AZH58" s="1251"/>
      <c r="AZI58" s="1251"/>
      <c r="AZJ58" s="1251"/>
      <c r="AZK58" s="1251"/>
      <c r="AZL58" s="1251"/>
      <c r="AZM58" s="1251"/>
      <c r="AZN58" s="1251"/>
      <c r="AZO58" s="1251"/>
      <c r="AZP58" s="1251"/>
      <c r="AZQ58" s="1251"/>
      <c r="AZR58" s="1251"/>
      <c r="AZS58" s="1251"/>
      <c r="AZT58" s="1251"/>
      <c r="AZU58" s="1251"/>
      <c r="AZV58" s="1251"/>
      <c r="AZW58" s="1251"/>
      <c r="AZX58" s="1251"/>
      <c r="AZY58" s="1251"/>
      <c r="AZZ58" s="1251"/>
      <c r="BAA58" s="1251"/>
      <c r="BAB58" s="1251"/>
      <c r="BAC58" s="1251"/>
      <c r="BAD58" s="1251"/>
      <c r="BAE58" s="1251"/>
      <c r="BAF58" s="1251"/>
      <c r="BAG58" s="1251"/>
      <c r="BAH58" s="1251"/>
      <c r="BAI58" s="1251"/>
      <c r="BAJ58" s="1251"/>
      <c r="BAK58" s="1251"/>
      <c r="BAL58" s="1251"/>
      <c r="BAM58" s="1251"/>
      <c r="BAN58" s="1251"/>
      <c r="BAO58" s="1251"/>
      <c r="BAP58" s="1251"/>
      <c r="BAQ58" s="1251"/>
      <c r="BAR58" s="1251"/>
      <c r="BAS58" s="1251"/>
      <c r="BAT58" s="1251"/>
      <c r="BAU58" s="1251"/>
      <c r="BAV58" s="1251"/>
      <c r="BAW58" s="1251"/>
      <c r="BAX58" s="1251"/>
      <c r="BAY58" s="1251"/>
      <c r="BAZ58" s="1251"/>
      <c r="BBA58" s="1251"/>
      <c r="BBB58" s="1251"/>
      <c r="BBC58" s="1251"/>
      <c r="BBD58" s="1251"/>
      <c r="BBE58" s="1251"/>
      <c r="BBF58" s="1251"/>
      <c r="BBG58" s="1251"/>
      <c r="BBH58" s="1251"/>
      <c r="BBI58" s="1251"/>
      <c r="BBJ58" s="1251"/>
      <c r="BBK58" s="1251"/>
      <c r="BBL58" s="1251"/>
      <c r="BBM58" s="1251"/>
      <c r="BBN58" s="1251"/>
      <c r="BBO58" s="1251"/>
      <c r="BBP58" s="1251"/>
      <c r="BBQ58" s="1251"/>
      <c r="BBR58" s="1251"/>
      <c r="BBS58" s="1251"/>
      <c r="BBT58" s="1251"/>
      <c r="BBU58" s="1251"/>
      <c r="BBV58" s="1251"/>
      <c r="BBW58" s="1251"/>
      <c r="BBX58" s="1251"/>
      <c r="BBY58" s="1251"/>
      <c r="BBZ58" s="1251"/>
      <c r="BCA58" s="1251"/>
      <c r="BCB58" s="1251"/>
      <c r="BCC58" s="1251"/>
      <c r="BCD58" s="1251"/>
      <c r="BCE58" s="1251"/>
      <c r="BCF58" s="1251"/>
      <c r="BCG58" s="1251"/>
      <c r="BCH58" s="1251"/>
      <c r="BCI58" s="1251"/>
      <c r="BCJ58" s="1251"/>
      <c r="BCK58" s="1251"/>
      <c r="BCL58" s="1251"/>
      <c r="BCM58" s="1251"/>
      <c r="BCN58" s="1251"/>
      <c r="BCO58" s="1251"/>
      <c r="BCP58" s="1251"/>
      <c r="BCQ58" s="1251"/>
      <c r="BCR58" s="1251"/>
      <c r="BCS58" s="1251"/>
      <c r="BCT58" s="1251"/>
      <c r="BCU58" s="1251"/>
      <c r="BCV58" s="1251"/>
      <c r="BCW58" s="1251"/>
      <c r="BCX58" s="1251"/>
      <c r="BCY58" s="1251"/>
      <c r="BCZ58" s="1251"/>
      <c r="BDA58" s="1251"/>
      <c r="BDB58" s="1251"/>
      <c r="BDC58" s="1251"/>
      <c r="BDD58" s="1251"/>
      <c r="BDE58" s="1251"/>
      <c r="BDF58" s="1251"/>
      <c r="BDG58" s="1251"/>
      <c r="BDH58" s="1251"/>
      <c r="BDI58" s="1251"/>
      <c r="BDJ58" s="1251"/>
      <c r="BDK58" s="1251"/>
      <c r="BDL58" s="1251"/>
      <c r="BDM58" s="1251"/>
      <c r="BDN58" s="1251"/>
      <c r="BDO58" s="1251"/>
      <c r="BDP58" s="1251"/>
      <c r="BDQ58" s="1251"/>
      <c r="BDR58" s="1251"/>
      <c r="BDS58" s="1251"/>
      <c r="BDT58" s="1251"/>
      <c r="BDU58" s="1251"/>
      <c r="BDV58" s="1251"/>
      <c r="BDW58" s="1251"/>
      <c r="BDX58" s="1251"/>
      <c r="BDY58" s="1251"/>
      <c r="BDZ58" s="1251"/>
      <c r="BEA58" s="1251"/>
      <c r="BEB58" s="1251"/>
      <c r="BEC58" s="1251"/>
      <c r="BED58" s="1251"/>
      <c r="BEE58" s="1251"/>
      <c r="BEF58" s="1251"/>
      <c r="BEG58" s="1251"/>
      <c r="BEH58" s="1251"/>
      <c r="BEI58" s="1251"/>
      <c r="BEJ58" s="1251"/>
      <c r="BEK58" s="1251"/>
      <c r="BEL58" s="1251"/>
      <c r="BEM58" s="1251"/>
      <c r="BEN58" s="1251"/>
      <c r="BEO58" s="1251"/>
      <c r="BEP58" s="1251"/>
      <c r="BEQ58" s="1251"/>
      <c r="BER58" s="1251"/>
      <c r="BES58" s="1251"/>
      <c r="BET58" s="1251"/>
      <c r="BEU58" s="1251"/>
      <c r="BEV58" s="1251"/>
      <c r="BEW58" s="1251"/>
      <c r="BEX58" s="1251"/>
      <c r="BEY58" s="1251"/>
      <c r="BEZ58" s="1251"/>
      <c r="BFA58" s="1251"/>
      <c r="BFB58" s="1251"/>
      <c r="BFC58" s="1251"/>
      <c r="BFD58" s="1251"/>
      <c r="BFE58" s="1251"/>
      <c r="BFF58" s="1251"/>
      <c r="BFG58" s="1251"/>
      <c r="BFH58" s="1251"/>
      <c r="BFI58" s="1251"/>
      <c r="BFJ58" s="1251"/>
      <c r="BFK58" s="1251"/>
      <c r="BFL58" s="1251"/>
      <c r="BFM58" s="1251"/>
      <c r="BFN58" s="1251"/>
      <c r="BFO58" s="1251"/>
      <c r="BFP58" s="1251"/>
      <c r="BFQ58" s="1251"/>
      <c r="BFR58" s="1251"/>
      <c r="BFS58" s="1251"/>
      <c r="BFT58" s="1251"/>
      <c r="BFU58" s="1251"/>
      <c r="BFV58" s="1251"/>
      <c r="BFW58" s="1251"/>
      <c r="BFX58" s="1251"/>
      <c r="BFY58" s="1251"/>
      <c r="BFZ58" s="1251"/>
      <c r="BGA58" s="1251"/>
      <c r="BGB58" s="1251"/>
      <c r="BGC58" s="1251"/>
      <c r="BGD58" s="1251"/>
      <c r="BGE58" s="1251"/>
      <c r="BGF58" s="1251"/>
      <c r="BGG58" s="1251"/>
      <c r="BGH58" s="1251"/>
      <c r="BGI58" s="1251"/>
      <c r="BGJ58" s="1251"/>
      <c r="BGK58" s="1251"/>
      <c r="BGL58" s="1251"/>
      <c r="BGM58" s="1251"/>
      <c r="BGN58" s="1251"/>
      <c r="BGO58" s="1251"/>
      <c r="BGP58" s="1251"/>
      <c r="BGQ58" s="1251"/>
      <c r="BGR58" s="1251"/>
      <c r="BGS58" s="1251"/>
      <c r="BGT58" s="1251"/>
      <c r="BGU58" s="1251"/>
      <c r="BGV58" s="1251"/>
      <c r="BGW58" s="1251"/>
      <c r="BGX58" s="1251"/>
      <c r="BGY58" s="1251"/>
      <c r="BGZ58" s="1251"/>
      <c r="BHA58" s="1251"/>
      <c r="BHB58" s="1251"/>
      <c r="BHC58" s="1251"/>
      <c r="BHD58" s="1251"/>
      <c r="BHE58" s="1251"/>
      <c r="BHF58" s="1251"/>
      <c r="BHG58" s="1251"/>
      <c r="BHH58" s="1251"/>
      <c r="BHI58" s="1251"/>
      <c r="BHJ58" s="1251"/>
      <c r="BHK58" s="1251"/>
      <c r="BHL58" s="1251"/>
      <c r="BHM58" s="1251"/>
      <c r="BHN58" s="1251"/>
      <c r="BHO58" s="1251"/>
      <c r="BHP58" s="1251"/>
      <c r="BHQ58" s="1251"/>
      <c r="BHR58" s="1251"/>
      <c r="BHS58" s="1251"/>
      <c r="BHT58" s="1251"/>
      <c r="BHU58" s="1251"/>
      <c r="BHV58" s="1251"/>
      <c r="BHW58" s="1251"/>
      <c r="BHX58" s="1251"/>
      <c r="BHY58" s="1251"/>
      <c r="BHZ58" s="1251"/>
      <c r="BIA58" s="1251"/>
      <c r="BIB58" s="1251"/>
      <c r="BIC58" s="1251"/>
      <c r="BID58" s="1251"/>
      <c r="BIE58" s="1251"/>
      <c r="BIF58" s="1251"/>
      <c r="BIG58" s="1251"/>
      <c r="BIH58" s="1251"/>
      <c r="BII58" s="1251"/>
      <c r="BIJ58" s="1251"/>
      <c r="BIK58" s="1251"/>
      <c r="BIL58" s="1251"/>
      <c r="BIM58" s="1251"/>
      <c r="BIN58" s="1251"/>
      <c r="BIO58" s="1251"/>
      <c r="BIP58" s="1251"/>
      <c r="BIQ58" s="1251"/>
      <c r="BIR58" s="1251"/>
      <c r="BIS58" s="1251"/>
      <c r="BIT58" s="1251"/>
      <c r="BIU58" s="1251"/>
      <c r="BIV58" s="1251"/>
      <c r="BIW58" s="1251"/>
      <c r="BIX58" s="1251"/>
      <c r="BIY58" s="1251"/>
      <c r="BIZ58" s="1251"/>
      <c r="BJA58" s="1251"/>
      <c r="BJB58" s="1251"/>
      <c r="BJC58" s="1251"/>
      <c r="BJD58" s="1251"/>
      <c r="BJE58" s="1251"/>
      <c r="BJF58" s="1251"/>
      <c r="BJG58" s="1251"/>
      <c r="BJH58" s="1251"/>
      <c r="BJI58" s="1251"/>
      <c r="BJJ58" s="1251"/>
      <c r="BJK58" s="1251"/>
      <c r="BJL58" s="1251"/>
      <c r="BJM58" s="1251"/>
      <c r="BJN58" s="1251"/>
      <c r="BJO58" s="1251"/>
      <c r="BJP58" s="1251"/>
      <c r="BJQ58" s="1251"/>
      <c r="BJR58" s="1251"/>
      <c r="BJS58" s="1251"/>
      <c r="BJT58" s="1251"/>
      <c r="BJU58" s="1251"/>
      <c r="BJV58" s="1251"/>
      <c r="BJW58" s="1251"/>
      <c r="BJX58" s="1251"/>
      <c r="BJY58" s="1251"/>
      <c r="BJZ58" s="1251"/>
      <c r="BKA58" s="1251"/>
      <c r="BKB58" s="1251"/>
      <c r="BKC58" s="1251"/>
      <c r="BKD58" s="1251"/>
      <c r="BKE58" s="1251"/>
      <c r="BKF58" s="1251"/>
      <c r="BKG58" s="1251"/>
      <c r="BKH58" s="1251"/>
      <c r="BKI58" s="1251"/>
      <c r="BKJ58" s="1251"/>
      <c r="BKK58" s="1251"/>
      <c r="BKL58" s="1251"/>
      <c r="BKM58" s="1251"/>
      <c r="BKN58" s="1251"/>
      <c r="BKO58" s="1251"/>
      <c r="BKP58" s="1251"/>
      <c r="BKQ58" s="1251"/>
      <c r="BKR58" s="1251"/>
      <c r="BKS58" s="1251"/>
      <c r="BKT58" s="1251"/>
      <c r="BKU58" s="1251"/>
      <c r="BKV58" s="1251"/>
      <c r="BKW58" s="1251"/>
      <c r="BKX58" s="1251"/>
      <c r="BKY58" s="1251"/>
      <c r="BKZ58" s="1251"/>
      <c r="BLA58" s="1251"/>
      <c r="BLB58" s="1251"/>
      <c r="BLC58" s="1251"/>
      <c r="BLD58" s="1251"/>
      <c r="BLE58" s="1251"/>
      <c r="BLF58" s="1251"/>
      <c r="BLG58" s="1251"/>
      <c r="BLH58" s="1251"/>
      <c r="BLI58" s="1251"/>
      <c r="BLJ58" s="1251"/>
      <c r="BLK58" s="1251"/>
      <c r="BLL58" s="1251"/>
      <c r="BLM58" s="1251"/>
      <c r="BLN58" s="1251"/>
      <c r="BLO58" s="1251"/>
      <c r="BLP58" s="1251"/>
      <c r="BLQ58" s="1251"/>
      <c r="BLR58" s="1251"/>
      <c r="BLS58" s="1251"/>
      <c r="BLT58" s="1251"/>
      <c r="BLU58" s="1251"/>
      <c r="BLV58" s="1251"/>
      <c r="BLW58" s="1251"/>
      <c r="BLX58" s="1251"/>
      <c r="BLY58" s="1251"/>
      <c r="BLZ58" s="1251"/>
      <c r="BMA58" s="1251"/>
      <c r="BMB58" s="1251"/>
      <c r="BMC58" s="1251"/>
      <c r="BMD58" s="1251"/>
      <c r="BME58" s="1251"/>
      <c r="BMF58" s="1251"/>
      <c r="BMG58" s="1251"/>
      <c r="BMH58" s="1251"/>
      <c r="BMI58" s="1251"/>
      <c r="BMJ58" s="1251"/>
      <c r="BMK58" s="1251"/>
      <c r="BML58" s="1251"/>
      <c r="BMM58" s="1251"/>
      <c r="BMN58" s="1251"/>
      <c r="BMO58" s="1251"/>
      <c r="BMP58" s="1251"/>
      <c r="BMQ58" s="1251"/>
      <c r="BMR58" s="1251"/>
      <c r="BMS58" s="1251"/>
      <c r="BMT58" s="1251"/>
      <c r="BMU58" s="1251"/>
      <c r="BMV58" s="1251"/>
      <c r="BMW58" s="1251"/>
      <c r="BMX58" s="1251"/>
      <c r="BMY58" s="1251"/>
      <c r="BMZ58" s="1251"/>
      <c r="BNA58" s="1251"/>
      <c r="BNB58" s="1251"/>
      <c r="BNC58" s="1251"/>
      <c r="BND58" s="1251"/>
      <c r="BNE58" s="1251"/>
      <c r="BNF58" s="1251"/>
      <c r="BNG58" s="1251"/>
      <c r="BNH58" s="1251"/>
      <c r="BNI58" s="1251"/>
      <c r="BNJ58" s="1251"/>
      <c r="BNK58" s="1251"/>
      <c r="BNL58" s="1251"/>
      <c r="BNM58" s="1251"/>
      <c r="BNN58" s="1251"/>
      <c r="BNO58" s="1251"/>
      <c r="BNP58" s="1251"/>
      <c r="BNQ58" s="1251"/>
      <c r="BNR58" s="1251"/>
      <c r="BNS58" s="1251"/>
      <c r="BNT58" s="1251"/>
      <c r="BNU58" s="1251"/>
      <c r="BNV58" s="1251"/>
      <c r="BNW58" s="1251"/>
      <c r="BNX58" s="1251"/>
      <c r="BNY58" s="1251"/>
      <c r="BNZ58" s="1251"/>
      <c r="BOA58" s="1251"/>
      <c r="BOB58" s="1251"/>
      <c r="BOC58" s="1251"/>
      <c r="BOD58" s="1251"/>
      <c r="BOE58" s="1251"/>
      <c r="BOF58" s="1251"/>
      <c r="BOG58" s="1251"/>
      <c r="BOH58" s="1251"/>
      <c r="BOI58" s="1251"/>
      <c r="BOJ58" s="1251"/>
      <c r="BOK58" s="1251"/>
      <c r="BOL58" s="1251"/>
      <c r="BOM58" s="1251"/>
      <c r="BON58" s="1251"/>
      <c r="BOO58" s="1251"/>
      <c r="BOP58" s="1251"/>
      <c r="BOQ58" s="1251"/>
      <c r="BOR58" s="1251"/>
      <c r="BOS58" s="1251"/>
      <c r="BOT58" s="1251"/>
      <c r="BOU58" s="1251"/>
      <c r="BOV58" s="1251"/>
      <c r="BOW58" s="1251"/>
      <c r="BOX58" s="1251"/>
      <c r="BOY58" s="1251"/>
      <c r="BOZ58" s="1251"/>
      <c r="BPA58" s="1251"/>
      <c r="BPB58" s="1251"/>
      <c r="BPC58" s="1251"/>
      <c r="BPD58" s="1251"/>
      <c r="BPE58" s="1251"/>
      <c r="BPF58" s="1251"/>
      <c r="BPG58" s="1251"/>
      <c r="BPH58" s="1251"/>
      <c r="BPI58" s="1251"/>
      <c r="BPJ58" s="1251"/>
      <c r="BPK58" s="1251"/>
      <c r="BPL58" s="1251"/>
      <c r="BPM58" s="1251"/>
      <c r="BPN58" s="1251"/>
      <c r="BPO58" s="1251"/>
      <c r="BPP58" s="1251"/>
      <c r="BPQ58" s="1251"/>
      <c r="BPR58" s="1251"/>
      <c r="BPS58" s="1251"/>
      <c r="BPT58" s="1251"/>
      <c r="BPU58" s="1251"/>
      <c r="BPV58" s="1251"/>
      <c r="BPW58" s="1251"/>
      <c r="BPX58" s="1251"/>
      <c r="BPY58" s="1251"/>
      <c r="BPZ58" s="1251"/>
      <c r="BQA58" s="1251"/>
      <c r="BQB58" s="1251"/>
      <c r="BQC58" s="1251"/>
      <c r="BQD58" s="1251"/>
      <c r="BQE58" s="1251"/>
      <c r="BQF58" s="1251"/>
      <c r="BQG58" s="1251"/>
      <c r="BQH58" s="1251"/>
      <c r="BQI58" s="1251"/>
      <c r="BQJ58" s="1251"/>
      <c r="BQK58" s="1251"/>
      <c r="BQL58" s="1251"/>
      <c r="BQM58" s="1251"/>
      <c r="BQN58" s="1251"/>
      <c r="BQO58" s="1251"/>
      <c r="BQP58" s="1251"/>
      <c r="BQQ58" s="1251"/>
      <c r="BQR58" s="1251"/>
      <c r="BQS58" s="1251"/>
      <c r="BQT58" s="1251"/>
      <c r="BQU58" s="1251"/>
      <c r="BQV58" s="1251"/>
      <c r="BQW58" s="1251"/>
      <c r="BQX58" s="1251"/>
      <c r="BQY58" s="1251"/>
      <c r="BQZ58" s="1251"/>
      <c r="BRA58" s="1251"/>
      <c r="BRB58" s="1251"/>
      <c r="BRC58" s="1251"/>
      <c r="BRD58" s="1251"/>
      <c r="BRE58" s="1251"/>
      <c r="BRF58" s="1251"/>
      <c r="BRG58" s="1251"/>
      <c r="BRH58" s="1251"/>
      <c r="BRI58" s="1251"/>
      <c r="BRJ58" s="1251"/>
      <c r="BRK58" s="1251"/>
      <c r="BRL58" s="1251"/>
      <c r="BRM58" s="1251"/>
      <c r="BRN58" s="1251"/>
      <c r="BRO58" s="1251"/>
      <c r="BRP58" s="1251"/>
      <c r="BRQ58" s="1251"/>
      <c r="BRR58" s="1251"/>
      <c r="BRS58" s="1251"/>
      <c r="BRT58" s="1251"/>
      <c r="BRU58" s="1251"/>
      <c r="BRV58" s="1251"/>
      <c r="BRW58" s="1251"/>
      <c r="BRX58" s="1251"/>
      <c r="BRY58" s="1251"/>
      <c r="BRZ58" s="1251"/>
      <c r="BSA58" s="1251"/>
      <c r="BSB58" s="1251"/>
      <c r="BSC58" s="1251"/>
      <c r="BSD58" s="1251"/>
      <c r="BSE58" s="1251"/>
      <c r="BSF58" s="1251"/>
      <c r="BSG58" s="1251"/>
      <c r="BSH58" s="1251"/>
      <c r="BSI58" s="1251"/>
      <c r="BSJ58" s="1251"/>
      <c r="BSK58" s="1251"/>
      <c r="BSL58" s="1251"/>
      <c r="BSM58" s="1251"/>
      <c r="BSN58" s="1251"/>
      <c r="BSO58" s="1251"/>
      <c r="BSP58" s="1251"/>
      <c r="BSQ58" s="1251"/>
      <c r="BSR58" s="1251"/>
      <c r="BSS58" s="1251"/>
      <c r="BST58" s="1251"/>
      <c r="BSU58" s="1251"/>
      <c r="BSV58" s="1251"/>
      <c r="BSW58" s="1251"/>
      <c r="BSX58" s="1251"/>
      <c r="BSY58" s="1251"/>
      <c r="BSZ58" s="1251"/>
      <c r="BTA58" s="1251"/>
      <c r="BTB58" s="1251"/>
      <c r="BTC58" s="1251"/>
      <c r="BTD58" s="1251"/>
      <c r="BTE58" s="1251"/>
      <c r="BTF58" s="1251"/>
      <c r="BTG58" s="1251"/>
      <c r="BTH58" s="1251"/>
      <c r="BTI58" s="1251"/>
    </row>
    <row r="59" spans="1:1881" s="1251" customFormat="1" ht="55.5" hidden="1" customHeight="1" thickBot="1" x14ac:dyDescent="0.35">
      <c r="A59" s="1248">
        <v>506</v>
      </c>
      <c r="B59" s="806" t="s">
        <v>55</v>
      </c>
      <c r="C59" s="806" t="s">
        <v>149</v>
      </c>
      <c r="D59" s="29" t="s">
        <v>1362</v>
      </c>
      <c r="E59" s="1262" t="e">
        <f>HLOOKUP($D$2,'2020 Data(H)'!$C$1:$CZ$426,156,FALSE)</f>
        <v>#N/A</v>
      </c>
      <c r="F59" s="1263">
        <v>0</v>
      </c>
      <c r="G59" s="727">
        <f>IF(F59&lt;0,"Note: Number is normally positive.",)</f>
        <v>0</v>
      </c>
      <c r="H59" s="728"/>
      <c r="I59" s="760"/>
      <c r="J59" s="1252"/>
      <c r="L59" s="701"/>
      <c r="N59" s="1253"/>
      <c r="Z59" s="1248"/>
      <c r="AA59" s="1248"/>
      <c r="AB59" s="1248"/>
      <c r="AC59" s="1248"/>
      <c r="AD59" s="1248"/>
      <c r="AE59" s="1248"/>
      <c r="AF59" s="1248"/>
      <c r="AG59" s="1248"/>
      <c r="AH59" s="1248"/>
      <c r="AI59" s="1248"/>
      <c r="AJ59" s="1248"/>
      <c r="AK59" s="1248"/>
      <c r="AL59" s="1248"/>
      <c r="AM59" s="1248"/>
      <c r="AN59" s="1248"/>
      <c r="AO59" s="1248"/>
      <c r="AP59" s="1248"/>
      <c r="AQ59" s="1248"/>
      <c r="AR59" s="1248"/>
    </row>
    <row r="60" spans="1:1881" s="1251" customFormat="1" ht="45.75" hidden="1" customHeight="1" thickBot="1" x14ac:dyDescent="0.35">
      <c r="A60" s="1248">
        <v>536</v>
      </c>
      <c r="B60" s="806" t="s">
        <v>55</v>
      </c>
      <c r="C60" s="806" t="s">
        <v>149</v>
      </c>
      <c r="D60" s="29" t="s">
        <v>146</v>
      </c>
      <c r="E60" s="1249" t="e">
        <f>HLOOKUP($D$2,'2020 Data(H)'!$C$1:$CZ$426,186,FALSE)</f>
        <v>#N/A</v>
      </c>
      <c r="F60" s="1263">
        <v>0</v>
      </c>
      <c r="G60" s="727">
        <f>IF(F60&lt;0,"Note: Number is normally positive.",)</f>
        <v>0</v>
      </c>
      <c r="H60" s="728"/>
      <c r="I60" s="1264"/>
      <c r="J60" s="1252"/>
      <c r="L60" s="701"/>
      <c r="N60" s="1253"/>
      <c r="Z60" s="1248"/>
      <c r="AA60" s="1248"/>
      <c r="AB60" s="1248"/>
      <c r="AC60" s="1248"/>
      <c r="AD60" s="1248"/>
      <c r="AE60" s="1248"/>
      <c r="AF60" s="1248"/>
      <c r="AG60" s="1248"/>
      <c r="AH60" s="1248"/>
      <c r="AI60" s="1248"/>
      <c r="AJ60" s="1248"/>
      <c r="AK60" s="1248"/>
      <c r="AL60" s="1248"/>
      <c r="AM60" s="1248"/>
      <c r="AN60" s="1248"/>
      <c r="AO60" s="1248"/>
      <c r="AP60" s="1248"/>
      <c r="AQ60" s="1248"/>
      <c r="AR60" s="1248"/>
    </row>
    <row r="61" spans="1:1881" s="1251" customFormat="1" ht="51.75" hidden="1" customHeight="1" thickBot="1" x14ac:dyDescent="0.35">
      <c r="A61" s="1248">
        <v>586</v>
      </c>
      <c r="B61" s="806" t="s">
        <v>59</v>
      </c>
      <c r="C61" s="806" t="s">
        <v>149</v>
      </c>
      <c r="D61" s="810" t="s">
        <v>555</v>
      </c>
      <c r="E61" s="1249" t="e">
        <f>HLOOKUP($D$2,'2020 Data(H)'!$C$1:$CZ$426,236,FALSE)</f>
        <v>#N/A</v>
      </c>
      <c r="F61" s="1263">
        <v>0</v>
      </c>
      <c r="G61" s="727">
        <f>IF(F61&lt;0,"Note: Number is normally positive.",)</f>
        <v>0</v>
      </c>
      <c r="H61" s="728"/>
      <c r="I61" s="1264"/>
      <c r="L61" s="701"/>
      <c r="N61" s="1253"/>
      <c r="Z61" s="1248"/>
      <c r="AA61" s="1248"/>
      <c r="AB61" s="1248"/>
      <c r="AC61" s="1248"/>
      <c r="AD61" s="1248"/>
      <c r="AE61" s="1248"/>
      <c r="AF61" s="1248"/>
      <c r="AG61" s="1248"/>
      <c r="AH61" s="1248"/>
      <c r="AI61" s="1248"/>
      <c r="AJ61" s="1248"/>
      <c r="AK61" s="1248"/>
      <c r="AL61" s="1248"/>
      <c r="AM61" s="1248"/>
      <c r="AN61" s="1248"/>
      <c r="AO61" s="1248"/>
      <c r="AP61" s="1248"/>
      <c r="AQ61" s="1248"/>
      <c r="AR61" s="1248"/>
    </row>
    <row r="62" spans="1:1881" s="1261" customFormat="1" ht="37.5" hidden="1" customHeight="1" thickBot="1" x14ac:dyDescent="0.35">
      <c r="A62" s="1248">
        <v>379</v>
      </c>
      <c r="B62" s="806" t="s">
        <v>60</v>
      </c>
      <c r="C62" s="806" t="s">
        <v>149</v>
      </c>
      <c r="D62" s="29" t="s">
        <v>130</v>
      </c>
      <c r="E62" s="1249" t="e">
        <f>HLOOKUP($D$2,'2020 Data(H)'!$C$1:$CZ$426,138,FALSE)</f>
        <v>#N/A</v>
      </c>
      <c r="F62" s="1263">
        <v>0</v>
      </c>
      <c r="G62" s="727">
        <f>IF((F59+F60)&gt;F62,"Error: Please review account numbers (506+536)&gt;379",)</f>
        <v>0</v>
      </c>
      <c r="H62" s="17"/>
      <c r="I62" s="760"/>
      <c r="J62" s="1252"/>
      <c r="K62" s="1251"/>
      <c r="L62" s="701"/>
      <c r="M62" s="1251"/>
      <c r="N62" s="1253"/>
      <c r="O62" s="1251"/>
      <c r="P62" s="1251"/>
      <c r="Q62" s="1251"/>
      <c r="R62" s="1251"/>
      <c r="S62" s="1251"/>
      <c r="T62" s="1251"/>
      <c r="U62" s="1251"/>
      <c r="V62" s="1251"/>
      <c r="W62" s="1251"/>
      <c r="X62" s="1251"/>
      <c r="Y62" s="1251"/>
      <c r="Z62" s="1248"/>
      <c r="AA62" s="1248"/>
      <c r="AB62" s="1248"/>
      <c r="AC62" s="1248"/>
      <c r="AD62" s="1248"/>
      <c r="AE62" s="1248"/>
      <c r="AF62" s="1248"/>
      <c r="AG62" s="1248"/>
      <c r="AH62" s="1248"/>
      <c r="AI62" s="1248"/>
      <c r="AJ62" s="1248"/>
      <c r="AK62" s="1248"/>
      <c r="AL62" s="1248"/>
      <c r="AM62" s="1248"/>
      <c r="AN62" s="1248"/>
      <c r="AO62" s="1248"/>
      <c r="AP62" s="1248"/>
      <c r="AQ62" s="1248"/>
      <c r="AR62" s="1248"/>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51"/>
      <c r="DF62" s="1251"/>
      <c r="DG62" s="1251"/>
      <c r="DH62" s="1251"/>
      <c r="DI62" s="1251"/>
      <c r="DJ62" s="1251"/>
      <c r="DK62" s="1251"/>
      <c r="DL62" s="1251"/>
      <c r="DM62" s="1251"/>
      <c r="DN62" s="1251"/>
      <c r="DO62" s="1251"/>
      <c r="DP62" s="1251"/>
      <c r="DQ62" s="1251"/>
      <c r="DR62" s="1251"/>
      <c r="DS62" s="1251"/>
      <c r="DT62" s="1251"/>
      <c r="DU62" s="1251"/>
      <c r="DV62" s="1251"/>
      <c r="DW62" s="1251"/>
      <c r="DX62" s="1251"/>
      <c r="DY62" s="1251"/>
      <c r="DZ62" s="1251"/>
      <c r="EA62" s="1251"/>
      <c r="EB62" s="1251"/>
      <c r="EC62" s="1251"/>
      <c r="ED62" s="1251"/>
      <c r="EE62" s="1251"/>
      <c r="EF62" s="1251"/>
      <c r="EG62" s="1251"/>
      <c r="EH62" s="1251"/>
      <c r="EI62" s="1251"/>
      <c r="EJ62" s="1251"/>
      <c r="EK62" s="1251"/>
      <c r="EL62" s="1251"/>
      <c r="EM62" s="1251"/>
      <c r="EN62" s="1251"/>
      <c r="EO62" s="1251"/>
      <c r="EP62" s="1251"/>
      <c r="EQ62" s="1251"/>
      <c r="ER62" s="1251"/>
      <c r="ES62" s="1251"/>
      <c r="ET62" s="1251"/>
      <c r="EU62" s="1251"/>
      <c r="EV62" s="1251"/>
      <c r="EW62" s="1251"/>
      <c r="EX62" s="1251"/>
      <c r="EY62" s="1251"/>
      <c r="EZ62" s="1251"/>
      <c r="FA62" s="1251"/>
      <c r="FB62" s="1251"/>
      <c r="FC62" s="1251"/>
      <c r="FD62" s="1251"/>
      <c r="FE62" s="1251"/>
      <c r="FF62" s="1251"/>
      <c r="FG62" s="1251"/>
      <c r="FH62" s="1251"/>
      <c r="FI62" s="1251"/>
      <c r="FJ62" s="1251"/>
      <c r="FK62" s="1251"/>
      <c r="FL62" s="1251"/>
      <c r="FM62" s="1251"/>
      <c r="FN62" s="1251"/>
      <c r="FO62" s="1251"/>
      <c r="FP62" s="1251"/>
      <c r="FQ62" s="1251"/>
      <c r="FR62" s="1251"/>
      <c r="FS62" s="1251"/>
      <c r="FT62" s="1251"/>
      <c r="FU62" s="1251"/>
      <c r="FV62" s="1251"/>
      <c r="FW62" s="1251"/>
      <c r="FX62" s="1251"/>
      <c r="FY62" s="1251"/>
      <c r="FZ62" s="1251"/>
      <c r="GA62" s="1251"/>
      <c r="GB62" s="1251"/>
      <c r="GC62" s="1251"/>
      <c r="GD62" s="1251"/>
      <c r="GE62" s="1251"/>
      <c r="GF62" s="1251"/>
      <c r="GG62" s="1251"/>
      <c r="GH62" s="1251"/>
      <c r="GI62" s="1251"/>
      <c r="GJ62" s="1251"/>
      <c r="GK62" s="1251"/>
      <c r="GL62" s="1251"/>
      <c r="GM62" s="1251"/>
      <c r="GN62" s="1251"/>
      <c r="GO62" s="1251"/>
      <c r="GP62" s="1251"/>
      <c r="GQ62" s="1251"/>
      <c r="GR62" s="1251"/>
      <c r="GS62" s="1251"/>
      <c r="GT62" s="1251"/>
      <c r="GU62" s="1251"/>
      <c r="GV62" s="1251"/>
      <c r="GW62" s="1251"/>
      <c r="GX62" s="1251"/>
      <c r="GY62" s="1251"/>
      <c r="GZ62" s="1251"/>
      <c r="HA62" s="1251"/>
      <c r="HB62" s="1251"/>
      <c r="HC62" s="1251"/>
      <c r="HD62" s="1251"/>
      <c r="HE62" s="1251"/>
      <c r="HF62" s="1251"/>
      <c r="HG62" s="1251"/>
      <c r="HH62" s="1251"/>
      <c r="HI62" s="1251"/>
      <c r="HJ62" s="1251"/>
      <c r="HK62" s="1251"/>
      <c r="HL62" s="1251"/>
      <c r="HM62" s="1251"/>
      <c r="HN62" s="1251"/>
      <c r="HO62" s="1251"/>
      <c r="HP62" s="1251"/>
      <c r="HQ62" s="1251"/>
      <c r="HR62" s="1251"/>
      <c r="HS62" s="1251"/>
      <c r="HT62" s="1251"/>
      <c r="HU62" s="1251"/>
      <c r="HV62" s="1251"/>
      <c r="HW62" s="1251"/>
      <c r="HX62" s="1251"/>
      <c r="HY62" s="1251"/>
      <c r="HZ62" s="1251"/>
      <c r="IA62" s="1251"/>
      <c r="IB62" s="1251"/>
      <c r="IC62" s="1251"/>
      <c r="ID62" s="1251"/>
      <c r="IE62" s="1251"/>
      <c r="IF62" s="1251"/>
      <c r="IG62" s="1251"/>
      <c r="IH62" s="1251"/>
      <c r="II62" s="1251"/>
      <c r="IJ62" s="1251"/>
      <c r="IK62" s="1251"/>
      <c r="IL62" s="1251"/>
      <c r="IM62" s="1251"/>
      <c r="IN62" s="1251"/>
      <c r="IO62" s="1251"/>
      <c r="IP62" s="1251"/>
      <c r="IQ62" s="1251"/>
      <c r="IR62" s="1251"/>
      <c r="IS62" s="1251"/>
      <c r="IT62" s="1251"/>
      <c r="IU62" s="1251"/>
      <c r="IV62" s="1251"/>
      <c r="IW62" s="1251"/>
      <c r="IX62" s="1251"/>
      <c r="IY62" s="1251"/>
      <c r="IZ62" s="1251"/>
      <c r="JA62" s="1251"/>
      <c r="JB62" s="1251"/>
      <c r="JC62" s="1251"/>
      <c r="JD62" s="1251"/>
      <c r="JE62" s="1251"/>
      <c r="JF62" s="1251"/>
      <c r="JG62" s="1251"/>
      <c r="JH62" s="1251"/>
      <c r="JI62" s="1251"/>
      <c r="JJ62" s="1251"/>
      <c r="JK62" s="1251"/>
      <c r="JL62" s="1251"/>
      <c r="JM62" s="1251"/>
      <c r="JN62" s="1251"/>
      <c r="JO62" s="1251"/>
      <c r="JP62" s="1251"/>
      <c r="JQ62" s="1251"/>
      <c r="JR62" s="1251"/>
      <c r="JS62" s="1251"/>
      <c r="JT62" s="1251"/>
      <c r="JU62" s="1251"/>
      <c r="JV62" s="1251"/>
      <c r="JW62" s="1251"/>
      <c r="JX62" s="1251"/>
      <c r="JY62" s="1251"/>
      <c r="JZ62" s="1251"/>
      <c r="KA62" s="1251"/>
      <c r="KB62" s="1251"/>
      <c r="KC62" s="1251"/>
      <c r="KD62" s="1251"/>
      <c r="KE62" s="1251"/>
      <c r="KF62" s="1251"/>
      <c r="KG62" s="1251"/>
      <c r="KH62" s="1251"/>
      <c r="KI62" s="1251"/>
      <c r="KJ62" s="1251"/>
      <c r="KK62" s="1251"/>
      <c r="KL62" s="1251"/>
      <c r="KM62" s="1251"/>
      <c r="KN62" s="1251"/>
      <c r="KO62" s="1251"/>
      <c r="KP62" s="1251"/>
      <c r="KQ62" s="1251"/>
      <c r="KR62" s="1251"/>
      <c r="KS62" s="1251"/>
      <c r="KT62" s="1251"/>
      <c r="KU62" s="1251"/>
      <c r="KV62" s="1251"/>
      <c r="KW62" s="1251"/>
      <c r="KX62" s="1251"/>
      <c r="KY62" s="1251"/>
      <c r="KZ62" s="1251"/>
      <c r="LA62" s="1251"/>
      <c r="LB62" s="1251"/>
      <c r="LC62" s="1251"/>
      <c r="LD62" s="1251"/>
      <c r="LE62" s="1251"/>
      <c r="LF62" s="1251"/>
      <c r="LG62" s="1251"/>
      <c r="LH62" s="1251"/>
      <c r="LI62" s="1251"/>
      <c r="LJ62" s="1251"/>
      <c r="LK62" s="1251"/>
      <c r="LL62" s="1251"/>
      <c r="LM62" s="1251"/>
      <c r="LN62" s="1251"/>
      <c r="LO62" s="1251"/>
      <c r="LP62" s="1251"/>
      <c r="LQ62" s="1251"/>
      <c r="LR62" s="1251"/>
      <c r="LS62" s="1251"/>
      <c r="LT62" s="1251"/>
      <c r="LU62" s="1251"/>
      <c r="LV62" s="1251"/>
      <c r="LW62" s="1251"/>
      <c r="LX62" s="1251"/>
      <c r="LY62" s="1251"/>
      <c r="LZ62" s="1251"/>
      <c r="MA62" s="1251"/>
      <c r="MB62" s="1251"/>
      <c r="MC62" s="1251"/>
      <c r="MD62" s="1251"/>
      <c r="ME62" s="1251"/>
      <c r="MF62" s="1251"/>
      <c r="MG62" s="1251"/>
      <c r="MH62" s="1251"/>
      <c r="MI62" s="1251"/>
      <c r="MJ62" s="1251"/>
      <c r="MK62" s="1251"/>
      <c r="ML62" s="1251"/>
      <c r="MM62" s="1251"/>
      <c r="MN62" s="1251"/>
      <c r="MO62" s="1251"/>
      <c r="MP62" s="1251"/>
      <c r="MQ62" s="1251"/>
      <c r="MR62" s="1251"/>
      <c r="MS62" s="1251"/>
      <c r="MT62" s="1251"/>
      <c r="MU62" s="1251"/>
      <c r="MV62" s="1251"/>
      <c r="MW62" s="1251"/>
      <c r="MX62" s="1251"/>
      <c r="MY62" s="1251"/>
      <c r="MZ62" s="1251"/>
      <c r="NA62" s="1251"/>
      <c r="NB62" s="1251"/>
      <c r="NC62" s="1251"/>
      <c r="ND62" s="1251"/>
      <c r="NE62" s="1251"/>
      <c r="NF62" s="1251"/>
      <c r="NG62" s="1251"/>
      <c r="NH62" s="1251"/>
      <c r="NI62" s="1251"/>
      <c r="NJ62" s="1251"/>
      <c r="NK62" s="1251"/>
      <c r="NL62" s="1251"/>
      <c r="NM62" s="1251"/>
      <c r="NN62" s="1251"/>
      <c r="NO62" s="1251"/>
      <c r="NP62" s="1251"/>
      <c r="NQ62" s="1251"/>
      <c r="NR62" s="1251"/>
      <c r="NS62" s="1251"/>
      <c r="NT62" s="1251"/>
      <c r="NU62" s="1251"/>
      <c r="NV62" s="1251"/>
      <c r="NW62" s="1251"/>
      <c r="NX62" s="1251"/>
      <c r="NY62" s="1251"/>
      <c r="NZ62" s="1251"/>
      <c r="OA62" s="1251"/>
      <c r="OB62" s="1251"/>
      <c r="OC62" s="1251"/>
      <c r="OD62" s="1251"/>
      <c r="OE62" s="1251"/>
      <c r="OF62" s="1251"/>
      <c r="OG62" s="1251"/>
      <c r="OH62" s="1251"/>
      <c r="OI62" s="1251"/>
      <c r="OJ62" s="1251"/>
      <c r="OK62" s="1251"/>
      <c r="OL62" s="1251"/>
      <c r="OM62" s="1251"/>
      <c r="ON62" s="1251"/>
      <c r="OO62" s="1251"/>
      <c r="OP62" s="1251"/>
      <c r="OQ62" s="1251"/>
      <c r="OR62" s="1251"/>
      <c r="OS62" s="1251"/>
      <c r="OT62" s="1251"/>
      <c r="OU62" s="1251"/>
      <c r="OV62" s="1251"/>
      <c r="OW62" s="1251"/>
      <c r="OX62" s="1251"/>
      <c r="OY62" s="1251"/>
      <c r="OZ62" s="1251"/>
      <c r="PA62" s="1251"/>
      <c r="PB62" s="1251"/>
      <c r="PC62" s="1251"/>
      <c r="PD62" s="1251"/>
      <c r="PE62" s="1251"/>
      <c r="PF62" s="1251"/>
      <c r="PG62" s="1251"/>
      <c r="PH62" s="1251"/>
      <c r="PI62" s="1251"/>
      <c r="PJ62" s="1251"/>
      <c r="PK62" s="1251"/>
      <c r="PL62" s="1251"/>
      <c r="PM62" s="1251"/>
      <c r="PN62" s="1251"/>
      <c r="PO62" s="1251"/>
      <c r="PP62" s="1251"/>
      <c r="PQ62" s="1251"/>
      <c r="PR62" s="1251"/>
      <c r="PS62" s="1251"/>
      <c r="PT62" s="1251"/>
      <c r="PU62" s="1251"/>
      <c r="PV62" s="1251"/>
      <c r="PW62" s="1251"/>
      <c r="PX62" s="1251"/>
      <c r="PY62" s="1251"/>
      <c r="PZ62" s="1251"/>
      <c r="QA62" s="1251"/>
      <c r="QB62" s="1251"/>
      <c r="QC62" s="1251"/>
      <c r="QD62" s="1251"/>
      <c r="QE62" s="1251"/>
      <c r="QF62" s="1251"/>
      <c r="QG62" s="1251"/>
      <c r="QH62" s="1251"/>
      <c r="QI62" s="1251"/>
      <c r="QJ62" s="1251"/>
      <c r="QK62" s="1251"/>
      <c r="QL62" s="1251"/>
      <c r="QM62" s="1251"/>
      <c r="QN62" s="1251"/>
      <c r="QO62" s="1251"/>
      <c r="QP62" s="1251"/>
      <c r="QQ62" s="1251"/>
      <c r="QR62" s="1251"/>
      <c r="QS62" s="1251"/>
      <c r="QT62" s="1251"/>
      <c r="QU62" s="1251"/>
      <c r="QV62" s="1251"/>
      <c r="QW62" s="1251"/>
      <c r="QX62" s="1251"/>
      <c r="QY62" s="1251"/>
      <c r="QZ62" s="1251"/>
      <c r="RA62" s="1251"/>
      <c r="RB62" s="1251"/>
      <c r="RC62" s="1251"/>
      <c r="RD62" s="1251"/>
      <c r="RE62" s="1251"/>
      <c r="RF62" s="1251"/>
      <c r="RG62" s="1251"/>
      <c r="RH62" s="1251"/>
      <c r="RI62" s="1251"/>
      <c r="RJ62" s="1251"/>
      <c r="RK62" s="1251"/>
      <c r="RL62" s="1251"/>
      <c r="RM62" s="1251"/>
      <c r="RN62" s="1251"/>
      <c r="RO62" s="1251"/>
      <c r="RP62" s="1251"/>
      <c r="RQ62" s="1251"/>
      <c r="RR62" s="1251"/>
      <c r="RS62" s="1251"/>
      <c r="RT62" s="1251"/>
      <c r="RU62" s="1251"/>
      <c r="RV62" s="1251"/>
      <c r="RW62" s="1251"/>
      <c r="RX62" s="1251"/>
      <c r="RY62" s="1251"/>
      <c r="RZ62" s="1251"/>
      <c r="SA62" s="1251"/>
      <c r="SB62" s="1251"/>
      <c r="SC62" s="1251"/>
      <c r="SD62" s="1251"/>
      <c r="SE62" s="1251"/>
      <c r="SF62" s="1251"/>
      <c r="SG62" s="1251"/>
      <c r="SH62" s="1251"/>
      <c r="SI62" s="1251"/>
      <c r="SJ62" s="1251"/>
      <c r="SK62" s="1251"/>
      <c r="SL62" s="1251"/>
      <c r="SM62" s="1251"/>
      <c r="SN62" s="1251"/>
      <c r="SO62" s="1251"/>
      <c r="SP62" s="1251"/>
      <c r="SQ62" s="1251"/>
      <c r="SR62" s="1251"/>
      <c r="SS62" s="1251"/>
      <c r="ST62" s="1251"/>
      <c r="SU62" s="1251"/>
      <c r="SV62" s="1251"/>
      <c r="SW62" s="1251"/>
      <c r="SX62" s="1251"/>
      <c r="SY62" s="1251"/>
      <c r="SZ62" s="1251"/>
      <c r="TA62" s="1251"/>
      <c r="TB62" s="1251"/>
      <c r="TC62" s="1251"/>
      <c r="TD62" s="1251"/>
      <c r="TE62" s="1251"/>
      <c r="TF62" s="1251"/>
      <c r="TG62" s="1251"/>
      <c r="TH62" s="1251"/>
      <c r="TI62" s="1251"/>
      <c r="TJ62" s="1251"/>
      <c r="TK62" s="1251"/>
      <c r="TL62" s="1251"/>
      <c r="TM62" s="1251"/>
      <c r="TN62" s="1251"/>
      <c r="TO62" s="1251"/>
      <c r="TP62" s="1251"/>
      <c r="TQ62" s="1251"/>
      <c r="TR62" s="1251"/>
      <c r="TS62" s="1251"/>
      <c r="TT62" s="1251"/>
      <c r="TU62" s="1251"/>
      <c r="TV62" s="1251"/>
      <c r="TW62" s="1251"/>
      <c r="TX62" s="1251"/>
      <c r="TY62" s="1251"/>
      <c r="TZ62" s="1251"/>
      <c r="UA62" s="1251"/>
      <c r="UB62" s="1251"/>
      <c r="UC62" s="1251"/>
      <c r="UD62" s="1251"/>
      <c r="UE62" s="1251"/>
      <c r="UF62" s="1251"/>
      <c r="UG62" s="1251"/>
      <c r="UH62" s="1251"/>
      <c r="UI62" s="1251"/>
      <c r="UJ62" s="1251"/>
      <c r="UK62" s="1251"/>
      <c r="UL62" s="1251"/>
      <c r="UM62" s="1251"/>
      <c r="UN62" s="1251"/>
      <c r="UO62" s="1251"/>
      <c r="UP62" s="1251"/>
      <c r="UQ62" s="1251"/>
      <c r="UR62" s="1251"/>
      <c r="US62" s="1251"/>
      <c r="UT62" s="1251"/>
      <c r="UU62" s="1251"/>
      <c r="UV62" s="1251"/>
      <c r="UW62" s="1251"/>
      <c r="UX62" s="1251"/>
      <c r="UY62" s="1251"/>
      <c r="UZ62" s="1251"/>
      <c r="VA62" s="1251"/>
      <c r="VB62" s="1251"/>
      <c r="VC62" s="1251"/>
      <c r="VD62" s="1251"/>
      <c r="VE62" s="1251"/>
      <c r="VF62" s="1251"/>
      <c r="VG62" s="1251"/>
      <c r="VH62" s="1251"/>
      <c r="VI62" s="1251"/>
      <c r="VJ62" s="1251"/>
      <c r="VK62" s="1251"/>
      <c r="VL62" s="1251"/>
      <c r="VM62" s="1251"/>
      <c r="VN62" s="1251"/>
      <c r="VO62" s="1251"/>
      <c r="VP62" s="1251"/>
      <c r="VQ62" s="1251"/>
      <c r="VR62" s="1251"/>
      <c r="VS62" s="1251"/>
      <c r="VT62" s="1251"/>
      <c r="VU62" s="1251"/>
      <c r="VV62" s="1251"/>
      <c r="VW62" s="1251"/>
      <c r="VX62" s="1251"/>
      <c r="VY62" s="1251"/>
      <c r="VZ62" s="1251"/>
      <c r="WA62" s="1251"/>
      <c r="WB62" s="1251"/>
      <c r="WC62" s="1251"/>
      <c r="WD62" s="1251"/>
      <c r="WE62" s="1251"/>
      <c r="WF62" s="1251"/>
      <c r="WG62" s="1251"/>
      <c r="WH62" s="1251"/>
      <c r="WI62" s="1251"/>
      <c r="WJ62" s="1251"/>
      <c r="WK62" s="1251"/>
      <c r="WL62" s="1251"/>
      <c r="WM62" s="1251"/>
      <c r="WN62" s="1251"/>
      <c r="WO62" s="1251"/>
      <c r="WP62" s="1251"/>
      <c r="WQ62" s="1251"/>
      <c r="WR62" s="1251"/>
      <c r="WS62" s="1251"/>
      <c r="WT62" s="1251"/>
      <c r="WU62" s="1251"/>
      <c r="WV62" s="1251"/>
      <c r="WW62" s="1251"/>
      <c r="WX62" s="1251"/>
      <c r="WY62" s="1251"/>
      <c r="WZ62" s="1251"/>
      <c r="XA62" s="1251"/>
      <c r="XB62" s="1251"/>
      <c r="XC62" s="1251"/>
      <c r="XD62" s="1251"/>
      <c r="XE62" s="1251"/>
      <c r="XF62" s="1251"/>
      <c r="XG62" s="1251"/>
      <c r="XH62" s="1251"/>
      <c r="XI62" s="1251"/>
      <c r="XJ62" s="1251"/>
      <c r="XK62" s="1251"/>
      <c r="XL62" s="1251"/>
      <c r="XM62" s="1251"/>
      <c r="XN62" s="1251"/>
      <c r="XO62" s="1251"/>
      <c r="XP62" s="1251"/>
      <c r="XQ62" s="1251"/>
      <c r="XR62" s="1251"/>
      <c r="XS62" s="1251"/>
      <c r="XT62" s="1251"/>
      <c r="XU62" s="1251"/>
      <c r="XV62" s="1251"/>
      <c r="XW62" s="1251"/>
      <c r="XX62" s="1251"/>
      <c r="XY62" s="1251"/>
      <c r="XZ62" s="1251"/>
      <c r="YA62" s="1251"/>
      <c r="YB62" s="1251"/>
      <c r="YC62" s="1251"/>
      <c r="YD62" s="1251"/>
      <c r="YE62" s="1251"/>
      <c r="YF62" s="1251"/>
      <c r="YG62" s="1251"/>
      <c r="YH62" s="1251"/>
      <c r="YI62" s="1251"/>
      <c r="YJ62" s="1251"/>
      <c r="YK62" s="1251"/>
      <c r="YL62" s="1251"/>
      <c r="YM62" s="1251"/>
      <c r="YN62" s="1251"/>
      <c r="YO62" s="1251"/>
      <c r="YP62" s="1251"/>
      <c r="YQ62" s="1251"/>
      <c r="YR62" s="1251"/>
      <c r="YS62" s="1251"/>
      <c r="YT62" s="1251"/>
      <c r="YU62" s="1251"/>
      <c r="YV62" s="1251"/>
      <c r="YW62" s="1251"/>
      <c r="YX62" s="1251"/>
      <c r="YY62" s="1251"/>
      <c r="YZ62" s="1251"/>
      <c r="ZA62" s="1251"/>
      <c r="ZB62" s="1251"/>
      <c r="ZC62" s="1251"/>
      <c r="ZD62" s="1251"/>
      <c r="ZE62" s="1251"/>
      <c r="ZF62" s="1251"/>
      <c r="ZG62" s="1251"/>
      <c r="ZH62" s="1251"/>
      <c r="ZI62" s="1251"/>
      <c r="ZJ62" s="1251"/>
      <c r="ZK62" s="1251"/>
      <c r="ZL62" s="1251"/>
      <c r="ZM62" s="1251"/>
      <c r="ZN62" s="1251"/>
      <c r="ZO62" s="1251"/>
      <c r="ZP62" s="1251"/>
      <c r="ZQ62" s="1251"/>
      <c r="ZR62" s="1251"/>
      <c r="ZS62" s="1251"/>
      <c r="ZT62" s="1251"/>
      <c r="ZU62" s="1251"/>
      <c r="ZV62" s="1251"/>
      <c r="ZW62" s="1251"/>
      <c r="ZX62" s="1251"/>
      <c r="ZY62" s="1251"/>
      <c r="ZZ62" s="1251"/>
      <c r="AAA62" s="1251"/>
      <c r="AAB62" s="1251"/>
      <c r="AAC62" s="1251"/>
      <c r="AAD62" s="1251"/>
      <c r="AAE62" s="1251"/>
      <c r="AAF62" s="1251"/>
      <c r="AAG62" s="1251"/>
      <c r="AAH62" s="1251"/>
      <c r="AAI62" s="1251"/>
      <c r="AAJ62" s="1251"/>
      <c r="AAK62" s="1251"/>
      <c r="AAL62" s="1251"/>
      <c r="AAM62" s="1251"/>
      <c r="AAN62" s="1251"/>
      <c r="AAO62" s="1251"/>
      <c r="AAP62" s="1251"/>
      <c r="AAQ62" s="1251"/>
      <c r="AAR62" s="1251"/>
      <c r="AAS62" s="1251"/>
      <c r="AAT62" s="1251"/>
      <c r="AAU62" s="1251"/>
      <c r="AAV62" s="1251"/>
      <c r="AAW62" s="1251"/>
      <c r="AAX62" s="1251"/>
      <c r="AAY62" s="1251"/>
      <c r="AAZ62" s="1251"/>
      <c r="ABA62" s="1251"/>
      <c r="ABB62" s="1251"/>
      <c r="ABC62" s="1251"/>
      <c r="ABD62" s="1251"/>
      <c r="ABE62" s="1251"/>
      <c r="ABF62" s="1251"/>
      <c r="ABG62" s="1251"/>
      <c r="ABH62" s="1251"/>
      <c r="ABI62" s="1251"/>
      <c r="ABJ62" s="1251"/>
      <c r="ABK62" s="1251"/>
      <c r="ABL62" s="1251"/>
      <c r="ABM62" s="1251"/>
      <c r="ABN62" s="1251"/>
      <c r="ABO62" s="1251"/>
      <c r="ABP62" s="1251"/>
      <c r="ABQ62" s="1251"/>
      <c r="ABR62" s="1251"/>
      <c r="ABS62" s="1251"/>
      <c r="ABT62" s="1251"/>
      <c r="ABU62" s="1251"/>
      <c r="ABV62" s="1251"/>
      <c r="ABW62" s="1251"/>
      <c r="ABX62" s="1251"/>
      <c r="ABY62" s="1251"/>
      <c r="ABZ62" s="1251"/>
      <c r="ACA62" s="1251"/>
      <c r="ACB62" s="1251"/>
      <c r="ACC62" s="1251"/>
      <c r="ACD62" s="1251"/>
      <c r="ACE62" s="1251"/>
      <c r="ACF62" s="1251"/>
      <c r="ACG62" s="1251"/>
      <c r="ACH62" s="1251"/>
      <c r="ACI62" s="1251"/>
      <c r="ACJ62" s="1251"/>
      <c r="ACK62" s="1251"/>
      <c r="ACL62" s="1251"/>
      <c r="ACM62" s="1251"/>
      <c r="ACN62" s="1251"/>
      <c r="ACO62" s="1251"/>
      <c r="ACP62" s="1251"/>
      <c r="ACQ62" s="1251"/>
      <c r="ACR62" s="1251"/>
      <c r="ACS62" s="1251"/>
      <c r="ACT62" s="1251"/>
      <c r="ACU62" s="1251"/>
      <c r="ACV62" s="1251"/>
      <c r="ACW62" s="1251"/>
      <c r="ACX62" s="1251"/>
      <c r="ACY62" s="1251"/>
      <c r="ACZ62" s="1251"/>
      <c r="ADA62" s="1251"/>
      <c r="ADB62" s="1251"/>
      <c r="ADC62" s="1251"/>
      <c r="ADD62" s="1251"/>
      <c r="ADE62" s="1251"/>
      <c r="ADF62" s="1251"/>
      <c r="ADG62" s="1251"/>
      <c r="ADH62" s="1251"/>
      <c r="ADI62" s="1251"/>
      <c r="ADJ62" s="1251"/>
      <c r="ADK62" s="1251"/>
      <c r="ADL62" s="1251"/>
      <c r="ADM62" s="1251"/>
      <c r="ADN62" s="1251"/>
      <c r="ADO62" s="1251"/>
      <c r="ADP62" s="1251"/>
      <c r="ADQ62" s="1251"/>
      <c r="ADR62" s="1251"/>
      <c r="ADS62" s="1251"/>
      <c r="ADT62" s="1251"/>
      <c r="ADU62" s="1251"/>
      <c r="ADV62" s="1251"/>
      <c r="ADW62" s="1251"/>
      <c r="ADX62" s="1251"/>
      <c r="ADY62" s="1251"/>
      <c r="ADZ62" s="1251"/>
      <c r="AEA62" s="1251"/>
      <c r="AEB62" s="1251"/>
      <c r="AEC62" s="1251"/>
      <c r="AED62" s="1251"/>
      <c r="AEE62" s="1251"/>
      <c r="AEF62" s="1251"/>
      <c r="AEG62" s="1251"/>
      <c r="AEH62" s="1251"/>
      <c r="AEI62" s="1251"/>
      <c r="AEJ62" s="1251"/>
      <c r="AEK62" s="1251"/>
      <c r="AEL62" s="1251"/>
      <c r="AEM62" s="1251"/>
      <c r="AEN62" s="1251"/>
      <c r="AEO62" s="1251"/>
      <c r="AEP62" s="1251"/>
      <c r="AEQ62" s="1251"/>
      <c r="AER62" s="1251"/>
      <c r="AES62" s="1251"/>
      <c r="AET62" s="1251"/>
      <c r="AEU62" s="1251"/>
      <c r="AEV62" s="1251"/>
      <c r="AEW62" s="1251"/>
      <c r="AEX62" s="1251"/>
      <c r="AEY62" s="1251"/>
      <c r="AEZ62" s="1251"/>
      <c r="AFA62" s="1251"/>
      <c r="AFB62" s="1251"/>
      <c r="AFC62" s="1251"/>
      <c r="AFD62" s="1251"/>
      <c r="AFE62" s="1251"/>
      <c r="AFF62" s="1251"/>
      <c r="AFG62" s="1251"/>
      <c r="AFH62" s="1251"/>
      <c r="AFI62" s="1251"/>
      <c r="AFJ62" s="1251"/>
      <c r="AFK62" s="1251"/>
      <c r="AFL62" s="1251"/>
      <c r="AFM62" s="1251"/>
      <c r="AFN62" s="1251"/>
      <c r="AFO62" s="1251"/>
      <c r="AFP62" s="1251"/>
      <c r="AFQ62" s="1251"/>
      <c r="AFR62" s="1251"/>
      <c r="AFS62" s="1251"/>
      <c r="AFT62" s="1251"/>
      <c r="AFU62" s="1251"/>
      <c r="AFV62" s="1251"/>
      <c r="AFW62" s="1251"/>
      <c r="AFX62" s="1251"/>
      <c r="AFY62" s="1251"/>
      <c r="AFZ62" s="1251"/>
      <c r="AGA62" s="1251"/>
      <c r="AGB62" s="1251"/>
      <c r="AGC62" s="1251"/>
      <c r="AGD62" s="1251"/>
      <c r="AGE62" s="1251"/>
      <c r="AGF62" s="1251"/>
      <c r="AGG62" s="1251"/>
      <c r="AGH62" s="1251"/>
      <c r="AGI62" s="1251"/>
      <c r="AGJ62" s="1251"/>
      <c r="AGK62" s="1251"/>
      <c r="AGL62" s="1251"/>
      <c r="AGM62" s="1251"/>
      <c r="AGN62" s="1251"/>
      <c r="AGO62" s="1251"/>
      <c r="AGP62" s="1251"/>
      <c r="AGQ62" s="1251"/>
      <c r="AGR62" s="1251"/>
      <c r="AGS62" s="1251"/>
      <c r="AGT62" s="1251"/>
      <c r="AGU62" s="1251"/>
      <c r="AGV62" s="1251"/>
      <c r="AGW62" s="1251"/>
      <c r="AGX62" s="1251"/>
      <c r="AGY62" s="1251"/>
      <c r="AGZ62" s="1251"/>
      <c r="AHA62" s="1251"/>
      <c r="AHB62" s="1251"/>
      <c r="AHC62" s="1251"/>
      <c r="AHD62" s="1251"/>
      <c r="AHE62" s="1251"/>
      <c r="AHF62" s="1251"/>
      <c r="AHG62" s="1251"/>
      <c r="AHH62" s="1251"/>
      <c r="AHI62" s="1251"/>
      <c r="AHJ62" s="1251"/>
      <c r="AHK62" s="1251"/>
      <c r="AHL62" s="1251"/>
      <c r="AHM62" s="1251"/>
      <c r="AHN62" s="1251"/>
      <c r="AHO62" s="1251"/>
      <c r="AHP62" s="1251"/>
      <c r="AHQ62" s="1251"/>
      <c r="AHR62" s="1251"/>
      <c r="AHS62" s="1251"/>
      <c r="AHT62" s="1251"/>
      <c r="AHU62" s="1251"/>
      <c r="AHV62" s="1251"/>
      <c r="AHW62" s="1251"/>
      <c r="AHX62" s="1251"/>
      <c r="AHY62" s="1251"/>
      <c r="AHZ62" s="1251"/>
      <c r="AIA62" s="1251"/>
      <c r="AIB62" s="1251"/>
      <c r="AIC62" s="1251"/>
      <c r="AID62" s="1251"/>
      <c r="AIE62" s="1251"/>
      <c r="AIF62" s="1251"/>
      <c r="AIG62" s="1251"/>
      <c r="AIH62" s="1251"/>
      <c r="AII62" s="1251"/>
      <c r="AIJ62" s="1251"/>
      <c r="AIK62" s="1251"/>
      <c r="AIL62" s="1251"/>
      <c r="AIM62" s="1251"/>
      <c r="AIN62" s="1251"/>
      <c r="AIO62" s="1251"/>
      <c r="AIP62" s="1251"/>
      <c r="AIQ62" s="1251"/>
      <c r="AIR62" s="1251"/>
      <c r="AIS62" s="1251"/>
      <c r="AIT62" s="1251"/>
      <c r="AIU62" s="1251"/>
      <c r="AIV62" s="1251"/>
      <c r="AIW62" s="1251"/>
      <c r="AIX62" s="1251"/>
      <c r="AIY62" s="1251"/>
      <c r="AIZ62" s="1251"/>
      <c r="AJA62" s="1251"/>
      <c r="AJB62" s="1251"/>
      <c r="AJC62" s="1251"/>
      <c r="AJD62" s="1251"/>
      <c r="AJE62" s="1251"/>
      <c r="AJF62" s="1251"/>
      <c r="AJG62" s="1251"/>
      <c r="AJH62" s="1251"/>
      <c r="AJI62" s="1251"/>
      <c r="AJJ62" s="1251"/>
      <c r="AJK62" s="1251"/>
      <c r="AJL62" s="1251"/>
      <c r="AJM62" s="1251"/>
      <c r="AJN62" s="1251"/>
      <c r="AJO62" s="1251"/>
      <c r="AJP62" s="1251"/>
      <c r="AJQ62" s="1251"/>
      <c r="AJR62" s="1251"/>
      <c r="AJS62" s="1251"/>
      <c r="AJT62" s="1251"/>
      <c r="AJU62" s="1251"/>
      <c r="AJV62" s="1251"/>
      <c r="AJW62" s="1251"/>
      <c r="AJX62" s="1251"/>
      <c r="AJY62" s="1251"/>
      <c r="AJZ62" s="1251"/>
      <c r="AKA62" s="1251"/>
      <c r="AKB62" s="1251"/>
      <c r="AKC62" s="1251"/>
      <c r="AKD62" s="1251"/>
      <c r="AKE62" s="1251"/>
      <c r="AKF62" s="1251"/>
      <c r="AKG62" s="1251"/>
      <c r="AKH62" s="1251"/>
      <c r="AKI62" s="1251"/>
      <c r="AKJ62" s="1251"/>
      <c r="AKK62" s="1251"/>
      <c r="AKL62" s="1251"/>
      <c r="AKM62" s="1251"/>
      <c r="AKN62" s="1251"/>
      <c r="AKO62" s="1251"/>
      <c r="AKP62" s="1251"/>
      <c r="AKQ62" s="1251"/>
      <c r="AKR62" s="1251"/>
      <c r="AKS62" s="1251"/>
      <c r="AKT62" s="1251"/>
      <c r="AKU62" s="1251"/>
      <c r="AKV62" s="1251"/>
      <c r="AKW62" s="1251"/>
      <c r="AKX62" s="1251"/>
      <c r="AKY62" s="1251"/>
      <c r="AKZ62" s="1251"/>
      <c r="ALA62" s="1251"/>
      <c r="ALB62" s="1251"/>
      <c r="ALC62" s="1251"/>
      <c r="ALD62" s="1251"/>
      <c r="ALE62" s="1251"/>
      <c r="ALF62" s="1251"/>
      <c r="ALG62" s="1251"/>
      <c r="ALH62" s="1251"/>
      <c r="ALI62" s="1251"/>
      <c r="ALJ62" s="1251"/>
      <c r="ALK62" s="1251"/>
      <c r="ALL62" s="1251"/>
      <c r="ALM62" s="1251"/>
      <c r="ALN62" s="1251"/>
      <c r="ALO62" s="1251"/>
      <c r="ALP62" s="1251"/>
      <c r="ALQ62" s="1251"/>
      <c r="ALR62" s="1251"/>
      <c r="ALS62" s="1251"/>
      <c r="ALT62" s="1251"/>
      <c r="ALU62" s="1251"/>
      <c r="ALV62" s="1251"/>
      <c r="ALW62" s="1251"/>
      <c r="ALX62" s="1251"/>
      <c r="ALY62" s="1251"/>
      <c r="ALZ62" s="1251"/>
      <c r="AMA62" s="1251"/>
      <c r="AMB62" s="1251"/>
      <c r="AMC62" s="1251"/>
      <c r="AMD62" s="1251"/>
      <c r="AME62" s="1251"/>
      <c r="AMF62" s="1251"/>
      <c r="AMG62" s="1251"/>
      <c r="AMH62" s="1251"/>
      <c r="AMI62" s="1251"/>
      <c r="AMJ62" s="1251"/>
      <c r="AMK62" s="1251"/>
      <c r="AML62" s="1251"/>
      <c r="AMM62" s="1251"/>
      <c r="AMN62" s="1251"/>
      <c r="AMO62" s="1251"/>
      <c r="AMP62" s="1251"/>
      <c r="AMQ62" s="1251"/>
      <c r="AMR62" s="1251"/>
      <c r="AMS62" s="1251"/>
      <c r="AMT62" s="1251"/>
      <c r="AMU62" s="1251"/>
      <c r="AMV62" s="1251"/>
      <c r="AMW62" s="1251"/>
      <c r="AMX62" s="1251"/>
      <c r="AMY62" s="1251"/>
      <c r="AMZ62" s="1251"/>
      <c r="ANA62" s="1251"/>
      <c r="ANB62" s="1251"/>
      <c r="ANC62" s="1251"/>
      <c r="AND62" s="1251"/>
      <c r="ANE62" s="1251"/>
      <c r="ANF62" s="1251"/>
      <c r="ANG62" s="1251"/>
      <c r="ANH62" s="1251"/>
      <c r="ANI62" s="1251"/>
      <c r="ANJ62" s="1251"/>
      <c r="ANK62" s="1251"/>
      <c r="ANL62" s="1251"/>
      <c r="ANM62" s="1251"/>
      <c r="ANN62" s="1251"/>
      <c r="ANO62" s="1251"/>
      <c r="ANP62" s="1251"/>
      <c r="ANQ62" s="1251"/>
      <c r="ANR62" s="1251"/>
      <c r="ANS62" s="1251"/>
      <c r="ANT62" s="1251"/>
      <c r="ANU62" s="1251"/>
      <c r="ANV62" s="1251"/>
      <c r="ANW62" s="1251"/>
      <c r="ANX62" s="1251"/>
      <c r="ANY62" s="1251"/>
      <c r="ANZ62" s="1251"/>
      <c r="AOA62" s="1251"/>
      <c r="AOB62" s="1251"/>
      <c r="AOC62" s="1251"/>
      <c r="AOD62" s="1251"/>
      <c r="AOE62" s="1251"/>
      <c r="AOF62" s="1251"/>
      <c r="AOG62" s="1251"/>
      <c r="AOH62" s="1251"/>
      <c r="AOI62" s="1251"/>
      <c r="AOJ62" s="1251"/>
      <c r="AOK62" s="1251"/>
      <c r="AOL62" s="1251"/>
      <c r="AOM62" s="1251"/>
      <c r="AON62" s="1251"/>
      <c r="AOO62" s="1251"/>
      <c r="AOP62" s="1251"/>
      <c r="AOQ62" s="1251"/>
      <c r="AOR62" s="1251"/>
      <c r="AOS62" s="1251"/>
      <c r="AOT62" s="1251"/>
      <c r="AOU62" s="1251"/>
      <c r="AOV62" s="1251"/>
      <c r="AOW62" s="1251"/>
      <c r="AOX62" s="1251"/>
      <c r="AOY62" s="1251"/>
      <c r="AOZ62" s="1251"/>
      <c r="APA62" s="1251"/>
      <c r="APB62" s="1251"/>
      <c r="APC62" s="1251"/>
      <c r="APD62" s="1251"/>
      <c r="APE62" s="1251"/>
      <c r="APF62" s="1251"/>
      <c r="APG62" s="1251"/>
      <c r="APH62" s="1251"/>
      <c r="API62" s="1251"/>
      <c r="APJ62" s="1251"/>
      <c r="APK62" s="1251"/>
      <c r="APL62" s="1251"/>
      <c r="APM62" s="1251"/>
      <c r="APN62" s="1251"/>
      <c r="APO62" s="1251"/>
      <c r="APP62" s="1251"/>
      <c r="APQ62" s="1251"/>
      <c r="APR62" s="1251"/>
      <c r="APS62" s="1251"/>
      <c r="APT62" s="1251"/>
      <c r="APU62" s="1251"/>
      <c r="APV62" s="1251"/>
      <c r="APW62" s="1251"/>
      <c r="APX62" s="1251"/>
      <c r="APY62" s="1251"/>
      <c r="APZ62" s="1251"/>
      <c r="AQA62" s="1251"/>
      <c r="AQB62" s="1251"/>
      <c r="AQC62" s="1251"/>
      <c r="AQD62" s="1251"/>
      <c r="AQE62" s="1251"/>
      <c r="AQF62" s="1251"/>
      <c r="AQG62" s="1251"/>
      <c r="AQH62" s="1251"/>
      <c r="AQI62" s="1251"/>
      <c r="AQJ62" s="1251"/>
      <c r="AQK62" s="1251"/>
      <c r="AQL62" s="1251"/>
      <c r="AQM62" s="1251"/>
      <c r="AQN62" s="1251"/>
      <c r="AQO62" s="1251"/>
      <c r="AQP62" s="1251"/>
      <c r="AQQ62" s="1251"/>
      <c r="AQR62" s="1251"/>
      <c r="AQS62" s="1251"/>
      <c r="AQT62" s="1251"/>
      <c r="AQU62" s="1251"/>
      <c r="AQV62" s="1251"/>
      <c r="AQW62" s="1251"/>
      <c r="AQX62" s="1251"/>
      <c r="AQY62" s="1251"/>
      <c r="AQZ62" s="1251"/>
      <c r="ARA62" s="1251"/>
      <c r="ARB62" s="1251"/>
      <c r="ARC62" s="1251"/>
      <c r="ARD62" s="1251"/>
      <c r="ARE62" s="1251"/>
      <c r="ARF62" s="1251"/>
      <c r="ARG62" s="1251"/>
      <c r="ARH62" s="1251"/>
      <c r="ARI62" s="1251"/>
      <c r="ARJ62" s="1251"/>
      <c r="ARK62" s="1251"/>
      <c r="ARL62" s="1251"/>
      <c r="ARM62" s="1251"/>
      <c r="ARN62" s="1251"/>
      <c r="ARO62" s="1251"/>
      <c r="ARP62" s="1251"/>
      <c r="ARQ62" s="1251"/>
      <c r="ARR62" s="1251"/>
      <c r="ARS62" s="1251"/>
      <c r="ART62" s="1251"/>
      <c r="ARU62" s="1251"/>
      <c r="ARV62" s="1251"/>
      <c r="ARW62" s="1251"/>
      <c r="ARX62" s="1251"/>
      <c r="ARY62" s="1251"/>
      <c r="ARZ62" s="1251"/>
      <c r="ASA62" s="1251"/>
      <c r="ASB62" s="1251"/>
      <c r="ASC62" s="1251"/>
      <c r="ASD62" s="1251"/>
      <c r="ASE62" s="1251"/>
      <c r="ASF62" s="1251"/>
      <c r="ASG62" s="1251"/>
      <c r="ASH62" s="1251"/>
      <c r="ASI62" s="1251"/>
      <c r="ASJ62" s="1251"/>
      <c r="ASK62" s="1251"/>
      <c r="ASL62" s="1251"/>
      <c r="ASM62" s="1251"/>
      <c r="ASN62" s="1251"/>
      <c r="ASO62" s="1251"/>
      <c r="ASP62" s="1251"/>
      <c r="ASQ62" s="1251"/>
      <c r="ASR62" s="1251"/>
      <c r="ASS62" s="1251"/>
      <c r="AST62" s="1251"/>
      <c r="ASU62" s="1251"/>
      <c r="ASV62" s="1251"/>
      <c r="ASW62" s="1251"/>
      <c r="ASX62" s="1251"/>
      <c r="ASY62" s="1251"/>
      <c r="ASZ62" s="1251"/>
      <c r="ATA62" s="1251"/>
      <c r="ATB62" s="1251"/>
      <c r="ATC62" s="1251"/>
      <c r="ATD62" s="1251"/>
      <c r="ATE62" s="1251"/>
      <c r="ATF62" s="1251"/>
      <c r="ATG62" s="1251"/>
      <c r="ATH62" s="1251"/>
      <c r="ATI62" s="1251"/>
      <c r="ATJ62" s="1251"/>
      <c r="ATK62" s="1251"/>
      <c r="ATL62" s="1251"/>
      <c r="ATM62" s="1251"/>
      <c r="ATN62" s="1251"/>
      <c r="ATO62" s="1251"/>
      <c r="ATP62" s="1251"/>
      <c r="ATQ62" s="1251"/>
      <c r="ATR62" s="1251"/>
      <c r="ATS62" s="1251"/>
      <c r="ATT62" s="1251"/>
      <c r="ATU62" s="1251"/>
      <c r="ATV62" s="1251"/>
      <c r="ATW62" s="1251"/>
      <c r="ATX62" s="1251"/>
      <c r="ATY62" s="1251"/>
      <c r="ATZ62" s="1251"/>
      <c r="AUA62" s="1251"/>
      <c r="AUB62" s="1251"/>
      <c r="AUC62" s="1251"/>
      <c r="AUD62" s="1251"/>
      <c r="AUE62" s="1251"/>
      <c r="AUF62" s="1251"/>
      <c r="AUG62" s="1251"/>
      <c r="AUH62" s="1251"/>
      <c r="AUI62" s="1251"/>
      <c r="AUJ62" s="1251"/>
      <c r="AUK62" s="1251"/>
      <c r="AUL62" s="1251"/>
      <c r="AUM62" s="1251"/>
      <c r="AUN62" s="1251"/>
      <c r="AUO62" s="1251"/>
      <c r="AUP62" s="1251"/>
      <c r="AUQ62" s="1251"/>
      <c r="AUR62" s="1251"/>
      <c r="AUS62" s="1251"/>
      <c r="AUT62" s="1251"/>
      <c r="AUU62" s="1251"/>
      <c r="AUV62" s="1251"/>
      <c r="AUW62" s="1251"/>
      <c r="AUX62" s="1251"/>
      <c r="AUY62" s="1251"/>
      <c r="AUZ62" s="1251"/>
      <c r="AVA62" s="1251"/>
      <c r="AVB62" s="1251"/>
      <c r="AVC62" s="1251"/>
      <c r="AVD62" s="1251"/>
      <c r="AVE62" s="1251"/>
      <c r="AVF62" s="1251"/>
      <c r="AVG62" s="1251"/>
      <c r="AVH62" s="1251"/>
      <c r="AVI62" s="1251"/>
      <c r="AVJ62" s="1251"/>
      <c r="AVK62" s="1251"/>
      <c r="AVL62" s="1251"/>
      <c r="AVM62" s="1251"/>
      <c r="AVN62" s="1251"/>
      <c r="AVO62" s="1251"/>
      <c r="AVP62" s="1251"/>
      <c r="AVQ62" s="1251"/>
      <c r="AVR62" s="1251"/>
      <c r="AVS62" s="1251"/>
      <c r="AVT62" s="1251"/>
      <c r="AVU62" s="1251"/>
      <c r="AVV62" s="1251"/>
      <c r="AVW62" s="1251"/>
      <c r="AVX62" s="1251"/>
      <c r="AVY62" s="1251"/>
      <c r="AVZ62" s="1251"/>
      <c r="AWA62" s="1251"/>
      <c r="AWB62" s="1251"/>
      <c r="AWC62" s="1251"/>
      <c r="AWD62" s="1251"/>
      <c r="AWE62" s="1251"/>
      <c r="AWF62" s="1251"/>
      <c r="AWG62" s="1251"/>
      <c r="AWH62" s="1251"/>
      <c r="AWI62" s="1251"/>
      <c r="AWJ62" s="1251"/>
      <c r="AWK62" s="1251"/>
      <c r="AWL62" s="1251"/>
      <c r="AWM62" s="1251"/>
      <c r="AWN62" s="1251"/>
      <c r="AWO62" s="1251"/>
      <c r="AWP62" s="1251"/>
      <c r="AWQ62" s="1251"/>
      <c r="AWR62" s="1251"/>
      <c r="AWS62" s="1251"/>
      <c r="AWT62" s="1251"/>
      <c r="AWU62" s="1251"/>
      <c r="AWV62" s="1251"/>
      <c r="AWW62" s="1251"/>
      <c r="AWX62" s="1251"/>
      <c r="AWY62" s="1251"/>
      <c r="AWZ62" s="1251"/>
      <c r="AXA62" s="1251"/>
      <c r="AXB62" s="1251"/>
      <c r="AXC62" s="1251"/>
      <c r="AXD62" s="1251"/>
      <c r="AXE62" s="1251"/>
      <c r="AXF62" s="1251"/>
      <c r="AXG62" s="1251"/>
      <c r="AXH62" s="1251"/>
      <c r="AXI62" s="1251"/>
      <c r="AXJ62" s="1251"/>
      <c r="AXK62" s="1251"/>
      <c r="AXL62" s="1251"/>
      <c r="AXM62" s="1251"/>
      <c r="AXN62" s="1251"/>
      <c r="AXO62" s="1251"/>
      <c r="AXP62" s="1251"/>
      <c r="AXQ62" s="1251"/>
      <c r="AXR62" s="1251"/>
      <c r="AXS62" s="1251"/>
      <c r="AXT62" s="1251"/>
      <c r="AXU62" s="1251"/>
      <c r="AXV62" s="1251"/>
      <c r="AXW62" s="1251"/>
      <c r="AXX62" s="1251"/>
      <c r="AXY62" s="1251"/>
      <c r="AXZ62" s="1251"/>
      <c r="AYA62" s="1251"/>
      <c r="AYB62" s="1251"/>
      <c r="AYC62" s="1251"/>
      <c r="AYD62" s="1251"/>
      <c r="AYE62" s="1251"/>
      <c r="AYF62" s="1251"/>
      <c r="AYG62" s="1251"/>
      <c r="AYH62" s="1251"/>
      <c r="AYI62" s="1251"/>
      <c r="AYJ62" s="1251"/>
      <c r="AYK62" s="1251"/>
      <c r="AYL62" s="1251"/>
      <c r="AYM62" s="1251"/>
      <c r="AYN62" s="1251"/>
      <c r="AYO62" s="1251"/>
      <c r="AYP62" s="1251"/>
      <c r="AYQ62" s="1251"/>
      <c r="AYR62" s="1251"/>
      <c r="AYS62" s="1251"/>
      <c r="AYT62" s="1251"/>
      <c r="AYU62" s="1251"/>
      <c r="AYV62" s="1251"/>
      <c r="AYW62" s="1251"/>
      <c r="AYX62" s="1251"/>
      <c r="AYY62" s="1251"/>
      <c r="AYZ62" s="1251"/>
      <c r="AZA62" s="1251"/>
      <c r="AZB62" s="1251"/>
      <c r="AZC62" s="1251"/>
      <c r="AZD62" s="1251"/>
      <c r="AZE62" s="1251"/>
      <c r="AZF62" s="1251"/>
      <c r="AZG62" s="1251"/>
      <c r="AZH62" s="1251"/>
      <c r="AZI62" s="1251"/>
      <c r="AZJ62" s="1251"/>
      <c r="AZK62" s="1251"/>
      <c r="AZL62" s="1251"/>
      <c r="AZM62" s="1251"/>
      <c r="AZN62" s="1251"/>
      <c r="AZO62" s="1251"/>
      <c r="AZP62" s="1251"/>
      <c r="AZQ62" s="1251"/>
      <c r="AZR62" s="1251"/>
      <c r="AZS62" s="1251"/>
      <c r="AZT62" s="1251"/>
      <c r="AZU62" s="1251"/>
      <c r="AZV62" s="1251"/>
      <c r="AZW62" s="1251"/>
      <c r="AZX62" s="1251"/>
      <c r="AZY62" s="1251"/>
      <c r="AZZ62" s="1251"/>
      <c r="BAA62" s="1251"/>
      <c r="BAB62" s="1251"/>
      <c r="BAC62" s="1251"/>
      <c r="BAD62" s="1251"/>
      <c r="BAE62" s="1251"/>
      <c r="BAF62" s="1251"/>
      <c r="BAG62" s="1251"/>
      <c r="BAH62" s="1251"/>
      <c r="BAI62" s="1251"/>
      <c r="BAJ62" s="1251"/>
      <c r="BAK62" s="1251"/>
      <c r="BAL62" s="1251"/>
      <c r="BAM62" s="1251"/>
      <c r="BAN62" s="1251"/>
      <c r="BAO62" s="1251"/>
      <c r="BAP62" s="1251"/>
      <c r="BAQ62" s="1251"/>
      <c r="BAR62" s="1251"/>
      <c r="BAS62" s="1251"/>
      <c r="BAT62" s="1251"/>
      <c r="BAU62" s="1251"/>
      <c r="BAV62" s="1251"/>
      <c r="BAW62" s="1251"/>
      <c r="BAX62" s="1251"/>
      <c r="BAY62" s="1251"/>
      <c r="BAZ62" s="1251"/>
      <c r="BBA62" s="1251"/>
      <c r="BBB62" s="1251"/>
      <c r="BBC62" s="1251"/>
      <c r="BBD62" s="1251"/>
      <c r="BBE62" s="1251"/>
      <c r="BBF62" s="1251"/>
      <c r="BBG62" s="1251"/>
      <c r="BBH62" s="1251"/>
      <c r="BBI62" s="1251"/>
      <c r="BBJ62" s="1251"/>
      <c r="BBK62" s="1251"/>
      <c r="BBL62" s="1251"/>
      <c r="BBM62" s="1251"/>
      <c r="BBN62" s="1251"/>
      <c r="BBO62" s="1251"/>
      <c r="BBP62" s="1251"/>
      <c r="BBQ62" s="1251"/>
      <c r="BBR62" s="1251"/>
      <c r="BBS62" s="1251"/>
      <c r="BBT62" s="1251"/>
      <c r="BBU62" s="1251"/>
      <c r="BBV62" s="1251"/>
      <c r="BBW62" s="1251"/>
      <c r="BBX62" s="1251"/>
      <c r="BBY62" s="1251"/>
      <c r="BBZ62" s="1251"/>
      <c r="BCA62" s="1251"/>
      <c r="BCB62" s="1251"/>
      <c r="BCC62" s="1251"/>
      <c r="BCD62" s="1251"/>
      <c r="BCE62" s="1251"/>
      <c r="BCF62" s="1251"/>
      <c r="BCG62" s="1251"/>
      <c r="BCH62" s="1251"/>
      <c r="BCI62" s="1251"/>
      <c r="BCJ62" s="1251"/>
      <c r="BCK62" s="1251"/>
      <c r="BCL62" s="1251"/>
      <c r="BCM62" s="1251"/>
      <c r="BCN62" s="1251"/>
      <c r="BCO62" s="1251"/>
      <c r="BCP62" s="1251"/>
      <c r="BCQ62" s="1251"/>
      <c r="BCR62" s="1251"/>
      <c r="BCS62" s="1251"/>
      <c r="BCT62" s="1251"/>
      <c r="BCU62" s="1251"/>
      <c r="BCV62" s="1251"/>
      <c r="BCW62" s="1251"/>
      <c r="BCX62" s="1251"/>
      <c r="BCY62" s="1251"/>
      <c r="BCZ62" s="1251"/>
      <c r="BDA62" s="1251"/>
      <c r="BDB62" s="1251"/>
      <c r="BDC62" s="1251"/>
      <c r="BDD62" s="1251"/>
      <c r="BDE62" s="1251"/>
      <c r="BDF62" s="1251"/>
      <c r="BDG62" s="1251"/>
      <c r="BDH62" s="1251"/>
      <c r="BDI62" s="1251"/>
      <c r="BDJ62" s="1251"/>
      <c r="BDK62" s="1251"/>
      <c r="BDL62" s="1251"/>
      <c r="BDM62" s="1251"/>
      <c r="BDN62" s="1251"/>
      <c r="BDO62" s="1251"/>
      <c r="BDP62" s="1251"/>
      <c r="BDQ62" s="1251"/>
      <c r="BDR62" s="1251"/>
      <c r="BDS62" s="1251"/>
      <c r="BDT62" s="1251"/>
      <c r="BDU62" s="1251"/>
      <c r="BDV62" s="1251"/>
      <c r="BDW62" s="1251"/>
      <c r="BDX62" s="1251"/>
      <c r="BDY62" s="1251"/>
      <c r="BDZ62" s="1251"/>
      <c r="BEA62" s="1251"/>
      <c r="BEB62" s="1251"/>
      <c r="BEC62" s="1251"/>
      <c r="BED62" s="1251"/>
      <c r="BEE62" s="1251"/>
      <c r="BEF62" s="1251"/>
      <c r="BEG62" s="1251"/>
      <c r="BEH62" s="1251"/>
      <c r="BEI62" s="1251"/>
      <c r="BEJ62" s="1251"/>
      <c r="BEK62" s="1251"/>
      <c r="BEL62" s="1251"/>
      <c r="BEM62" s="1251"/>
      <c r="BEN62" s="1251"/>
      <c r="BEO62" s="1251"/>
      <c r="BEP62" s="1251"/>
      <c r="BEQ62" s="1251"/>
      <c r="BER62" s="1251"/>
      <c r="BES62" s="1251"/>
      <c r="BET62" s="1251"/>
      <c r="BEU62" s="1251"/>
      <c r="BEV62" s="1251"/>
      <c r="BEW62" s="1251"/>
      <c r="BEX62" s="1251"/>
      <c r="BEY62" s="1251"/>
      <c r="BEZ62" s="1251"/>
      <c r="BFA62" s="1251"/>
      <c r="BFB62" s="1251"/>
      <c r="BFC62" s="1251"/>
      <c r="BFD62" s="1251"/>
      <c r="BFE62" s="1251"/>
      <c r="BFF62" s="1251"/>
      <c r="BFG62" s="1251"/>
      <c r="BFH62" s="1251"/>
      <c r="BFI62" s="1251"/>
      <c r="BFJ62" s="1251"/>
      <c r="BFK62" s="1251"/>
      <c r="BFL62" s="1251"/>
      <c r="BFM62" s="1251"/>
      <c r="BFN62" s="1251"/>
      <c r="BFO62" s="1251"/>
      <c r="BFP62" s="1251"/>
      <c r="BFQ62" s="1251"/>
      <c r="BFR62" s="1251"/>
      <c r="BFS62" s="1251"/>
      <c r="BFT62" s="1251"/>
      <c r="BFU62" s="1251"/>
      <c r="BFV62" s="1251"/>
      <c r="BFW62" s="1251"/>
      <c r="BFX62" s="1251"/>
      <c r="BFY62" s="1251"/>
      <c r="BFZ62" s="1251"/>
      <c r="BGA62" s="1251"/>
      <c r="BGB62" s="1251"/>
      <c r="BGC62" s="1251"/>
      <c r="BGD62" s="1251"/>
      <c r="BGE62" s="1251"/>
      <c r="BGF62" s="1251"/>
      <c r="BGG62" s="1251"/>
      <c r="BGH62" s="1251"/>
      <c r="BGI62" s="1251"/>
      <c r="BGJ62" s="1251"/>
      <c r="BGK62" s="1251"/>
      <c r="BGL62" s="1251"/>
      <c r="BGM62" s="1251"/>
      <c r="BGN62" s="1251"/>
      <c r="BGO62" s="1251"/>
      <c r="BGP62" s="1251"/>
      <c r="BGQ62" s="1251"/>
      <c r="BGR62" s="1251"/>
      <c r="BGS62" s="1251"/>
      <c r="BGT62" s="1251"/>
      <c r="BGU62" s="1251"/>
      <c r="BGV62" s="1251"/>
      <c r="BGW62" s="1251"/>
      <c r="BGX62" s="1251"/>
      <c r="BGY62" s="1251"/>
      <c r="BGZ62" s="1251"/>
      <c r="BHA62" s="1251"/>
      <c r="BHB62" s="1251"/>
      <c r="BHC62" s="1251"/>
      <c r="BHD62" s="1251"/>
      <c r="BHE62" s="1251"/>
      <c r="BHF62" s="1251"/>
      <c r="BHG62" s="1251"/>
      <c r="BHH62" s="1251"/>
      <c r="BHI62" s="1251"/>
      <c r="BHJ62" s="1251"/>
      <c r="BHK62" s="1251"/>
      <c r="BHL62" s="1251"/>
      <c r="BHM62" s="1251"/>
      <c r="BHN62" s="1251"/>
      <c r="BHO62" s="1251"/>
      <c r="BHP62" s="1251"/>
      <c r="BHQ62" s="1251"/>
      <c r="BHR62" s="1251"/>
      <c r="BHS62" s="1251"/>
      <c r="BHT62" s="1251"/>
      <c r="BHU62" s="1251"/>
      <c r="BHV62" s="1251"/>
      <c r="BHW62" s="1251"/>
      <c r="BHX62" s="1251"/>
      <c r="BHY62" s="1251"/>
      <c r="BHZ62" s="1251"/>
      <c r="BIA62" s="1251"/>
      <c r="BIB62" s="1251"/>
      <c r="BIC62" s="1251"/>
      <c r="BID62" s="1251"/>
      <c r="BIE62" s="1251"/>
      <c r="BIF62" s="1251"/>
      <c r="BIG62" s="1251"/>
      <c r="BIH62" s="1251"/>
      <c r="BII62" s="1251"/>
      <c r="BIJ62" s="1251"/>
      <c r="BIK62" s="1251"/>
      <c r="BIL62" s="1251"/>
      <c r="BIM62" s="1251"/>
      <c r="BIN62" s="1251"/>
      <c r="BIO62" s="1251"/>
      <c r="BIP62" s="1251"/>
      <c r="BIQ62" s="1251"/>
      <c r="BIR62" s="1251"/>
      <c r="BIS62" s="1251"/>
      <c r="BIT62" s="1251"/>
      <c r="BIU62" s="1251"/>
      <c r="BIV62" s="1251"/>
      <c r="BIW62" s="1251"/>
      <c r="BIX62" s="1251"/>
      <c r="BIY62" s="1251"/>
      <c r="BIZ62" s="1251"/>
      <c r="BJA62" s="1251"/>
      <c r="BJB62" s="1251"/>
      <c r="BJC62" s="1251"/>
      <c r="BJD62" s="1251"/>
      <c r="BJE62" s="1251"/>
      <c r="BJF62" s="1251"/>
      <c r="BJG62" s="1251"/>
      <c r="BJH62" s="1251"/>
      <c r="BJI62" s="1251"/>
      <c r="BJJ62" s="1251"/>
      <c r="BJK62" s="1251"/>
      <c r="BJL62" s="1251"/>
      <c r="BJM62" s="1251"/>
      <c r="BJN62" s="1251"/>
      <c r="BJO62" s="1251"/>
      <c r="BJP62" s="1251"/>
      <c r="BJQ62" s="1251"/>
      <c r="BJR62" s="1251"/>
      <c r="BJS62" s="1251"/>
      <c r="BJT62" s="1251"/>
      <c r="BJU62" s="1251"/>
      <c r="BJV62" s="1251"/>
      <c r="BJW62" s="1251"/>
      <c r="BJX62" s="1251"/>
      <c r="BJY62" s="1251"/>
      <c r="BJZ62" s="1251"/>
      <c r="BKA62" s="1251"/>
      <c r="BKB62" s="1251"/>
      <c r="BKC62" s="1251"/>
      <c r="BKD62" s="1251"/>
      <c r="BKE62" s="1251"/>
      <c r="BKF62" s="1251"/>
      <c r="BKG62" s="1251"/>
      <c r="BKH62" s="1251"/>
      <c r="BKI62" s="1251"/>
      <c r="BKJ62" s="1251"/>
      <c r="BKK62" s="1251"/>
      <c r="BKL62" s="1251"/>
      <c r="BKM62" s="1251"/>
      <c r="BKN62" s="1251"/>
      <c r="BKO62" s="1251"/>
      <c r="BKP62" s="1251"/>
      <c r="BKQ62" s="1251"/>
      <c r="BKR62" s="1251"/>
      <c r="BKS62" s="1251"/>
      <c r="BKT62" s="1251"/>
      <c r="BKU62" s="1251"/>
      <c r="BKV62" s="1251"/>
      <c r="BKW62" s="1251"/>
      <c r="BKX62" s="1251"/>
      <c r="BKY62" s="1251"/>
      <c r="BKZ62" s="1251"/>
      <c r="BLA62" s="1251"/>
      <c r="BLB62" s="1251"/>
      <c r="BLC62" s="1251"/>
      <c r="BLD62" s="1251"/>
      <c r="BLE62" s="1251"/>
      <c r="BLF62" s="1251"/>
      <c r="BLG62" s="1251"/>
      <c r="BLH62" s="1251"/>
      <c r="BLI62" s="1251"/>
      <c r="BLJ62" s="1251"/>
      <c r="BLK62" s="1251"/>
      <c r="BLL62" s="1251"/>
      <c r="BLM62" s="1251"/>
      <c r="BLN62" s="1251"/>
      <c r="BLO62" s="1251"/>
      <c r="BLP62" s="1251"/>
      <c r="BLQ62" s="1251"/>
      <c r="BLR62" s="1251"/>
      <c r="BLS62" s="1251"/>
      <c r="BLT62" s="1251"/>
      <c r="BLU62" s="1251"/>
      <c r="BLV62" s="1251"/>
      <c r="BLW62" s="1251"/>
      <c r="BLX62" s="1251"/>
      <c r="BLY62" s="1251"/>
      <c r="BLZ62" s="1251"/>
      <c r="BMA62" s="1251"/>
      <c r="BMB62" s="1251"/>
      <c r="BMC62" s="1251"/>
      <c r="BMD62" s="1251"/>
      <c r="BME62" s="1251"/>
      <c r="BMF62" s="1251"/>
      <c r="BMG62" s="1251"/>
      <c r="BMH62" s="1251"/>
      <c r="BMI62" s="1251"/>
      <c r="BMJ62" s="1251"/>
      <c r="BMK62" s="1251"/>
      <c r="BML62" s="1251"/>
      <c r="BMM62" s="1251"/>
      <c r="BMN62" s="1251"/>
      <c r="BMO62" s="1251"/>
      <c r="BMP62" s="1251"/>
      <c r="BMQ62" s="1251"/>
      <c r="BMR62" s="1251"/>
      <c r="BMS62" s="1251"/>
      <c r="BMT62" s="1251"/>
      <c r="BMU62" s="1251"/>
      <c r="BMV62" s="1251"/>
      <c r="BMW62" s="1251"/>
      <c r="BMX62" s="1251"/>
      <c r="BMY62" s="1251"/>
      <c r="BMZ62" s="1251"/>
      <c r="BNA62" s="1251"/>
      <c r="BNB62" s="1251"/>
      <c r="BNC62" s="1251"/>
      <c r="BND62" s="1251"/>
      <c r="BNE62" s="1251"/>
      <c r="BNF62" s="1251"/>
      <c r="BNG62" s="1251"/>
      <c r="BNH62" s="1251"/>
      <c r="BNI62" s="1251"/>
      <c r="BNJ62" s="1251"/>
      <c r="BNK62" s="1251"/>
      <c r="BNL62" s="1251"/>
      <c r="BNM62" s="1251"/>
      <c r="BNN62" s="1251"/>
      <c r="BNO62" s="1251"/>
      <c r="BNP62" s="1251"/>
      <c r="BNQ62" s="1251"/>
      <c r="BNR62" s="1251"/>
      <c r="BNS62" s="1251"/>
      <c r="BNT62" s="1251"/>
      <c r="BNU62" s="1251"/>
      <c r="BNV62" s="1251"/>
      <c r="BNW62" s="1251"/>
      <c r="BNX62" s="1251"/>
      <c r="BNY62" s="1251"/>
      <c r="BNZ62" s="1251"/>
      <c r="BOA62" s="1251"/>
      <c r="BOB62" s="1251"/>
      <c r="BOC62" s="1251"/>
      <c r="BOD62" s="1251"/>
      <c r="BOE62" s="1251"/>
      <c r="BOF62" s="1251"/>
      <c r="BOG62" s="1251"/>
      <c r="BOH62" s="1251"/>
      <c r="BOI62" s="1251"/>
      <c r="BOJ62" s="1251"/>
      <c r="BOK62" s="1251"/>
      <c r="BOL62" s="1251"/>
      <c r="BOM62" s="1251"/>
      <c r="BON62" s="1251"/>
      <c r="BOO62" s="1251"/>
      <c r="BOP62" s="1251"/>
      <c r="BOQ62" s="1251"/>
      <c r="BOR62" s="1251"/>
      <c r="BOS62" s="1251"/>
      <c r="BOT62" s="1251"/>
      <c r="BOU62" s="1251"/>
      <c r="BOV62" s="1251"/>
      <c r="BOW62" s="1251"/>
      <c r="BOX62" s="1251"/>
      <c r="BOY62" s="1251"/>
      <c r="BOZ62" s="1251"/>
      <c r="BPA62" s="1251"/>
      <c r="BPB62" s="1251"/>
      <c r="BPC62" s="1251"/>
      <c r="BPD62" s="1251"/>
      <c r="BPE62" s="1251"/>
      <c r="BPF62" s="1251"/>
      <c r="BPG62" s="1251"/>
      <c r="BPH62" s="1251"/>
      <c r="BPI62" s="1251"/>
      <c r="BPJ62" s="1251"/>
      <c r="BPK62" s="1251"/>
      <c r="BPL62" s="1251"/>
      <c r="BPM62" s="1251"/>
      <c r="BPN62" s="1251"/>
      <c r="BPO62" s="1251"/>
      <c r="BPP62" s="1251"/>
      <c r="BPQ62" s="1251"/>
      <c r="BPR62" s="1251"/>
      <c r="BPS62" s="1251"/>
      <c r="BPT62" s="1251"/>
      <c r="BPU62" s="1251"/>
      <c r="BPV62" s="1251"/>
      <c r="BPW62" s="1251"/>
      <c r="BPX62" s="1251"/>
      <c r="BPY62" s="1251"/>
      <c r="BPZ62" s="1251"/>
      <c r="BQA62" s="1251"/>
      <c r="BQB62" s="1251"/>
      <c r="BQC62" s="1251"/>
      <c r="BQD62" s="1251"/>
      <c r="BQE62" s="1251"/>
      <c r="BQF62" s="1251"/>
      <c r="BQG62" s="1251"/>
      <c r="BQH62" s="1251"/>
      <c r="BQI62" s="1251"/>
      <c r="BQJ62" s="1251"/>
      <c r="BQK62" s="1251"/>
      <c r="BQL62" s="1251"/>
      <c r="BQM62" s="1251"/>
      <c r="BQN62" s="1251"/>
      <c r="BQO62" s="1251"/>
      <c r="BQP62" s="1251"/>
      <c r="BQQ62" s="1251"/>
      <c r="BQR62" s="1251"/>
      <c r="BQS62" s="1251"/>
      <c r="BQT62" s="1251"/>
      <c r="BQU62" s="1251"/>
      <c r="BQV62" s="1251"/>
      <c r="BQW62" s="1251"/>
      <c r="BQX62" s="1251"/>
      <c r="BQY62" s="1251"/>
      <c r="BQZ62" s="1251"/>
      <c r="BRA62" s="1251"/>
      <c r="BRB62" s="1251"/>
      <c r="BRC62" s="1251"/>
      <c r="BRD62" s="1251"/>
      <c r="BRE62" s="1251"/>
      <c r="BRF62" s="1251"/>
      <c r="BRG62" s="1251"/>
      <c r="BRH62" s="1251"/>
      <c r="BRI62" s="1251"/>
      <c r="BRJ62" s="1251"/>
      <c r="BRK62" s="1251"/>
      <c r="BRL62" s="1251"/>
      <c r="BRM62" s="1251"/>
      <c r="BRN62" s="1251"/>
      <c r="BRO62" s="1251"/>
      <c r="BRP62" s="1251"/>
      <c r="BRQ62" s="1251"/>
      <c r="BRR62" s="1251"/>
      <c r="BRS62" s="1251"/>
      <c r="BRT62" s="1251"/>
      <c r="BRU62" s="1251"/>
      <c r="BRV62" s="1251"/>
      <c r="BRW62" s="1251"/>
      <c r="BRX62" s="1251"/>
      <c r="BRY62" s="1251"/>
      <c r="BRZ62" s="1251"/>
      <c r="BSA62" s="1251"/>
      <c r="BSB62" s="1251"/>
      <c r="BSC62" s="1251"/>
      <c r="BSD62" s="1251"/>
      <c r="BSE62" s="1251"/>
      <c r="BSF62" s="1251"/>
      <c r="BSG62" s="1251"/>
      <c r="BSH62" s="1251"/>
      <c r="BSI62" s="1251"/>
      <c r="BSJ62" s="1251"/>
      <c r="BSK62" s="1251"/>
      <c r="BSL62" s="1251"/>
      <c r="BSM62" s="1251"/>
      <c r="BSN62" s="1251"/>
      <c r="BSO62" s="1251"/>
      <c r="BSP62" s="1251"/>
      <c r="BSQ62" s="1251"/>
      <c r="BSR62" s="1251"/>
      <c r="BSS62" s="1251"/>
      <c r="BST62" s="1251"/>
      <c r="BSU62" s="1251"/>
      <c r="BSV62" s="1251"/>
      <c r="BSW62" s="1251"/>
      <c r="BSX62" s="1251"/>
      <c r="BSY62" s="1251"/>
      <c r="BSZ62" s="1251"/>
      <c r="BTA62" s="1251"/>
      <c r="BTB62" s="1251"/>
      <c r="BTC62" s="1251"/>
      <c r="BTD62" s="1251"/>
      <c r="BTE62" s="1251"/>
      <c r="BTF62" s="1251"/>
      <c r="BTG62" s="1251"/>
      <c r="BTH62" s="1251"/>
      <c r="BTI62" s="1251"/>
    </row>
    <row r="63" spans="1:1881" s="1261" customFormat="1" ht="93" hidden="1" customHeight="1" thickBot="1" x14ac:dyDescent="0.35">
      <c r="A63" s="1248">
        <v>368</v>
      </c>
      <c r="B63" s="806" t="s">
        <v>69</v>
      </c>
      <c r="C63" s="806" t="s">
        <v>149</v>
      </c>
      <c r="D63" s="24" t="s">
        <v>1363</v>
      </c>
      <c r="E63" s="1249" t="e">
        <f>HLOOKUP($D$2,'2020 Data(H)'!$C$1:$CZ$426,129,FALSE)</f>
        <v>#N/A</v>
      </c>
      <c r="F63" s="1263">
        <v>0</v>
      </c>
      <c r="G63" s="727">
        <f t="shared" ref="G63:G69" si="1">IF(F63&lt;0,"Error: Enter as positive.",)</f>
        <v>0</v>
      </c>
      <c r="H63" s="17"/>
      <c r="I63" s="728"/>
      <c r="J63" s="1252"/>
      <c r="K63" s="1251"/>
      <c r="L63" s="701"/>
      <c r="M63" s="1251"/>
      <c r="N63" s="1253"/>
      <c r="O63" s="1251"/>
      <c r="P63" s="1251"/>
      <c r="Q63" s="1251"/>
      <c r="R63" s="1251"/>
      <c r="S63" s="1251"/>
      <c r="T63" s="1251"/>
      <c r="U63" s="1251"/>
      <c r="V63" s="1251"/>
      <c r="W63" s="1251"/>
      <c r="X63" s="1251"/>
      <c r="Y63" s="1251"/>
      <c r="Z63" s="1248"/>
      <c r="AA63" s="1248"/>
      <c r="AB63" s="1248"/>
      <c r="AC63" s="1248"/>
      <c r="AD63" s="1248"/>
      <c r="AE63" s="1248"/>
      <c r="AF63" s="1248"/>
      <c r="AG63" s="1248"/>
      <c r="AH63" s="1248"/>
      <c r="AI63" s="1248"/>
      <c r="AJ63" s="1248"/>
      <c r="AK63" s="1248"/>
      <c r="AL63" s="1248"/>
      <c r="AM63" s="1248"/>
      <c r="AN63" s="1248"/>
      <c r="AO63" s="1248"/>
      <c r="AP63" s="1248"/>
      <c r="AQ63" s="1248"/>
      <c r="AR63" s="1248"/>
      <c r="AS63" s="1251"/>
      <c r="AT63" s="1251"/>
      <c r="AU63" s="1251"/>
      <c r="AV63" s="1251"/>
      <c r="AW63" s="1251"/>
      <c r="AX63" s="1251"/>
      <c r="AY63" s="1251"/>
      <c r="AZ63" s="1251"/>
      <c r="BA63" s="1251"/>
      <c r="BB63" s="1251"/>
      <c r="BC63" s="1251"/>
      <c r="BD63" s="1251"/>
      <c r="BE63" s="1251"/>
      <c r="BF63" s="1251"/>
      <c r="BG63" s="1251"/>
      <c r="BH63" s="1251"/>
      <c r="BI63" s="1251"/>
      <c r="BJ63" s="1251"/>
      <c r="BK63" s="1251"/>
      <c r="BL63" s="1251"/>
      <c r="BM63" s="1251"/>
      <c r="BN63" s="1251"/>
      <c r="BO63" s="1251"/>
      <c r="BP63" s="1251"/>
      <c r="BQ63" s="1251"/>
      <c r="BR63" s="1251"/>
      <c r="BS63" s="1251"/>
      <c r="BT63" s="1251"/>
      <c r="BU63" s="1251"/>
      <c r="BV63" s="1251"/>
      <c r="BW63" s="1251"/>
      <c r="BX63" s="1251"/>
      <c r="BY63" s="1251"/>
      <c r="BZ63" s="1251"/>
      <c r="CA63" s="1251"/>
      <c r="CB63" s="1251"/>
      <c r="CC63" s="1251"/>
      <c r="CD63" s="1251"/>
      <c r="CE63" s="1251"/>
      <c r="CF63" s="1251"/>
      <c r="CG63" s="1251"/>
      <c r="CH63" s="1251"/>
      <c r="CI63" s="1251"/>
      <c r="CJ63" s="1251"/>
      <c r="CK63" s="1251"/>
      <c r="CL63" s="1251"/>
      <c r="CM63" s="1251"/>
      <c r="CN63" s="1251"/>
      <c r="CO63" s="1251"/>
      <c r="CP63" s="1251"/>
      <c r="CQ63" s="1251"/>
      <c r="CR63" s="1251"/>
      <c r="CS63" s="1251"/>
      <c r="CT63" s="1251"/>
      <c r="CU63" s="1251"/>
      <c r="CV63" s="1251"/>
      <c r="CW63" s="1251"/>
      <c r="CX63" s="1251"/>
      <c r="CY63" s="1251"/>
      <c r="CZ63" s="1251"/>
      <c r="DA63" s="1251"/>
      <c r="DB63" s="1251"/>
      <c r="DC63" s="1251"/>
      <c r="DD63" s="1251"/>
      <c r="DE63" s="1251"/>
      <c r="DF63" s="1251"/>
      <c r="DG63" s="1251"/>
      <c r="DH63" s="1251"/>
      <c r="DI63" s="1251"/>
      <c r="DJ63" s="1251"/>
      <c r="DK63" s="1251"/>
      <c r="DL63" s="1251"/>
      <c r="DM63" s="1251"/>
      <c r="DN63" s="1251"/>
      <c r="DO63" s="1251"/>
      <c r="DP63" s="1251"/>
      <c r="DQ63" s="1251"/>
      <c r="DR63" s="1251"/>
      <c r="DS63" s="1251"/>
      <c r="DT63" s="1251"/>
      <c r="DU63" s="1251"/>
      <c r="DV63" s="1251"/>
      <c r="DW63" s="1251"/>
      <c r="DX63" s="1251"/>
      <c r="DY63" s="1251"/>
      <c r="DZ63" s="1251"/>
      <c r="EA63" s="1251"/>
      <c r="EB63" s="1251"/>
      <c r="EC63" s="1251"/>
      <c r="ED63" s="1251"/>
      <c r="EE63" s="1251"/>
      <c r="EF63" s="1251"/>
      <c r="EG63" s="1251"/>
      <c r="EH63" s="1251"/>
      <c r="EI63" s="1251"/>
      <c r="EJ63" s="1251"/>
      <c r="EK63" s="1251"/>
      <c r="EL63" s="1251"/>
      <c r="EM63" s="1251"/>
      <c r="EN63" s="1251"/>
      <c r="EO63" s="1251"/>
      <c r="EP63" s="1251"/>
      <c r="EQ63" s="1251"/>
      <c r="ER63" s="1251"/>
      <c r="ES63" s="1251"/>
      <c r="ET63" s="1251"/>
      <c r="EU63" s="1251"/>
      <c r="EV63" s="1251"/>
      <c r="EW63" s="1251"/>
      <c r="EX63" s="1251"/>
      <c r="EY63" s="1251"/>
      <c r="EZ63" s="1251"/>
      <c r="FA63" s="1251"/>
      <c r="FB63" s="1251"/>
      <c r="FC63" s="1251"/>
      <c r="FD63" s="1251"/>
      <c r="FE63" s="1251"/>
      <c r="FF63" s="1251"/>
      <c r="FG63" s="1251"/>
      <c r="FH63" s="1251"/>
      <c r="FI63" s="1251"/>
      <c r="FJ63" s="1251"/>
      <c r="FK63" s="1251"/>
      <c r="FL63" s="1251"/>
      <c r="FM63" s="1251"/>
      <c r="FN63" s="1251"/>
      <c r="FO63" s="1251"/>
      <c r="FP63" s="1251"/>
      <c r="FQ63" s="1251"/>
      <c r="FR63" s="1251"/>
      <c r="FS63" s="1251"/>
      <c r="FT63" s="1251"/>
      <c r="FU63" s="1251"/>
      <c r="FV63" s="1251"/>
      <c r="FW63" s="1251"/>
      <c r="FX63" s="1251"/>
      <c r="FY63" s="1251"/>
      <c r="FZ63" s="1251"/>
      <c r="GA63" s="1251"/>
      <c r="GB63" s="1251"/>
      <c r="GC63" s="1251"/>
      <c r="GD63" s="1251"/>
      <c r="GE63" s="1251"/>
      <c r="GF63" s="1251"/>
      <c r="GG63" s="1251"/>
      <c r="GH63" s="1251"/>
      <c r="GI63" s="1251"/>
      <c r="GJ63" s="1251"/>
      <c r="GK63" s="1251"/>
      <c r="GL63" s="1251"/>
      <c r="GM63" s="1251"/>
      <c r="GN63" s="1251"/>
      <c r="GO63" s="1251"/>
      <c r="GP63" s="1251"/>
      <c r="GQ63" s="1251"/>
      <c r="GR63" s="1251"/>
      <c r="GS63" s="1251"/>
      <c r="GT63" s="1251"/>
      <c r="GU63" s="1251"/>
      <c r="GV63" s="1251"/>
      <c r="GW63" s="1251"/>
      <c r="GX63" s="1251"/>
      <c r="GY63" s="1251"/>
      <c r="GZ63" s="1251"/>
      <c r="HA63" s="1251"/>
      <c r="HB63" s="1251"/>
      <c r="HC63" s="1251"/>
      <c r="HD63" s="1251"/>
      <c r="HE63" s="1251"/>
      <c r="HF63" s="1251"/>
      <c r="HG63" s="1251"/>
      <c r="HH63" s="1251"/>
      <c r="HI63" s="1251"/>
      <c r="HJ63" s="1251"/>
      <c r="HK63" s="1251"/>
      <c r="HL63" s="1251"/>
      <c r="HM63" s="1251"/>
      <c r="HN63" s="1251"/>
      <c r="HO63" s="1251"/>
      <c r="HP63" s="1251"/>
      <c r="HQ63" s="1251"/>
      <c r="HR63" s="1251"/>
      <c r="HS63" s="1251"/>
      <c r="HT63" s="1251"/>
      <c r="HU63" s="1251"/>
      <c r="HV63" s="1251"/>
      <c r="HW63" s="1251"/>
      <c r="HX63" s="1251"/>
      <c r="HY63" s="1251"/>
      <c r="HZ63" s="1251"/>
      <c r="IA63" s="1251"/>
      <c r="IB63" s="1251"/>
      <c r="IC63" s="1251"/>
      <c r="ID63" s="1251"/>
      <c r="IE63" s="1251"/>
      <c r="IF63" s="1251"/>
      <c r="IG63" s="1251"/>
      <c r="IH63" s="1251"/>
      <c r="II63" s="1251"/>
      <c r="IJ63" s="1251"/>
      <c r="IK63" s="1251"/>
      <c r="IL63" s="1251"/>
      <c r="IM63" s="1251"/>
      <c r="IN63" s="1251"/>
      <c r="IO63" s="1251"/>
      <c r="IP63" s="1251"/>
      <c r="IQ63" s="1251"/>
      <c r="IR63" s="1251"/>
      <c r="IS63" s="1251"/>
      <c r="IT63" s="1251"/>
      <c r="IU63" s="1251"/>
      <c r="IV63" s="1251"/>
      <c r="IW63" s="1251"/>
      <c r="IX63" s="1251"/>
      <c r="IY63" s="1251"/>
      <c r="IZ63" s="1251"/>
      <c r="JA63" s="1251"/>
      <c r="JB63" s="1251"/>
      <c r="JC63" s="1251"/>
      <c r="JD63" s="1251"/>
      <c r="JE63" s="1251"/>
      <c r="JF63" s="1251"/>
      <c r="JG63" s="1251"/>
      <c r="JH63" s="1251"/>
      <c r="JI63" s="1251"/>
      <c r="JJ63" s="1251"/>
      <c r="JK63" s="1251"/>
      <c r="JL63" s="1251"/>
      <c r="JM63" s="1251"/>
      <c r="JN63" s="1251"/>
      <c r="JO63" s="1251"/>
      <c r="JP63" s="1251"/>
      <c r="JQ63" s="1251"/>
      <c r="JR63" s="1251"/>
      <c r="JS63" s="1251"/>
      <c r="JT63" s="1251"/>
      <c r="JU63" s="1251"/>
      <c r="JV63" s="1251"/>
      <c r="JW63" s="1251"/>
      <c r="JX63" s="1251"/>
      <c r="JY63" s="1251"/>
      <c r="JZ63" s="1251"/>
      <c r="KA63" s="1251"/>
      <c r="KB63" s="1251"/>
      <c r="KC63" s="1251"/>
      <c r="KD63" s="1251"/>
      <c r="KE63" s="1251"/>
      <c r="KF63" s="1251"/>
      <c r="KG63" s="1251"/>
      <c r="KH63" s="1251"/>
      <c r="KI63" s="1251"/>
      <c r="KJ63" s="1251"/>
      <c r="KK63" s="1251"/>
      <c r="KL63" s="1251"/>
      <c r="KM63" s="1251"/>
      <c r="KN63" s="1251"/>
      <c r="KO63" s="1251"/>
      <c r="KP63" s="1251"/>
      <c r="KQ63" s="1251"/>
      <c r="KR63" s="1251"/>
      <c r="KS63" s="1251"/>
      <c r="KT63" s="1251"/>
      <c r="KU63" s="1251"/>
      <c r="KV63" s="1251"/>
      <c r="KW63" s="1251"/>
      <c r="KX63" s="1251"/>
      <c r="KY63" s="1251"/>
      <c r="KZ63" s="1251"/>
      <c r="LA63" s="1251"/>
      <c r="LB63" s="1251"/>
      <c r="LC63" s="1251"/>
      <c r="LD63" s="1251"/>
      <c r="LE63" s="1251"/>
      <c r="LF63" s="1251"/>
      <c r="LG63" s="1251"/>
      <c r="LH63" s="1251"/>
      <c r="LI63" s="1251"/>
      <c r="LJ63" s="1251"/>
      <c r="LK63" s="1251"/>
      <c r="LL63" s="1251"/>
      <c r="LM63" s="1251"/>
      <c r="LN63" s="1251"/>
      <c r="LO63" s="1251"/>
      <c r="LP63" s="1251"/>
      <c r="LQ63" s="1251"/>
      <c r="LR63" s="1251"/>
      <c r="LS63" s="1251"/>
      <c r="LT63" s="1251"/>
      <c r="LU63" s="1251"/>
      <c r="LV63" s="1251"/>
      <c r="LW63" s="1251"/>
      <c r="LX63" s="1251"/>
      <c r="LY63" s="1251"/>
      <c r="LZ63" s="1251"/>
      <c r="MA63" s="1251"/>
      <c r="MB63" s="1251"/>
      <c r="MC63" s="1251"/>
      <c r="MD63" s="1251"/>
      <c r="ME63" s="1251"/>
      <c r="MF63" s="1251"/>
      <c r="MG63" s="1251"/>
      <c r="MH63" s="1251"/>
      <c r="MI63" s="1251"/>
      <c r="MJ63" s="1251"/>
      <c r="MK63" s="1251"/>
      <c r="ML63" s="1251"/>
      <c r="MM63" s="1251"/>
      <c r="MN63" s="1251"/>
      <c r="MO63" s="1251"/>
      <c r="MP63" s="1251"/>
      <c r="MQ63" s="1251"/>
      <c r="MR63" s="1251"/>
      <c r="MS63" s="1251"/>
      <c r="MT63" s="1251"/>
      <c r="MU63" s="1251"/>
      <c r="MV63" s="1251"/>
      <c r="MW63" s="1251"/>
      <c r="MX63" s="1251"/>
      <c r="MY63" s="1251"/>
      <c r="MZ63" s="1251"/>
      <c r="NA63" s="1251"/>
      <c r="NB63" s="1251"/>
      <c r="NC63" s="1251"/>
      <c r="ND63" s="1251"/>
      <c r="NE63" s="1251"/>
      <c r="NF63" s="1251"/>
      <c r="NG63" s="1251"/>
      <c r="NH63" s="1251"/>
      <c r="NI63" s="1251"/>
      <c r="NJ63" s="1251"/>
      <c r="NK63" s="1251"/>
      <c r="NL63" s="1251"/>
      <c r="NM63" s="1251"/>
      <c r="NN63" s="1251"/>
      <c r="NO63" s="1251"/>
      <c r="NP63" s="1251"/>
      <c r="NQ63" s="1251"/>
      <c r="NR63" s="1251"/>
      <c r="NS63" s="1251"/>
      <c r="NT63" s="1251"/>
      <c r="NU63" s="1251"/>
      <c r="NV63" s="1251"/>
      <c r="NW63" s="1251"/>
      <c r="NX63" s="1251"/>
      <c r="NY63" s="1251"/>
      <c r="NZ63" s="1251"/>
      <c r="OA63" s="1251"/>
      <c r="OB63" s="1251"/>
      <c r="OC63" s="1251"/>
      <c r="OD63" s="1251"/>
      <c r="OE63" s="1251"/>
      <c r="OF63" s="1251"/>
      <c r="OG63" s="1251"/>
      <c r="OH63" s="1251"/>
      <c r="OI63" s="1251"/>
      <c r="OJ63" s="1251"/>
      <c r="OK63" s="1251"/>
      <c r="OL63" s="1251"/>
      <c r="OM63" s="1251"/>
      <c r="ON63" s="1251"/>
      <c r="OO63" s="1251"/>
      <c r="OP63" s="1251"/>
      <c r="OQ63" s="1251"/>
      <c r="OR63" s="1251"/>
      <c r="OS63" s="1251"/>
      <c r="OT63" s="1251"/>
      <c r="OU63" s="1251"/>
      <c r="OV63" s="1251"/>
      <c r="OW63" s="1251"/>
      <c r="OX63" s="1251"/>
      <c r="OY63" s="1251"/>
      <c r="OZ63" s="1251"/>
      <c r="PA63" s="1251"/>
      <c r="PB63" s="1251"/>
      <c r="PC63" s="1251"/>
      <c r="PD63" s="1251"/>
      <c r="PE63" s="1251"/>
      <c r="PF63" s="1251"/>
      <c r="PG63" s="1251"/>
      <c r="PH63" s="1251"/>
      <c r="PI63" s="1251"/>
      <c r="PJ63" s="1251"/>
      <c r="PK63" s="1251"/>
      <c r="PL63" s="1251"/>
      <c r="PM63" s="1251"/>
      <c r="PN63" s="1251"/>
      <c r="PO63" s="1251"/>
      <c r="PP63" s="1251"/>
      <c r="PQ63" s="1251"/>
      <c r="PR63" s="1251"/>
      <c r="PS63" s="1251"/>
      <c r="PT63" s="1251"/>
      <c r="PU63" s="1251"/>
      <c r="PV63" s="1251"/>
      <c r="PW63" s="1251"/>
      <c r="PX63" s="1251"/>
      <c r="PY63" s="1251"/>
      <c r="PZ63" s="1251"/>
      <c r="QA63" s="1251"/>
      <c r="QB63" s="1251"/>
      <c r="QC63" s="1251"/>
      <c r="QD63" s="1251"/>
      <c r="QE63" s="1251"/>
      <c r="QF63" s="1251"/>
      <c r="QG63" s="1251"/>
      <c r="QH63" s="1251"/>
      <c r="QI63" s="1251"/>
      <c r="QJ63" s="1251"/>
      <c r="QK63" s="1251"/>
      <c r="QL63" s="1251"/>
      <c r="QM63" s="1251"/>
      <c r="QN63" s="1251"/>
      <c r="QO63" s="1251"/>
      <c r="QP63" s="1251"/>
      <c r="QQ63" s="1251"/>
      <c r="QR63" s="1251"/>
      <c r="QS63" s="1251"/>
      <c r="QT63" s="1251"/>
      <c r="QU63" s="1251"/>
      <c r="QV63" s="1251"/>
      <c r="QW63" s="1251"/>
      <c r="QX63" s="1251"/>
      <c r="QY63" s="1251"/>
      <c r="QZ63" s="1251"/>
      <c r="RA63" s="1251"/>
      <c r="RB63" s="1251"/>
      <c r="RC63" s="1251"/>
      <c r="RD63" s="1251"/>
      <c r="RE63" s="1251"/>
      <c r="RF63" s="1251"/>
      <c r="RG63" s="1251"/>
      <c r="RH63" s="1251"/>
      <c r="RI63" s="1251"/>
      <c r="RJ63" s="1251"/>
      <c r="RK63" s="1251"/>
      <c r="RL63" s="1251"/>
      <c r="RM63" s="1251"/>
      <c r="RN63" s="1251"/>
      <c r="RO63" s="1251"/>
      <c r="RP63" s="1251"/>
      <c r="RQ63" s="1251"/>
      <c r="RR63" s="1251"/>
      <c r="RS63" s="1251"/>
      <c r="RT63" s="1251"/>
      <c r="RU63" s="1251"/>
      <c r="RV63" s="1251"/>
      <c r="RW63" s="1251"/>
      <c r="RX63" s="1251"/>
      <c r="RY63" s="1251"/>
      <c r="RZ63" s="1251"/>
      <c r="SA63" s="1251"/>
      <c r="SB63" s="1251"/>
      <c r="SC63" s="1251"/>
      <c r="SD63" s="1251"/>
      <c r="SE63" s="1251"/>
      <c r="SF63" s="1251"/>
      <c r="SG63" s="1251"/>
      <c r="SH63" s="1251"/>
      <c r="SI63" s="1251"/>
      <c r="SJ63" s="1251"/>
      <c r="SK63" s="1251"/>
      <c r="SL63" s="1251"/>
      <c r="SM63" s="1251"/>
      <c r="SN63" s="1251"/>
      <c r="SO63" s="1251"/>
      <c r="SP63" s="1251"/>
      <c r="SQ63" s="1251"/>
      <c r="SR63" s="1251"/>
      <c r="SS63" s="1251"/>
      <c r="ST63" s="1251"/>
      <c r="SU63" s="1251"/>
      <c r="SV63" s="1251"/>
      <c r="SW63" s="1251"/>
      <c r="SX63" s="1251"/>
      <c r="SY63" s="1251"/>
      <c r="SZ63" s="1251"/>
      <c r="TA63" s="1251"/>
      <c r="TB63" s="1251"/>
      <c r="TC63" s="1251"/>
      <c r="TD63" s="1251"/>
      <c r="TE63" s="1251"/>
      <c r="TF63" s="1251"/>
      <c r="TG63" s="1251"/>
      <c r="TH63" s="1251"/>
      <c r="TI63" s="1251"/>
      <c r="TJ63" s="1251"/>
      <c r="TK63" s="1251"/>
      <c r="TL63" s="1251"/>
      <c r="TM63" s="1251"/>
      <c r="TN63" s="1251"/>
      <c r="TO63" s="1251"/>
      <c r="TP63" s="1251"/>
      <c r="TQ63" s="1251"/>
      <c r="TR63" s="1251"/>
      <c r="TS63" s="1251"/>
      <c r="TT63" s="1251"/>
      <c r="TU63" s="1251"/>
      <c r="TV63" s="1251"/>
      <c r="TW63" s="1251"/>
      <c r="TX63" s="1251"/>
      <c r="TY63" s="1251"/>
      <c r="TZ63" s="1251"/>
      <c r="UA63" s="1251"/>
      <c r="UB63" s="1251"/>
      <c r="UC63" s="1251"/>
      <c r="UD63" s="1251"/>
      <c r="UE63" s="1251"/>
      <c r="UF63" s="1251"/>
      <c r="UG63" s="1251"/>
      <c r="UH63" s="1251"/>
      <c r="UI63" s="1251"/>
      <c r="UJ63" s="1251"/>
      <c r="UK63" s="1251"/>
      <c r="UL63" s="1251"/>
      <c r="UM63" s="1251"/>
      <c r="UN63" s="1251"/>
      <c r="UO63" s="1251"/>
      <c r="UP63" s="1251"/>
      <c r="UQ63" s="1251"/>
      <c r="UR63" s="1251"/>
      <c r="US63" s="1251"/>
      <c r="UT63" s="1251"/>
      <c r="UU63" s="1251"/>
      <c r="UV63" s="1251"/>
      <c r="UW63" s="1251"/>
      <c r="UX63" s="1251"/>
      <c r="UY63" s="1251"/>
      <c r="UZ63" s="1251"/>
      <c r="VA63" s="1251"/>
      <c r="VB63" s="1251"/>
      <c r="VC63" s="1251"/>
      <c r="VD63" s="1251"/>
      <c r="VE63" s="1251"/>
      <c r="VF63" s="1251"/>
      <c r="VG63" s="1251"/>
      <c r="VH63" s="1251"/>
      <c r="VI63" s="1251"/>
      <c r="VJ63" s="1251"/>
      <c r="VK63" s="1251"/>
      <c r="VL63" s="1251"/>
      <c r="VM63" s="1251"/>
      <c r="VN63" s="1251"/>
      <c r="VO63" s="1251"/>
      <c r="VP63" s="1251"/>
      <c r="VQ63" s="1251"/>
      <c r="VR63" s="1251"/>
      <c r="VS63" s="1251"/>
      <c r="VT63" s="1251"/>
      <c r="VU63" s="1251"/>
      <c r="VV63" s="1251"/>
      <c r="VW63" s="1251"/>
      <c r="VX63" s="1251"/>
      <c r="VY63" s="1251"/>
      <c r="VZ63" s="1251"/>
      <c r="WA63" s="1251"/>
      <c r="WB63" s="1251"/>
      <c r="WC63" s="1251"/>
      <c r="WD63" s="1251"/>
      <c r="WE63" s="1251"/>
      <c r="WF63" s="1251"/>
      <c r="WG63" s="1251"/>
      <c r="WH63" s="1251"/>
      <c r="WI63" s="1251"/>
      <c r="WJ63" s="1251"/>
      <c r="WK63" s="1251"/>
      <c r="WL63" s="1251"/>
      <c r="WM63" s="1251"/>
      <c r="WN63" s="1251"/>
      <c r="WO63" s="1251"/>
      <c r="WP63" s="1251"/>
      <c r="WQ63" s="1251"/>
      <c r="WR63" s="1251"/>
      <c r="WS63" s="1251"/>
      <c r="WT63" s="1251"/>
      <c r="WU63" s="1251"/>
      <c r="WV63" s="1251"/>
      <c r="WW63" s="1251"/>
      <c r="WX63" s="1251"/>
      <c r="WY63" s="1251"/>
      <c r="WZ63" s="1251"/>
      <c r="XA63" s="1251"/>
      <c r="XB63" s="1251"/>
      <c r="XC63" s="1251"/>
      <c r="XD63" s="1251"/>
      <c r="XE63" s="1251"/>
      <c r="XF63" s="1251"/>
      <c r="XG63" s="1251"/>
      <c r="XH63" s="1251"/>
      <c r="XI63" s="1251"/>
      <c r="XJ63" s="1251"/>
      <c r="XK63" s="1251"/>
      <c r="XL63" s="1251"/>
      <c r="XM63" s="1251"/>
      <c r="XN63" s="1251"/>
      <c r="XO63" s="1251"/>
      <c r="XP63" s="1251"/>
      <c r="XQ63" s="1251"/>
      <c r="XR63" s="1251"/>
      <c r="XS63" s="1251"/>
      <c r="XT63" s="1251"/>
      <c r="XU63" s="1251"/>
      <c r="XV63" s="1251"/>
      <c r="XW63" s="1251"/>
      <c r="XX63" s="1251"/>
      <c r="XY63" s="1251"/>
      <c r="XZ63" s="1251"/>
      <c r="YA63" s="1251"/>
      <c r="YB63" s="1251"/>
      <c r="YC63" s="1251"/>
      <c r="YD63" s="1251"/>
      <c r="YE63" s="1251"/>
      <c r="YF63" s="1251"/>
      <c r="YG63" s="1251"/>
      <c r="YH63" s="1251"/>
      <c r="YI63" s="1251"/>
      <c r="YJ63" s="1251"/>
      <c r="YK63" s="1251"/>
      <c r="YL63" s="1251"/>
      <c r="YM63" s="1251"/>
      <c r="YN63" s="1251"/>
      <c r="YO63" s="1251"/>
      <c r="YP63" s="1251"/>
      <c r="YQ63" s="1251"/>
      <c r="YR63" s="1251"/>
      <c r="YS63" s="1251"/>
      <c r="YT63" s="1251"/>
      <c r="YU63" s="1251"/>
      <c r="YV63" s="1251"/>
      <c r="YW63" s="1251"/>
      <c r="YX63" s="1251"/>
      <c r="YY63" s="1251"/>
      <c r="YZ63" s="1251"/>
      <c r="ZA63" s="1251"/>
      <c r="ZB63" s="1251"/>
      <c r="ZC63" s="1251"/>
      <c r="ZD63" s="1251"/>
      <c r="ZE63" s="1251"/>
      <c r="ZF63" s="1251"/>
      <c r="ZG63" s="1251"/>
      <c r="ZH63" s="1251"/>
      <c r="ZI63" s="1251"/>
      <c r="ZJ63" s="1251"/>
      <c r="ZK63" s="1251"/>
      <c r="ZL63" s="1251"/>
      <c r="ZM63" s="1251"/>
      <c r="ZN63" s="1251"/>
      <c r="ZO63" s="1251"/>
      <c r="ZP63" s="1251"/>
      <c r="ZQ63" s="1251"/>
      <c r="ZR63" s="1251"/>
      <c r="ZS63" s="1251"/>
      <c r="ZT63" s="1251"/>
      <c r="ZU63" s="1251"/>
      <c r="ZV63" s="1251"/>
      <c r="ZW63" s="1251"/>
      <c r="ZX63" s="1251"/>
      <c r="ZY63" s="1251"/>
      <c r="ZZ63" s="1251"/>
      <c r="AAA63" s="1251"/>
      <c r="AAB63" s="1251"/>
      <c r="AAC63" s="1251"/>
      <c r="AAD63" s="1251"/>
      <c r="AAE63" s="1251"/>
      <c r="AAF63" s="1251"/>
      <c r="AAG63" s="1251"/>
      <c r="AAH63" s="1251"/>
      <c r="AAI63" s="1251"/>
      <c r="AAJ63" s="1251"/>
      <c r="AAK63" s="1251"/>
      <c r="AAL63" s="1251"/>
      <c r="AAM63" s="1251"/>
      <c r="AAN63" s="1251"/>
      <c r="AAO63" s="1251"/>
      <c r="AAP63" s="1251"/>
      <c r="AAQ63" s="1251"/>
      <c r="AAR63" s="1251"/>
      <c r="AAS63" s="1251"/>
      <c r="AAT63" s="1251"/>
      <c r="AAU63" s="1251"/>
      <c r="AAV63" s="1251"/>
      <c r="AAW63" s="1251"/>
      <c r="AAX63" s="1251"/>
      <c r="AAY63" s="1251"/>
      <c r="AAZ63" s="1251"/>
      <c r="ABA63" s="1251"/>
      <c r="ABB63" s="1251"/>
      <c r="ABC63" s="1251"/>
      <c r="ABD63" s="1251"/>
      <c r="ABE63" s="1251"/>
      <c r="ABF63" s="1251"/>
      <c r="ABG63" s="1251"/>
      <c r="ABH63" s="1251"/>
      <c r="ABI63" s="1251"/>
      <c r="ABJ63" s="1251"/>
      <c r="ABK63" s="1251"/>
      <c r="ABL63" s="1251"/>
      <c r="ABM63" s="1251"/>
      <c r="ABN63" s="1251"/>
      <c r="ABO63" s="1251"/>
      <c r="ABP63" s="1251"/>
      <c r="ABQ63" s="1251"/>
      <c r="ABR63" s="1251"/>
      <c r="ABS63" s="1251"/>
      <c r="ABT63" s="1251"/>
      <c r="ABU63" s="1251"/>
      <c r="ABV63" s="1251"/>
      <c r="ABW63" s="1251"/>
      <c r="ABX63" s="1251"/>
      <c r="ABY63" s="1251"/>
      <c r="ABZ63" s="1251"/>
      <c r="ACA63" s="1251"/>
      <c r="ACB63" s="1251"/>
      <c r="ACC63" s="1251"/>
      <c r="ACD63" s="1251"/>
      <c r="ACE63" s="1251"/>
      <c r="ACF63" s="1251"/>
      <c r="ACG63" s="1251"/>
      <c r="ACH63" s="1251"/>
      <c r="ACI63" s="1251"/>
      <c r="ACJ63" s="1251"/>
      <c r="ACK63" s="1251"/>
      <c r="ACL63" s="1251"/>
      <c r="ACM63" s="1251"/>
      <c r="ACN63" s="1251"/>
      <c r="ACO63" s="1251"/>
      <c r="ACP63" s="1251"/>
      <c r="ACQ63" s="1251"/>
      <c r="ACR63" s="1251"/>
      <c r="ACS63" s="1251"/>
      <c r="ACT63" s="1251"/>
      <c r="ACU63" s="1251"/>
      <c r="ACV63" s="1251"/>
      <c r="ACW63" s="1251"/>
      <c r="ACX63" s="1251"/>
      <c r="ACY63" s="1251"/>
      <c r="ACZ63" s="1251"/>
      <c r="ADA63" s="1251"/>
      <c r="ADB63" s="1251"/>
      <c r="ADC63" s="1251"/>
      <c r="ADD63" s="1251"/>
      <c r="ADE63" s="1251"/>
      <c r="ADF63" s="1251"/>
      <c r="ADG63" s="1251"/>
      <c r="ADH63" s="1251"/>
      <c r="ADI63" s="1251"/>
      <c r="ADJ63" s="1251"/>
      <c r="ADK63" s="1251"/>
      <c r="ADL63" s="1251"/>
      <c r="ADM63" s="1251"/>
      <c r="ADN63" s="1251"/>
      <c r="ADO63" s="1251"/>
      <c r="ADP63" s="1251"/>
      <c r="ADQ63" s="1251"/>
      <c r="ADR63" s="1251"/>
      <c r="ADS63" s="1251"/>
      <c r="ADT63" s="1251"/>
      <c r="ADU63" s="1251"/>
      <c r="ADV63" s="1251"/>
      <c r="ADW63" s="1251"/>
      <c r="ADX63" s="1251"/>
      <c r="ADY63" s="1251"/>
      <c r="ADZ63" s="1251"/>
      <c r="AEA63" s="1251"/>
      <c r="AEB63" s="1251"/>
      <c r="AEC63" s="1251"/>
      <c r="AED63" s="1251"/>
      <c r="AEE63" s="1251"/>
      <c r="AEF63" s="1251"/>
      <c r="AEG63" s="1251"/>
      <c r="AEH63" s="1251"/>
      <c r="AEI63" s="1251"/>
      <c r="AEJ63" s="1251"/>
      <c r="AEK63" s="1251"/>
      <c r="AEL63" s="1251"/>
      <c r="AEM63" s="1251"/>
      <c r="AEN63" s="1251"/>
      <c r="AEO63" s="1251"/>
      <c r="AEP63" s="1251"/>
      <c r="AEQ63" s="1251"/>
      <c r="AER63" s="1251"/>
      <c r="AES63" s="1251"/>
      <c r="AET63" s="1251"/>
      <c r="AEU63" s="1251"/>
      <c r="AEV63" s="1251"/>
      <c r="AEW63" s="1251"/>
      <c r="AEX63" s="1251"/>
      <c r="AEY63" s="1251"/>
      <c r="AEZ63" s="1251"/>
      <c r="AFA63" s="1251"/>
      <c r="AFB63" s="1251"/>
      <c r="AFC63" s="1251"/>
      <c r="AFD63" s="1251"/>
      <c r="AFE63" s="1251"/>
      <c r="AFF63" s="1251"/>
      <c r="AFG63" s="1251"/>
      <c r="AFH63" s="1251"/>
      <c r="AFI63" s="1251"/>
      <c r="AFJ63" s="1251"/>
      <c r="AFK63" s="1251"/>
      <c r="AFL63" s="1251"/>
      <c r="AFM63" s="1251"/>
      <c r="AFN63" s="1251"/>
      <c r="AFO63" s="1251"/>
      <c r="AFP63" s="1251"/>
      <c r="AFQ63" s="1251"/>
      <c r="AFR63" s="1251"/>
      <c r="AFS63" s="1251"/>
      <c r="AFT63" s="1251"/>
      <c r="AFU63" s="1251"/>
      <c r="AFV63" s="1251"/>
      <c r="AFW63" s="1251"/>
      <c r="AFX63" s="1251"/>
      <c r="AFY63" s="1251"/>
      <c r="AFZ63" s="1251"/>
      <c r="AGA63" s="1251"/>
      <c r="AGB63" s="1251"/>
      <c r="AGC63" s="1251"/>
      <c r="AGD63" s="1251"/>
      <c r="AGE63" s="1251"/>
      <c r="AGF63" s="1251"/>
      <c r="AGG63" s="1251"/>
      <c r="AGH63" s="1251"/>
      <c r="AGI63" s="1251"/>
      <c r="AGJ63" s="1251"/>
      <c r="AGK63" s="1251"/>
      <c r="AGL63" s="1251"/>
      <c r="AGM63" s="1251"/>
      <c r="AGN63" s="1251"/>
      <c r="AGO63" s="1251"/>
      <c r="AGP63" s="1251"/>
      <c r="AGQ63" s="1251"/>
      <c r="AGR63" s="1251"/>
      <c r="AGS63" s="1251"/>
      <c r="AGT63" s="1251"/>
      <c r="AGU63" s="1251"/>
      <c r="AGV63" s="1251"/>
      <c r="AGW63" s="1251"/>
      <c r="AGX63" s="1251"/>
      <c r="AGY63" s="1251"/>
      <c r="AGZ63" s="1251"/>
      <c r="AHA63" s="1251"/>
      <c r="AHB63" s="1251"/>
      <c r="AHC63" s="1251"/>
      <c r="AHD63" s="1251"/>
      <c r="AHE63" s="1251"/>
      <c r="AHF63" s="1251"/>
      <c r="AHG63" s="1251"/>
      <c r="AHH63" s="1251"/>
      <c r="AHI63" s="1251"/>
      <c r="AHJ63" s="1251"/>
      <c r="AHK63" s="1251"/>
      <c r="AHL63" s="1251"/>
      <c r="AHM63" s="1251"/>
      <c r="AHN63" s="1251"/>
      <c r="AHO63" s="1251"/>
      <c r="AHP63" s="1251"/>
      <c r="AHQ63" s="1251"/>
      <c r="AHR63" s="1251"/>
      <c r="AHS63" s="1251"/>
      <c r="AHT63" s="1251"/>
      <c r="AHU63" s="1251"/>
      <c r="AHV63" s="1251"/>
      <c r="AHW63" s="1251"/>
      <c r="AHX63" s="1251"/>
      <c r="AHY63" s="1251"/>
      <c r="AHZ63" s="1251"/>
      <c r="AIA63" s="1251"/>
      <c r="AIB63" s="1251"/>
      <c r="AIC63" s="1251"/>
      <c r="AID63" s="1251"/>
      <c r="AIE63" s="1251"/>
      <c r="AIF63" s="1251"/>
      <c r="AIG63" s="1251"/>
      <c r="AIH63" s="1251"/>
      <c r="AII63" s="1251"/>
      <c r="AIJ63" s="1251"/>
      <c r="AIK63" s="1251"/>
      <c r="AIL63" s="1251"/>
      <c r="AIM63" s="1251"/>
      <c r="AIN63" s="1251"/>
      <c r="AIO63" s="1251"/>
      <c r="AIP63" s="1251"/>
      <c r="AIQ63" s="1251"/>
      <c r="AIR63" s="1251"/>
      <c r="AIS63" s="1251"/>
      <c r="AIT63" s="1251"/>
      <c r="AIU63" s="1251"/>
      <c r="AIV63" s="1251"/>
      <c r="AIW63" s="1251"/>
      <c r="AIX63" s="1251"/>
      <c r="AIY63" s="1251"/>
      <c r="AIZ63" s="1251"/>
      <c r="AJA63" s="1251"/>
      <c r="AJB63" s="1251"/>
      <c r="AJC63" s="1251"/>
      <c r="AJD63" s="1251"/>
      <c r="AJE63" s="1251"/>
      <c r="AJF63" s="1251"/>
      <c r="AJG63" s="1251"/>
      <c r="AJH63" s="1251"/>
      <c r="AJI63" s="1251"/>
      <c r="AJJ63" s="1251"/>
      <c r="AJK63" s="1251"/>
      <c r="AJL63" s="1251"/>
      <c r="AJM63" s="1251"/>
      <c r="AJN63" s="1251"/>
      <c r="AJO63" s="1251"/>
      <c r="AJP63" s="1251"/>
      <c r="AJQ63" s="1251"/>
      <c r="AJR63" s="1251"/>
      <c r="AJS63" s="1251"/>
      <c r="AJT63" s="1251"/>
      <c r="AJU63" s="1251"/>
      <c r="AJV63" s="1251"/>
      <c r="AJW63" s="1251"/>
      <c r="AJX63" s="1251"/>
      <c r="AJY63" s="1251"/>
      <c r="AJZ63" s="1251"/>
      <c r="AKA63" s="1251"/>
      <c r="AKB63" s="1251"/>
      <c r="AKC63" s="1251"/>
      <c r="AKD63" s="1251"/>
      <c r="AKE63" s="1251"/>
      <c r="AKF63" s="1251"/>
      <c r="AKG63" s="1251"/>
      <c r="AKH63" s="1251"/>
      <c r="AKI63" s="1251"/>
      <c r="AKJ63" s="1251"/>
      <c r="AKK63" s="1251"/>
      <c r="AKL63" s="1251"/>
      <c r="AKM63" s="1251"/>
      <c r="AKN63" s="1251"/>
      <c r="AKO63" s="1251"/>
      <c r="AKP63" s="1251"/>
      <c r="AKQ63" s="1251"/>
      <c r="AKR63" s="1251"/>
      <c r="AKS63" s="1251"/>
      <c r="AKT63" s="1251"/>
      <c r="AKU63" s="1251"/>
      <c r="AKV63" s="1251"/>
      <c r="AKW63" s="1251"/>
      <c r="AKX63" s="1251"/>
      <c r="AKY63" s="1251"/>
      <c r="AKZ63" s="1251"/>
      <c r="ALA63" s="1251"/>
      <c r="ALB63" s="1251"/>
      <c r="ALC63" s="1251"/>
      <c r="ALD63" s="1251"/>
      <c r="ALE63" s="1251"/>
      <c r="ALF63" s="1251"/>
      <c r="ALG63" s="1251"/>
      <c r="ALH63" s="1251"/>
      <c r="ALI63" s="1251"/>
      <c r="ALJ63" s="1251"/>
      <c r="ALK63" s="1251"/>
      <c r="ALL63" s="1251"/>
      <c r="ALM63" s="1251"/>
      <c r="ALN63" s="1251"/>
      <c r="ALO63" s="1251"/>
      <c r="ALP63" s="1251"/>
      <c r="ALQ63" s="1251"/>
      <c r="ALR63" s="1251"/>
      <c r="ALS63" s="1251"/>
      <c r="ALT63" s="1251"/>
      <c r="ALU63" s="1251"/>
      <c r="ALV63" s="1251"/>
      <c r="ALW63" s="1251"/>
      <c r="ALX63" s="1251"/>
      <c r="ALY63" s="1251"/>
      <c r="ALZ63" s="1251"/>
      <c r="AMA63" s="1251"/>
      <c r="AMB63" s="1251"/>
      <c r="AMC63" s="1251"/>
      <c r="AMD63" s="1251"/>
      <c r="AME63" s="1251"/>
      <c r="AMF63" s="1251"/>
      <c r="AMG63" s="1251"/>
      <c r="AMH63" s="1251"/>
      <c r="AMI63" s="1251"/>
      <c r="AMJ63" s="1251"/>
      <c r="AMK63" s="1251"/>
      <c r="AML63" s="1251"/>
      <c r="AMM63" s="1251"/>
      <c r="AMN63" s="1251"/>
      <c r="AMO63" s="1251"/>
      <c r="AMP63" s="1251"/>
      <c r="AMQ63" s="1251"/>
      <c r="AMR63" s="1251"/>
      <c r="AMS63" s="1251"/>
      <c r="AMT63" s="1251"/>
      <c r="AMU63" s="1251"/>
      <c r="AMV63" s="1251"/>
      <c r="AMW63" s="1251"/>
      <c r="AMX63" s="1251"/>
      <c r="AMY63" s="1251"/>
      <c r="AMZ63" s="1251"/>
      <c r="ANA63" s="1251"/>
      <c r="ANB63" s="1251"/>
      <c r="ANC63" s="1251"/>
      <c r="AND63" s="1251"/>
      <c r="ANE63" s="1251"/>
      <c r="ANF63" s="1251"/>
      <c r="ANG63" s="1251"/>
      <c r="ANH63" s="1251"/>
      <c r="ANI63" s="1251"/>
      <c r="ANJ63" s="1251"/>
      <c r="ANK63" s="1251"/>
      <c r="ANL63" s="1251"/>
      <c r="ANM63" s="1251"/>
      <c r="ANN63" s="1251"/>
      <c r="ANO63" s="1251"/>
      <c r="ANP63" s="1251"/>
      <c r="ANQ63" s="1251"/>
      <c r="ANR63" s="1251"/>
      <c r="ANS63" s="1251"/>
      <c r="ANT63" s="1251"/>
      <c r="ANU63" s="1251"/>
      <c r="ANV63" s="1251"/>
      <c r="ANW63" s="1251"/>
      <c r="ANX63" s="1251"/>
      <c r="ANY63" s="1251"/>
      <c r="ANZ63" s="1251"/>
      <c r="AOA63" s="1251"/>
      <c r="AOB63" s="1251"/>
      <c r="AOC63" s="1251"/>
      <c r="AOD63" s="1251"/>
      <c r="AOE63" s="1251"/>
      <c r="AOF63" s="1251"/>
      <c r="AOG63" s="1251"/>
      <c r="AOH63" s="1251"/>
      <c r="AOI63" s="1251"/>
      <c r="AOJ63" s="1251"/>
      <c r="AOK63" s="1251"/>
      <c r="AOL63" s="1251"/>
      <c r="AOM63" s="1251"/>
      <c r="AON63" s="1251"/>
      <c r="AOO63" s="1251"/>
      <c r="AOP63" s="1251"/>
      <c r="AOQ63" s="1251"/>
      <c r="AOR63" s="1251"/>
      <c r="AOS63" s="1251"/>
      <c r="AOT63" s="1251"/>
      <c r="AOU63" s="1251"/>
      <c r="AOV63" s="1251"/>
      <c r="AOW63" s="1251"/>
      <c r="AOX63" s="1251"/>
      <c r="AOY63" s="1251"/>
      <c r="AOZ63" s="1251"/>
      <c r="APA63" s="1251"/>
      <c r="APB63" s="1251"/>
      <c r="APC63" s="1251"/>
      <c r="APD63" s="1251"/>
      <c r="APE63" s="1251"/>
      <c r="APF63" s="1251"/>
      <c r="APG63" s="1251"/>
      <c r="APH63" s="1251"/>
      <c r="API63" s="1251"/>
      <c r="APJ63" s="1251"/>
      <c r="APK63" s="1251"/>
      <c r="APL63" s="1251"/>
      <c r="APM63" s="1251"/>
      <c r="APN63" s="1251"/>
      <c r="APO63" s="1251"/>
      <c r="APP63" s="1251"/>
      <c r="APQ63" s="1251"/>
      <c r="APR63" s="1251"/>
      <c r="APS63" s="1251"/>
      <c r="APT63" s="1251"/>
      <c r="APU63" s="1251"/>
      <c r="APV63" s="1251"/>
      <c r="APW63" s="1251"/>
      <c r="APX63" s="1251"/>
      <c r="APY63" s="1251"/>
      <c r="APZ63" s="1251"/>
      <c r="AQA63" s="1251"/>
      <c r="AQB63" s="1251"/>
      <c r="AQC63" s="1251"/>
      <c r="AQD63" s="1251"/>
      <c r="AQE63" s="1251"/>
      <c r="AQF63" s="1251"/>
      <c r="AQG63" s="1251"/>
      <c r="AQH63" s="1251"/>
      <c r="AQI63" s="1251"/>
      <c r="AQJ63" s="1251"/>
      <c r="AQK63" s="1251"/>
      <c r="AQL63" s="1251"/>
      <c r="AQM63" s="1251"/>
      <c r="AQN63" s="1251"/>
      <c r="AQO63" s="1251"/>
      <c r="AQP63" s="1251"/>
      <c r="AQQ63" s="1251"/>
      <c r="AQR63" s="1251"/>
      <c r="AQS63" s="1251"/>
      <c r="AQT63" s="1251"/>
      <c r="AQU63" s="1251"/>
      <c r="AQV63" s="1251"/>
      <c r="AQW63" s="1251"/>
      <c r="AQX63" s="1251"/>
      <c r="AQY63" s="1251"/>
      <c r="AQZ63" s="1251"/>
      <c r="ARA63" s="1251"/>
      <c r="ARB63" s="1251"/>
      <c r="ARC63" s="1251"/>
      <c r="ARD63" s="1251"/>
      <c r="ARE63" s="1251"/>
      <c r="ARF63" s="1251"/>
      <c r="ARG63" s="1251"/>
      <c r="ARH63" s="1251"/>
      <c r="ARI63" s="1251"/>
      <c r="ARJ63" s="1251"/>
      <c r="ARK63" s="1251"/>
      <c r="ARL63" s="1251"/>
      <c r="ARM63" s="1251"/>
      <c r="ARN63" s="1251"/>
      <c r="ARO63" s="1251"/>
      <c r="ARP63" s="1251"/>
      <c r="ARQ63" s="1251"/>
      <c r="ARR63" s="1251"/>
      <c r="ARS63" s="1251"/>
      <c r="ART63" s="1251"/>
      <c r="ARU63" s="1251"/>
      <c r="ARV63" s="1251"/>
      <c r="ARW63" s="1251"/>
      <c r="ARX63" s="1251"/>
      <c r="ARY63" s="1251"/>
      <c r="ARZ63" s="1251"/>
      <c r="ASA63" s="1251"/>
      <c r="ASB63" s="1251"/>
      <c r="ASC63" s="1251"/>
      <c r="ASD63" s="1251"/>
      <c r="ASE63" s="1251"/>
      <c r="ASF63" s="1251"/>
      <c r="ASG63" s="1251"/>
      <c r="ASH63" s="1251"/>
      <c r="ASI63" s="1251"/>
      <c r="ASJ63" s="1251"/>
      <c r="ASK63" s="1251"/>
      <c r="ASL63" s="1251"/>
      <c r="ASM63" s="1251"/>
      <c r="ASN63" s="1251"/>
      <c r="ASO63" s="1251"/>
      <c r="ASP63" s="1251"/>
      <c r="ASQ63" s="1251"/>
      <c r="ASR63" s="1251"/>
      <c r="ASS63" s="1251"/>
      <c r="AST63" s="1251"/>
      <c r="ASU63" s="1251"/>
      <c r="ASV63" s="1251"/>
      <c r="ASW63" s="1251"/>
      <c r="ASX63" s="1251"/>
      <c r="ASY63" s="1251"/>
      <c r="ASZ63" s="1251"/>
      <c r="ATA63" s="1251"/>
      <c r="ATB63" s="1251"/>
      <c r="ATC63" s="1251"/>
      <c r="ATD63" s="1251"/>
      <c r="ATE63" s="1251"/>
      <c r="ATF63" s="1251"/>
      <c r="ATG63" s="1251"/>
      <c r="ATH63" s="1251"/>
      <c r="ATI63" s="1251"/>
      <c r="ATJ63" s="1251"/>
      <c r="ATK63" s="1251"/>
      <c r="ATL63" s="1251"/>
      <c r="ATM63" s="1251"/>
      <c r="ATN63" s="1251"/>
      <c r="ATO63" s="1251"/>
      <c r="ATP63" s="1251"/>
      <c r="ATQ63" s="1251"/>
      <c r="ATR63" s="1251"/>
      <c r="ATS63" s="1251"/>
      <c r="ATT63" s="1251"/>
      <c r="ATU63" s="1251"/>
      <c r="ATV63" s="1251"/>
      <c r="ATW63" s="1251"/>
      <c r="ATX63" s="1251"/>
      <c r="ATY63" s="1251"/>
      <c r="ATZ63" s="1251"/>
      <c r="AUA63" s="1251"/>
      <c r="AUB63" s="1251"/>
      <c r="AUC63" s="1251"/>
      <c r="AUD63" s="1251"/>
      <c r="AUE63" s="1251"/>
      <c r="AUF63" s="1251"/>
      <c r="AUG63" s="1251"/>
      <c r="AUH63" s="1251"/>
      <c r="AUI63" s="1251"/>
      <c r="AUJ63" s="1251"/>
      <c r="AUK63" s="1251"/>
      <c r="AUL63" s="1251"/>
      <c r="AUM63" s="1251"/>
      <c r="AUN63" s="1251"/>
      <c r="AUO63" s="1251"/>
      <c r="AUP63" s="1251"/>
      <c r="AUQ63" s="1251"/>
      <c r="AUR63" s="1251"/>
      <c r="AUS63" s="1251"/>
      <c r="AUT63" s="1251"/>
      <c r="AUU63" s="1251"/>
      <c r="AUV63" s="1251"/>
      <c r="AUW63" s="1251"/>
      <c r="AUX63" s="1251"/>
      <c r="AUY63" s="1251"/>
      <c r="AUZ63" s="1251"/>
      <c r="AVA63" s="1251"/>
      <c r="AVB63" s="1251"/>
      <c r="AVC63" s="1251"/>
      <c r="AVD63" s="1251"/>
      <c r="AVE63" s="1251"/>
      <c r="AVF63" s="1251"/>
      <c r="AVG63" s="1251"/>
      <c r="AVH63" s="1251"/>
      <c r="AVI63" s="1251"/>
      <c r="AVJ63" s="1251"/>
      <c r="AVK63" s="1251"/>
      <c r="AVL63" s="1251"/>
      <c r="AVM63" s="1251"/>
      <c r="AVN63" s="1251"/>
      <c r="AVO63" s="1251"/>
      <c r="AVP63" s="1251"/>
      <c r="AVQ63" s="1251"/>
      <c r="AVR63" s="1251"/>
      <c r="AVS63" s="1251"/>
      <c r="AVT63" s="1251"/>
      <c r="AVU63" s="1251"/>
      <c r="AVV63" s="1251"/>
      <c r="AVW63" s="1251"/>
      <c r="AVX63" s="1251"/>
      <c r="AVY63" s="1251"/>
      <c r="AVZ63" s="1251"/>
      <c r="AWA63" s="1251"/>
      <c r="AWB63" s="1251"/>
      <c r="AWC63" s="1251"/>
      <c r="AWD63" s="1251"/>
      <c r="AWE63" s="1251"/>
      <c r="AWF63" s="1251"/>
      <c r="AWG63" s="1251"/>
      <c r="AWH63" s="1251"/>
      <c r="AWI63" s="1251"/>
      <c r="AWJ63" s="1251"/>
      <c r="AWK63" s="1251"/>
      <c r="AWL63" s="1251"/>
      <c r="AWM63" s="1251"/>
      <c r="AWN63" s="1251"/>
      <c r="AWO63" s="1251"/>
      <c r="AWP63" s="1251"/>
      <c r="AWQ63" s="1251"/>
      <c r="AWR63" s="1251"/>
      <c r="AWS63" s="1251"/>
      <c r="AWT63" s="1251"/>
      <c r="AWU63" s="1251"/>
      <c r="AWV63" s="1251"/>
      <c r="AWW63" s="1251"/>
      <c r="AWX63" s="1251"/>
      <c r="AWY63" s="1251"/>
      <c r="AWZ63" s="1251"/>
      <c r="AXA63" s="1251"/>
      <c r="AXB63" s="1251"/>
      <c r="AXC63" s="1251"/>
      <c r="AXD63" s="1251"/>
      <c r="AXE63" s="1251"/>
      <c r="AXF63" s="1251"/>
      <c r="AXG63" s="1251"/>
      <c r="AXH63" s="1251"/>
      <c r="AXI63" s="1251"/>
      <c r="AXJ63" s="1251"/>
      <c r="AXK63" s="1251"/>
      <c r="AXL63" s="1251"/>
      <c r="AXM63" s="1251"/>
      <c r="AXN63" s="1251"/>
      <c r="AXO63" s="1251"/>
      <c r="AXP63" s="1251"/>
      <c r="AXQ63" s="1251"/>
      <c r="AXR63" s="1251"/>
      <c r="AXS63" s="1251"/>
      <c r="AXT63" s="1251"/>
      <c r="AXU63" s="1251"/>
      <c r="AXV63" s="1251"/>
      <c r="AXW63" s="1251"/>
      <c r="AXX63" s="1251"/>
      <c r="AXY63" s="1251"/>
      <c r="AXZ63" s="1251"/>
      <c r="AYA63" s="1251"/>
      <c r="AYB63" s="1251"/>
      <c r="AYC63" s="1251"/>
      <c r="AYD63" s="1251"/>
      <c r="AYE63" s="1251"/>
      <c r="AYF63" s="1251"/>
      <c r="AYG63" s="1251"/>
      <c r="AYH63" s="1251"/>
      <c r="AYI63" s="1251"/>
      <c r="AYJ63" s="1251"/>
      <c r="AYK63" s="1251"/>
      <c r="AYL63" s="1251"/>
      <c r="AYM63" s="1251"/>
      <c r="AYN63" s="1251"/>
      <c r="AYO63" s="1251"/>
      <c r="AYP63" s="1251"/>
      <c r="AYQ63" s="1251"/>
      <c r="AYR63" s="1251"/>
      <c r="AYS63" s="1251"/>
      <c r="AYT63" s="1251"/>
      <c r="AYU63" s="1251"/>
      <c r="AYV63" s="1251"/>
      <c r="AYW63" s="1251"/>
      <c r="AYX63" s="1251"/>
      <c r="AYY63" s="1251"/>
      <c r="AYZ63" s="1251"/>
      <c r="AZA63" s="1251"/>
      <c r="AZB63" s="1251"/>
      <c r="AZC63" s="1251"/>
      <c r="AZD63" s="1251"/>
      <c r="AZE63" s="1251"/>
      <c r="AZF63" s="1251"/>
      <c r="AZG63" s="1251"/>
      <c r="AZH63" s="1251"/>
      <c r="AZI63" s="1251"/>
      <c r="AZJ63" s="1251"/>
      <c r="AZK63" s="1251"/>
      <c r="AZL63" s="1251"/>
      <c r="AZM63" s="1251"/>
      <c r="AZN63" s="1251"/>
      <c r="AZO63" s="1251"/>
      <c r="AZP63" s="1251"/>
      <c r="AZQ63" s="1251"/>
      <c r="AZR63" s="1251"/>
      <c r="AZS63" s="1251"/>
      <c r="AZT63" s="1251"/>
      <c r="AZU63" s="1251"/>
      <c r="AZV63" s="1251"/>
      <c r="AZW63" s="1251"/>
      <c r="AZX63" s="1251"/>
      <c r="AZY63" s="1251"/>
      <c r="AZZ63" s="1251"/>
      <c r="BAA63" s="1251"/>
      <c r="BAB63" s="1251"/>
      <c r="BAC63" s="1251"/>
      <c r="BAD63" s="1251"/>
      <c r="BAE63" s="1251"/>
      <c r="BAF63" s="1251"/>
      <c r="BAG63" s="1251"/>
      <c r="BAH63" s="1251"/>
      <c r="BAI63" s="1251"/>
      <c r="BAJ63" s="1251"/>
      <c r="BAK63" s="1251"/>
      <c r="BAL63" s="1251"/>
      <c r="BAM63" s="1251"/>
      <c r="BAN63" s="1251"/>
      <c r="BAO63" s="1251"/>
      <c r="BAP63" s="1251"/>
      <c r="BAQ63" s="1251"/>
      <c r="BAR63" s="1251"/>
      <c r="BAS63" s="1251"/>
      <c r="BAT63" s="1251"/>
      <c r="BAU63" s="1251"/>
      <c r="BAV63" s="1251"/>
      <c r="BAW63" s="1251"/>
      <c r="BAX63" s="1251"/>
      <c r="BAY63" s="1251"/>
      <c r="BAZ63" s="1251"/>
      <c r="BBA63" s="1251"/>
      <c r="BBB63" s="1251"/>
      <c r="BBC63" s="1251"/>
      <c r="BBD63" s="1251"/>
      <c r="BBE63" s="1251"/>
      <c r="BBF63" s="1251"/>
      <c r="BBG63" s="1251"/>
      <c r="BBH63" s="1251"/>
      <c r="BBI63" s="1251"/>
      <c r="BBJ63" s="1251"/>
      <c r="BBK63" s="1251"/>
      <c r="BBL63" s="1251"/>
      <c r="BBM63" s="1251"/>
      <c r="BBN63" s="1251"/>
      <c r="BBO63" s="1251"/>
      <c r="BBP63" s="1251"/>
      <c r="BBQ63" s="1251"/>
      <c r="BBR63" s="1251"/>
      <c r="BBS63" s="1251"/>
      <c r="BBT63" s="1251"/>
      <c r="BBU63" s="1251"/>
      <c r="BBV63" s="1251"/>
      <c r="BBW63" s="1251"/>
      <c r="BBX63" s="1251"/>
      <c r="BBY63" s="1251"/>
      <c r="BBZ63" s="1251"/>
      <c r="BCA63" s="1251"/>
      <c r="BCB63" s="1251"/>
      <c r="BCC63" s="1251"/>
      <c r="BCD63" s="1251"/>
      <c r="BCE63" s="1251"/>
      <c r="BCF63" s="1251"/>
      <c r="BCG63" s="1251"/>
      <c r="BCH63" s="1251"/>
      <c r="BCI63" s="1251"/>
      <c r="BCJ63" s="1251"/>
      <c r="BCK63" s="1251"/>
      <c r="BCL63" s="1251"/>
      <c r="BCM63" s="1251"/>
      <c r="BCN63" s="1251"/>
      <c r="BCO63" s="1251"/>
      <c r="BCP63" s="1251"/>
      <c r="BCQ63" s="1251"/>
      <c r="BCR63" s="1251"/>
      <c r="BCS63" s="1251"/>
      <c r="BCT63" s="1251"/>
      <c r="BCU63" s="1251"/>
      <c r="BCV63" s="1251"/>
      <c r="BCW63" s="1251"/>
      <c r="BCX63" s="1251"/>
      <c r="BCY63" s="1251"/>
      <c r="BCZ63" s="1251"/>
      <c r="BDA63" s="1251"/>
      <c r="BDB63" s="1251"/>
      <c r="BDC63" s="1251"/>
      <c r="BDD63" s="1251"/>
      <c r="BDE63" s="1251"/>
      <c r="BDF63" s="1251"/>
      <c r="BDG63" s="1251"/>
      <c r="BDH63" s="1251"/>
      <c r="BDI63" s="1251"/>
      <c r="BDJ63" s="1251"/>
      <c r="BDK63" s="1251"/>
      <c r="BDL63" s="1251"/>
      <c r="BDM63" s="1251"/>
      <c r="BDN63" s="1251"/>
      <c r="BDO63" s="1251"/>
      <c r="BDP63" s="1251"/>
      <c r="BDQ63" s="1251"/>
      <c r="BDR63" s="1251"/>
      <c r="BDS63" s="1251"/>
      <c r="BDT63" s="1251"/>
      <c r="BDU63" s="1251"/>
      <c r="BDV63" s="1251"/>
      <c r="BDW63" s="1251"/>
      <c r="BDX63" s="1251"/>
      <c r="BDY63" s="1251"/>
      <c r="BDZ63" s="1251"/>
      <c r="BEA63" s="1251"/>
      <c r="BEB63" s="1251"/>
      <c r="BEC63" s="1251"/>
      <c r="BED63" s="1251"/>
      <c r="BEE63" s="1251"/>
      <c r="BEF63" s="1251"/>
      <c r="BEG63" s="1251"/>
      <c r="BEH63" s="1251"/>
      <c r="BEI63" s="1251"/>
      <c r="BEJ63" s="1251"/>
      <c r="BEK63" s="1251"/>
      <c r="BEL63" s="1251"/>
      <c r="BEM63" s="1251"/>
      <c r="BEN63" s="1251"/>
      <c r="BEO63" s="1251"/>
      <c r="BEP63" s="1251"/>
      <c r="BEQ63" s="1251"/>
      <c r="BER63" s="1251"/>
      <c r="BES63" s="1251"/>
      <c r="BET63" s="1251"/>
      <c r="BEU63" s="1251"/>
      <c r="BEV63" s="1251"/>
      <c r="BEW63" s="1251"/>
      <c r="BEX63" s="1251"/>
      <c r="BEY63" s="1251"/>
      <c r="BEZ63" s="1251"/>
      <c r="BFA63" s="1251"/>
      <c r="BFB63" s="1251"/>
      <c r="BFC63" s="1251"/>
      <c r="BFD63" s="1251"/>
      <c r="BFE63" s="1251"/>
      <c r="BFF63" s="1251"/>
      <c r="BFG63" s="1251"/>
      <c r="BFH63" s="1251"/>
      <c r="BFI63" s="1251"/>
      <c r="BFJ63" s="1251"/>
      <c r="BFK63" s="1251"/>
      <c r="BFL63" s="1251"/>
      <c r="BFM63" s="1251"/>
      <c r="BFN63" s="1251"/>
      <c r="BFO63" s="1251"/>
      <c r="BFP63" s="1251"/>
      <c r="BFQ63" s="1251"/>
      <c r="BFR63" s="1251"/>
      <c r="BFS63" s="1251"/>
      <c r="BFT63" s="1251"/>
      <c r="BFU63" s="1251"/>
      <c r="BFV63" s="1251"/>
      <c r="BFW63" s="1251"/>
      <c r="BFX63" s="1251"/>
      <c r="BFY63" s="1251"/>
      <c r="BFZ63" s="1251"/>
      <c r="BGA63" s="1251"/>
      <c r="BGB63" s="1251"/>
      <c r="BGC63" s="1251"/>
      <c r="BGD63" s="1251"/>
      <c r="BGE63" s="1251"/>
      <c r="BGF63" s="1251"/>
      <c r="BGG63" s="1251"/>
      <c r="BGH63" s="1251"/>
      <c r="BGI63" s="1251"/>
      <c r="BGJ63" s="1251"/>
      <c r="BGK63" s="1251"/>
      <c r="BGL63" s="1251"/>
      <c r="BGM63" s="1251"/>
      <c r="BGN63" s="1251"/>
      <c r="BGO63" s="1251"/>
      <c r="BGP63" s="1251"/>
      <c r="BGQ63" s="1251"/>
      <c r="BGR63" s="1251"/>
      <c r="BGS63" s="1251"/>
      <c r="BGT63" s="1251"/>
      <c r="BGU63" s="1251"/>
      <c r="BGV63" s="1251"/>
      <c r="BGW63" s="1251"/>
      <c r="BGX63" s="1251"/>
      <c r="BGY63" s="1251"/>
      <c r="BGZ63" s="1251"/>
      <c r="BHA63" s="1251"/>
      <c r="BHB63" s="1251"/>
      <c r="BHC63" s="1251"/>
      <c r="BHD63" s="1251"/>
      <c r="BHE63" s="1251"/>
      <c r="BHF63" s="1251"/>
      <c r="BHG63" s="1251"/>
      <c r="BHH63" s="1251"/>
      <c r="BHI63" s="1251"/>
      <c r="BHJ63" s="1251"/>
      <c r="BHK63" s="1251"/>
      <c r="BHL63" s="1251"/>
      <c r="BHM63" s="1251"/>
      <c r="BHN63" s="1251"/>
      <c r="BHO63" s="1251"/>
      <c r="BHP63" s="1251"/>
      <c r="BHQ63" s="1251"/>
      <c r="BHR63" s="1251"/>
      <c r="BHS63" s="1251"/>
      <c r="BHT63" s="1251"/>
      <c r="BHU63" s="1251"/>
      <c r="BHV63" s="1251"/>
      <c r="BHW63" s="1251"/>
      <c r="BHX63" s="1251"/>
      <c r="BHY63" s="1251"/>
      <c r="BHZ63" s="1251"/>
      <c r="BIA63" s="1251"/>
      <c r="BIB63" s="1251"/>
      <c r="BIC63" s="1251"/>
      <c r="BID63" s="1251"/>
      <c r="BIE63" s="1251"/>
      <c r="BIF63" s="1251"/>
      <c r="BIG63" s="1251"/>
      <c r="BIH63" s="1251"/>
      <c r="BII63" s="1251"/>
      <c r="BIJ63" s="1251"/>
      <c r="BIK63" s="1251"/>
      <c r="BIL63" s="1251"/>
      <c r="BIM63" s="1251"/>
      <c r="BIN63" s="1251"/>
      <c r="BIO63" s="1251"/>
      <c r="BIP63" s="1251"/>
      <c r="BIQ63" s="1251"/>
      <c r="BIR63" s="1251"/>
      <c r="BIS63" s="1251"/>
      <c r="BIT63" s="1251"/>
      <c r="BIU63" s="1251"/>
      <c r="BIV63" s="1251"/>
      <c r="BIW63" s="1251"/>
      <c r="BIX63" s="1251"/>
      <c r="BIY63" s="1251"/>
      <c r="BIZ63" s="1251"/>
      <c r="BJA63" s="1251"/>
      <c r="BJB63" s="1251"/>
      <c r="BJC63" s="1251"/>
      <c r="BJD63" s="1251"/>
      <c r="BJE63" s="1251"/>
      <c r="BJF63" s="1251"/>
      <c r="BJG63" s="1251"/>
      <c r="BJH63" s="1251"/>
      <c r="BJI63" s="1251"/>
      <c r="BJJ63" s="1251"/>
      <c r="BJK63" s="1251"/>
      <c r="BJL63" s="1251"/>
      <c r="BJM63" s="1251"/>
      <c r="BJN63" s="1251"/>
      <c r="BJO63" s="1251"/>
      <c r="BJP63" s="1251"/>
      <c r="BJQ63" s="1251"/>
      <c r="BJR63" s="1251"/>
      <c r="BJS63" s="1251"/>
      <c r="BJT63" s="1251"/>
      <c r="BJU63" s="1251"/>
      <c r="BJV63" s="1251"/>
      <c r="BJW63" s="1251"/>
      <c r="BJX63" s="1251"/>
      <c r="BJY63" s="1251"/>
      <c r="BJZ63" s="1251"/>
      <c r="BKA63" s="1251"/>
      <c r="BKB63" s="1251"/>
      <c r="BKC63" s="1251"/>
      <c r="BKD63" s="1251"/>
      <c r="BKE63" s="1251"/>
      <c r="BKF63" s="1251"/>
      <c r="BKG63" s="1251"/>
      <c r="BKH63" s="1251"/>
      <c r="BKI63" s="1251"/>
      <c r="BKJ63" s="1251"/>
      <c r="BKK63" s="1251"/>
      <c r="BKL63" s="1251"/>
      <c r="BKM63" s="1251"/>
      <c r="BKN63" s="1251"/>
      <c r="BKO63" s="1251"/>
      <c r="BKP63" s="1251"/>
      <c r="BKQ63" s="1251"/>
      <c r="BKR63" s="1251"/>
      <c r="BKS63" s="1251"/>
      <c r="BKT63" s="1251"/>
      <c r="BKU63" s="1251"/>
      <c r="BKV63" s="1251"/>
      <c r="BKW63" s="1251"/>
      <c r="BKX63" s="1251"/>
      <c r="BKY63" s="1251"/>
      <c r="BKZ63" s="1251"/>
      <c r="BLA63" s="1251"/>
      <c r="BLB63" s="1251"/>
      <c r="BLC63" s="1251"/>
      <c r="BLD63" s="1251"/>
      <c r="BLE63" s="1251"/>
      <c r="BLF63" s="1251"/>
      <c r="BLG63" s="1251"/>
      <c r="BLH63" s="1251"/>
      <c r="BLI63" s="1251"/>
      <c r="BLJ63" s="1251"/>
      <c r="BLK63" s="1251"/>
      <c r="BLL63" s="1251"/>
      <c r="BLM63" s="1251"/>
      <c r="BLN63" s="1251"/>
      <c r="BLO63" s="1251"/>
      <c r="BLP63" s="1251"/>
      <c r="BLQ63" s="1251"/>
      <c r="BLR63" s="1251"/>
      <c r="BLS63" s="1251"/>
      <c r="BLT63" s="1251"/>
      <c r="BLU63" s="1251"/>
      <c r="BLV63" s="1251"/>
      <c r="BLW63" s="1251"/>
      <c r="BLX63" s="1251"/>
      <c r="BLY63" s="1251"/>
      <c r="BLZ63" s="1251"/>
      <c r="BMA63" s="1251"/>
      <c r="BMB63" s="1251"/>
      <c r="BMC63" s="1251"/>
      <c r="BMD63" s="1251"/>
      <c r="BME63" s="1251"/>
      <c r="BMF63" s="1251"/>
      <c r="BMG63" s="1251"/>
      <c r="BMH63" s="1251"/>
      <c r="BMI63" s="1251"/>
      <c r="BMJ63" s="1251"/>
      <c r="BMK63" s="1251"/>
      <c r="BML63" s="1251"/>
      <c r="BMM63" s="1251"/>
      <c r="BMN63" s="1251"/>
      <c r="BMO63" s="1251"/>
      <c r="BMP63" s="1251"/>
      <c r="BMQ63" s="1251"/>
      <c r="BMR63" s="1251"/>
      <c r="BMS63" s="1251"/>
      <c r="BMT63" s="1251"/>
      <c r="BMU63" s="1251"/>
      <c r="BMV63" s="1251"/>
      <c r="BMW63" s="1251"/>
      <c r="BMX63" s="1251"/>
      <c r="BMY63" s="1251"/>
      <c r="BMZ63" s="1251"/>
      <c r="BNA63" s="1251"/>
      <c r="BNB63" s="1251"/>
      <c r="BNC63" s="1251"/>
      <c r="BND63" s="1251"/>
      <c r="BNE63" s="1251"/>
      <c r="BNF63" s="1251"/>
      <c r="BNG63" s="1251"/>
      <c r="BNH63" s="1251"/>
      <c r="BNI63" s="1251"/>
      <c r="BNJ63" s="1251"/>
      <c r="BNK63" s="1251"/>
      <c r="BNL63" s="1251"/>
      <c r="BNM63" s="1251"/>
      <c r="BNN63" s="1251"/>
      <c r="BNO63" s="1251"/>
      <c r="BNP63" s="1251"/>
      <c r="BNQ63" s="1251"/>
      <c r="BNR63" s="1251"/>
      <c r="BNS63" s="1251"/>
      <c r="BNT63" s="1251"/>
      <c r="BNU63" s="1251"/>
      <c r="BNV63" s="1251"/>
      <c r="BNW63" s="1251"/>
      <c r="BNX63" s="1251"/>
      <c r="BNY63" s="1251"/>
      <c r="BNZ63" s="1251"/>
      <c r="BOA63" s="1251"/>
      <c r="BOB63" s="1251"/>
      <c r="BOC63" s="1251"/>
      <c r="BOD63" s="1251"/>
      <c r="BOE63" s="1251"/>
      <c r="BOF63" s="1251"/>
      <c r="BOG63" s="1251"/>
      <c r="BOH63" s="1251"/>
      <c r="BOI63" s="1251"/>
      <c r="BOJ63" s="1251"/>
      <c r="BOK63" s="1251"/>
      <c r="BOL63" s="1251"/>
      <c r="BOM63" s="1251"/>
      <c r="BON63" s="1251"/>
      <c r="BOO63" s="1251"/>
      <c r="BOP63" s="1251"/>
      <c r="BOQ63" s="1251"/>
      <c r="BOR63" s="1251"/>
      <c r="BOS63" s="1251"/>
      <c r="BOT63" s="1251"/>
      <c r="BOU63" s="1251"/>
      <c r="BOV63" s="1251"/>
      <c r="BOW63" s="1251"/>
      <c r="BOX63" s="1251"/>
      <c r="BOY63" s="1251"/>
      <c r="BOZ63" s="1251"/>
      <c r="BPA63" s="1251"/>
      <c r="BPB63" s="1251"/>
      <c r="BPC63" s="1251"/>
      <c r="BPD63" s="1251"/>
      <c r="BPE63" s="1251"/>
      <c r="BPF63" s="1251"/>
      <c r="BPG63" s="1251"/>
      <c r="BPH63" s="1251"/>
      <c r="BPI63" s="1251"/>
      <c r="BPJ63" s="1251"/>
      <c r="BPK63" s="1251"/>
      <c r="BPL63" s="1251"/>
      <c r="BPM63" s="1251"/>
      <c r="BPN63" s="1251"/>
      <c r="BPO63" s="1251"/>
      <c r="BPP63" s="1251"/>
      <c r="BPQ63" s="1251"/>
      <c r="BPR63" s="1251"/>
      <c r="BPS63" s="1251"/>
      <c r="BPT63" s="1251"/>
      <c r="BPU63" s="1251"/>
      <c r="BPV63" s="1251"/>
      <c r="BPW63" s="1251"/>
      <c r="BPX63" s="1251"/>
      <c r="BPY63" s="1251"/>
      <c r="BPZ63" s="1251"/>
      <c r="BQA63" s="1251"/>
      <c r="BQB63" s="1251"/>
      <c r="BQC63" s="1251"/>
      <c r="BQD63" s="1251"/>
      <c r="BQE63" s="1251"/>
      <c r="BQF63" s="1251"/>
      <c r="BQG63" s="1251"/>
      <c r="BQH63" s="1251"/>
      <c r="BQI63" s="1251"/>
      <c r="BQJ63" s="1251"/>
      <c r="BQK63" s="1251"/>
      <c r="BQL63" s="1251"/>
      <c r="BQM63" s="1251"/>
      <c r="BQN63" s="1251"/>
      <c r="BQO63" s="1251"/>
      <c r="BQP63" s="1251"/>
      <c r="BQQ63" s="1251"/>
      <c r="BQR63" s="1251"/>
      <c r="BQS63" s="1251"/>
      <c r="BQT63" s="1251"/>
      <c r="BQU63" s="1251"/>
      <c r="BQV63" s="1251"/>
      <c r="BQW63" s="1251"/>
      <c r="BQX63" s="1251"/>
      <c r="BQY63" s="1251"/>
      <c r="BQZ63" s="1251"/>
      <c r="BRA63" s="1251"/>
      <c r="BRB63" s="1251"/>
      <c r="BRC63" s="1251"/>
      <c r="BRD63" s="1251"/>
      <c r="BRE63" s="1251"/>
      <c r="BRF63" s="1251"/>
      <c r="BRG63" s="1251"/>
      <c r="BRH63" s="1251"/>
      <c r="BRI63" s="1251"/>
      <c r="BRJ63" s="1251"/>
      <c r="BRK63" s="1251"/>
      <c r="BRL63" s="1251"/>
      <c r="BRM63" s="1251"/>
      <c r="BRN63" s="1251"/>
      <c r="BRO63" s="1251"/>
      <c r="BRP63" s="1251"/>
      <c r="BRQ63" s="1251"/>
      <c r="BRR63" s="1251"/>
      <c r="BRS63" s="1251"/>
      <c r="BRT63" s="1251"/>
      <c r="BRU63" s="1251"/>
      <c r="BRV63" s="1251"/>
      <c r="BRW63" s="1251"/>
      <c r="BRX63" s="1251"/>
      <c r="BRY63" s="1251"/>
      <c r="BRZ63" s="1251"/>
      <c r="BSA63" s="1251"/>
      <c r="BSB63" s="1251"/>
      <c r="BSC63" s="1251"/>
      <c r="BSD63" s="1251"/>
      <c r="BSE63" s="1251"/>
      <c r="BSF63" s="1251"/>
      <c r="BSG63" s="1251"/>
      <c r="BSH63" s="1251"/>
      <c r="BSI63" s="1251"/>
      <c r="BSJ63" s="1251"/>
      <c r="BSK63" s="1251"/>
      <c r="BSL63" s="1251"/>
      <c r="BSM63" s="1251"/>
      <c r="BSN63" s="1251"/>
      <c r="BSO63" s="1251"/>
      <c r="BSP63" s="1251"/>
      <c r="BSQ63" s="1251"/>
      <c r="BSR63" s="1251"/>
      <c r="BSS63" s="1251"/>
      <c r="BST63" s="1251"/>
      <c r="BSU63" s="1251"/>
      <c r="BSV63" s="1251"/>
      <c r="BSW63" s="1251"/>
      <c r="BSX63" s="1251"/>
      <c r="BSY63" s="1251"/>
      <c r="BSZ63" s="1251"/>
      <c r="BTA63" s="1251"/>
      <c r="BTB63" s="1251"/>
      <c r="BTC63" s="1251"/>
      <c r="BTD63" s="1251"/>
      <c r="BTE63" s="1251"/>
      <c r="BTF63" s="1251"/>
      <c r="BTG63" s="1251"/>
      <c r="BTH63" s="1251"/>
      <c r="BTI63" s="1251"/>
    </row>
    <row r="64" spans="1:1881" s="1261" customFormat="1" ht="99.75" hidden="1" customHeight="1" thickBot="1" x14ac:dyDescent="0.35">
      <c r="A64" s="1248">
        <v>4</v>
      </c>
      <c r="B64" s="806" t="s">
        <v>55</v>
      </c>
      <c r="C64" s="806" t="s">
        <v>149</v>
      </c>
      <c r="D64" s="749" t="s">
        <v>1364</v>
      </c>
      <c r="E64" s="1249" t="e">
        <f>HLOOKUP($D$2,'2020 Data(H)'!$C$1:$CZ$426,3,FALSE)</f>
        <v>#N/A</v>
      </c>
      <c r="F64" s="1263">
        <v>0</v>
      </c>
      <c r="G64" s="727">
        <f t="shared" si="1"/>
        <v>0</v>
      </c>
      <c r="H64" s="17"/>
      <c r="I64" s="760"/>
      <c r="J64" s="1252"/>
      <c r="K64" s="1251"/>
      <c r="L64" s="701"/>
      <c r="M64" s="1251"/>
      <c r="N64" s="1253"/>
      <c r="O64" s="1251"/>
      <c r="P64" s="1251"/>
      <c r="Q64" s="1251"/>
      <c r="R64" s="1251"/>
      <c r="S64" s="1251"/>
      <c r="T64" s="1251"/>
      <c r="U64" s="1251"/>
      <c r="V64" s="1251"/>
      <c r="W64" s="1251"/>
      <c r="X64" s="1251"/>
      <c r="Y64" s="1251"/>
      <c r="Z64" s="1248"/>
      <c r="AA64" s="1248"/>
      <c r="AB64" s="1248"/>
      <c r="AC64" s="1248"/>
      <c r="AD64" s="1248"/>
      <c r="AE64" s="1248"/>
      <c r="AF64" s="1248"/>
      <c r="AG64" s="1248"/>
      <c r="AH64" s="1248"/>
      <c r="AI64" s="1248"/>
      <c r="AJ64" s="1248"/>
      <c r="AK64" s="1248"/>
      <c r="AL64" s="1248"/>
      <c r="AM64" s="1248"/>
      <c r="AN64" s="1248"/>
      <c r="AO64" s="1248"/>
      <c r="AP64" s="1248"/>
      <c r="AQ64" s="1248"/>
      <c r="AR64" s="1248"/>
      <c r="AS64" s="1251"/>
      <c r="AT64" s="1251"/>
      <c r="AU64" s="1251"/>
      <c r="AV64" s="1251"/>
      <c r="AW64" s="1251"/>
      <c r="AX64" s="1251"/>
      <c r="AY64" s="1251"/>
      <c r="AZ64" s="1251"/>
      <c r="BA64" s="1251"/>
      <c r="BB64" s="1251"/>
      <c r="BC64" s="1251"/>
      <c r="BD64" s="1251"/>
      <c r="BE64" s="1251"/>
      <c r="BF64" s="1251"/>
      <c r="BG64" s="1251"/>
      <c r="BH64" s="1251"/>
      <c r="BI64" s="1251"/>
      <c r="BJ64" s="1251"/>
      <c r="BK64" s="1251"/>
      <c r="BL64" s="1251"/>
      <c r="BM64" s="1251"/>
      <c r="BN64" s="1251"/>
      <c r="BO64" s="1251"/>
      <c r="BP64" s="1251"/>
      <c r="BQ64" s="1251"/>
      <c r="BR64" s="1251"/>
      <c r="BS64" s="1251"/>
      <c r="BT64" s="1251"/>
      <c r="BU64" s="1251"/>
      <c r="BV64" s="1251"/>
      <c r="BW64" s="1251"/>
      <c r="BX64" s="1251"/>
      <c r="BY64" s="1251"/>
      <c r="BZ64" s="1251"/>
      <c r="CA64" s="1251"/>
      <c r="CB64" s="1251"/>
      <c r="CC64" s="1251"/>
      <c r="CD64" s="1251"/>
      <c r="CE64" s="1251"/>
      <c r="CF64" s="1251"/>
      <c r="CG64" s="1251"/>
      <c r="CH64" s="1251"/>
      <c r="CI64" s="1251"/>
      <c r="CJ64" s="1251"/>
      <c r="CK64" s="1251"/>
      <c r="CL64" s="1251"/>
      <c r="CM64" s="1251"/>
      <c r="CN64" s="1251"/>
      <c r="CO64" s="1251"/>
      <c r="CP64" s="1251"/>
      <c r="CQ64" s="1251"/>
      <c r="CR64" s="1251"/>
      <c r="CS64" s="1251"/>
      <c r="CT64" s="1251"/>
      <c r="CU64" s="1251"/>
      <c r="CV64" s="1251"/>
      <c r="CW64" s="1251"/>
      <c r="CX64" s="1251"/>
      <c r="CY64" s="1251"/>
      <c r="CZ64" s="1251"/>
      <c r="DA64" s="1251"/>
      <c r="DB64" s="1251"/>
      <c r="DC64" s="1251"/>
      <c r="DD64" s="1251"/>
      <c r="DE64" s="1251"/>
      <c r="DF64" s="1251"/>
      <c r="DG64" s="1251"/>
      <c r="DH64" s="1251"/>
      <c r="DI64" s="1251"/>
      <c r="DJ64" s="1251"/>
      <c r="DK64" s="1251"/>
      <c r="DL64" s="1251"/>
      <c r="DM64" s="1251"/>
      <c r="DN64" s="1251"/>
      <c r="DO64" s="1251"/>
      <c r="DP64" s="1251"/>
      <c r="DQ64" s="1251"/>
      <c r="DR64" s="1251"/>
      <c r="DS64" s="1251"/>
      <c r="DT64" s="1251"/>
      <c r="DU64" s="1251"/>
      <c r="DV64" s="1251"/>
      <c r="DW64" s="1251"/>
      <c r="DX64" s="1251"/>
      <c r="DY64" s="1251"/>
      <c r="DZ64" s="1251"/>
      <c r="EA64" s="1251"/>
      <c r="EB64" s="1251"/>
      <c r="EC64" s="1251"/>
      <c r="ED64" s="1251"/>
      <c r="EE64" s="1251"/>
      <c r="EF64" s="1251"/>
      <c r="EG64" s="1251"/>
      <c r="EH64" s="1251"/>
      <c r="EI64" s="1251"/>
      <c r="EJ64" s="1251"/>
      <c r="EK64" s="1251"/>
      <c r="EL64" s="1251"/>
      <c r="EM64" s="1251"/>
      <c r="EN64" s="1251"/>
      <c r="EO64" s="1251"/>
      <c r="EP64" s="1251"/>
      <c r="EQ64" s="1251"/>
      <c r="ER64" s="1251"/>
      <c r="ES64" s="1251"/>
      <c r="ET64" s="1251"/>
      <c r="EU64" s="1251"/>
      <c r="EV64" s="1251"/>
      <c r="EW64" s="1251"/>
      <c r="EX64" s="1251"/>
      <c r="EY64" s="1251"/>
      <c r="EZ64" s="1251"/>
      <c r="FA64" s="1251"/>
      <c r="FB64" s="1251"/>
      <c r="FC64" s="1251"/>
      <c r="FD64" s="1251"/>
      <c r="FE64" s="1251"/>
      <c r="FF64" s="1251"/>
      <c r="FG64" s="1251"/>
      <c r="FH64" s="1251"/>
      <c r="FI64" s="1251"/>
      <c r="FJ64" s="1251"/>
      <c r="FK64" s="1251"/>
      <c r="FL64" s="1251"/>
      <c r="FM64" s="1251"/>
      <c r="FN64" s="1251"/>
      <c r="FO64" s="1251"/>
      <c r="FP64" s="1251"/>
      <c r="FQ64" s="1251"/>
      <c r="FR64" s="1251"/>
      <c r="FS64" s="1251"/>
      <c r="FT64" s="1251"/>
      <c r="FU64" s="1251"/>
      <c r="FV64" s="1251"/>
      <c r="FW64" s="1251"/>
      <c r="FX64" s="1251"/>
      <c r="FY64" s="1251"/>
      <c r="FZ64" s="1251"/>
      <c r="GA64" s="1251"/>
      <c r="GB64" s="1251"/>
      <c r="GC64" s="1251"/>
      <c r="GD64" s="1251"/>
      <c r="GE64" s="1251"/>
      <c r="GF64" s="1251"/>
      <c r="GG64" s="1251"/>
      <c r="GH64" s="1251"/>
      <c r="GI64" s="1251"/>
      <c r="GJ64" s="1251"/>
      <c r="GK64" s="1251"/>
      <c r="GL64" s="1251"/>
      <c r="GM64" s="1251"/>
      <c r="GN64" s="1251"/>
      <c r="GO64" s="1251"/>
      <c r="GP64" s="1251"/>
      <c r="GQ64" s="1251"/>
      <c r="GR64" s="1251"/>
      <c r="GS64" s="1251"/>
      <c r="GT64" s="1251"/>
      <c r="GU64" s="1251"/>
      <c r="GV64" s="1251"/>
      <c r="GW64" s="1251"/>
      <c r="GX64" s="1251"/>
      <c r="GY64" s="1251"/>
      <c r="GZ64" s="1251"/>
      <c r="HA64" s="1251"/>
      <c r="HB64" s="1251"/>
      <c r="HC64" s="1251"/>
      <c r="HD64" s="1251"/>
      <c r="HE64" s="1251"/>
      <c r="HF64" s="1251"/>
      <c r="HG64" s="1251"/>
      <c r="HH64" s="1251"/>
      <c r="HI64" s="1251"/>
      <c r="HJ64" s="1251"/>
      <c r="HK64" s="1251"/>
      <c r="HL64" s="1251"/>
      <c r="HM64" s="1251"/>
      <c r="HN64" s="1251"/>
      <c r="HO64" s="1251"/>
      <c r="HP64" s="1251"/>
      <c r="HQ64" s="1251"/>
      <c r="HR64" s="1251"/>
      <c r="HS64" s="1251"/>
      <c r="HT64" s="1251"/>
      <c r="HU64" s="1251"/>
      <c r="HV64" s="1251"/>
      <c r="HW64" s="1251"/>
      <c r="HX64" s="1251"/>
      <c r="HY64" s="1251"/>
      <c r="HZ64" s="1251"/>
      <c r="IA64" s="1251"/>
      <c r="IB64" s="1251"/>
      <c r="IC64" s="1251"/>
      <c r="ID64" s="1251"/>
      <c r="IE64" s="1251"/>
      <c r="IF64" s="1251"/>
      <c r="IG64" s="1251"/>
      <c r="IH64" s="1251"/>
      <c r="II64" s="1251"/>
      <c r="IJ64" s="1251"/>
      <c r="IK64" s="1251"/>
      <c r="IL64" s="1251"/>
      <c r="IM64" s="1251"/>
      <c r="IN64" s="1251"/>
      <c r="IO64" s="1251"/>
      <c r="IP64" s="1251"/>
      <c r="IQ64" s="1251"/>
      <c r="IR64" s="1251"/>
      <c r="IS64" s="1251"/>
      <c r="IT64" s="1251"/>
      <c r="IU64" s="1251"/>
      <c r="IV64" s="1251"/>
      <c r="IW64" s="1251"/>
      <c r="IX64" s="1251"/>
      <c r="IY64" s="1251"/>
      <c r="IZ64" s="1251"/>
      <c r="JA64" s="1251"/>
      <c r="JB64" s="1251"/>
      <c r="JC64" s="1251"/>
      <c r="JD64" s="1251"/>
      <c r="JE64" s="1251"/>
      <c r="JF64" s="1251"/>
      <c r="JG64" s="1251"/>
      <c r="JH64" s="1251"/>
      <c r="JI64" s="1251"/>
      <c r="JJ64" s="1251"/>
      <c r="JK64" s="1251"/>
      <c r="JL64" s="1251"/>
      <c r="JM64" s="1251"/>
      <c r="JN64" s="1251"/>
      <c r="JO64" s="1251"/>
      <c r="JP64" s="1251"/>
      <c r="JQ64" s="1251"/>
      <c r="JR64" s="1251"/>
      <c r="JS64" s="1251"/>
      <c r="JT64" s="1251"/>
      <c r="JU64" s="1251"/>
      <c r="JV64" s="1251"/>
      <c r="JW64" s="1251"/>
      <c r="JX64" s="1251"/>
      <c r="JY64" s="1251"/>
      <c r="JZ64" s="1251"/>
      <c r="KA64" s="1251"/>
      <c r="KB64" s="1251"/>
      <c r="KC64" s="1251"/>
      <c r="KD64" s="1251"/>
      <c r="KE64" s="1251"/>
      <c r="KF64" s="1251"/>
      <c r="KG64" s="1251"/>
      <c r="KH64" s="1251"/>
      <c r="KI64" s="1251"/>
      <c r="KJ64" s="1251"/>
      <c r="KK64" s="1251"/>
      <c r="KL64" s="1251"/>
      <c r="KM64" s="1251"/>
      <c r="KN64" s="1251"/>
      <c r="KO64" s="1251"/>
      <c r="KP64" s="1251"/>
      <c r="KQ64" s="1251"/>
      <c r="KR64" s="1251"/>
      <c r="KS64" s="1251"/>
      <c r="KT64" s="1251"/>
      <c r="KU64" s="1251"/>
      <c r="KV64" s="1251"/>
      <c r="KW64" s="1251"/>
      <c r="KX64" s="1251"/>
      <c r="KY64" s="1251"/>
      <c r="KZ64" s="1251"/>
      <c r="LA64" s="1251"/>
      <c r="LB64" s="1251"/>
      <c r="LC64" s="1251"/>
      <c r="LD64" s="1251"/>
      <c r="LE64" s="1251"/>
      <c r="LF64" s="1251"/>
      <c r="LG64" s="1251"/>
      <c r="LH64" s="1251"/>
      <c r="LI64" s="1251"/>
      <c r="LJ64" s="1251"/>
      <c r="LK64" s="1251"/>
      <c r="LL64" s="1251"/>
      <c r="LM64" s="1251"/>
      <c r="LN64" s="1251"/>
      <c r="LO64" s="1251"/>
      <c r="LP64" s="1251"/>
      <c r="LQ64" s="1251"/>
      <c r="LR64" s="1251"/>
      <c r="LS64" s="1251"/>
      <c r="LT64" s="1251"/>
      <c r="LU64" s="1251"/>
      <c r="LV64" s="1251"/>
      <c r="LW64" s="1251"/>
      <c r="LX64" s="1251"/>
      <c r="LY64" s="1251"/>
      <c r="LZ64" s="1251"/>
      <c r="MA64" s="1251"/>
      <c r="MB64" s="1251"/>
      <c r="MC64" s="1251"/>
      <c r="MD64" s="1251"/>
      <c r="ME64" s="1251"/>
      <c r="MF64" s="1251"/>
      <c r="MG64" s="1251"/>
      <c r="MH64" s="1251"/>
      <c r="MI64" s="1251"/>
      <c r="MJ64" s="1251"/>
      <c r="MK64" s="1251"/>
      <c r="ML64" s="1251"/>
      <c r="MM64" s="1251"/>
      <c r="MN64" s="1251"/>
      <c r="MO64" s="1251"/>
      <c r="MP64" s="1251"/>
      <c r="MQ64" s="1251"/>
      <c r="MR64" s="1251"/>
      <c r="MS64" s="1251"/>
      <c r="MT64" s="1251"/>
      <c r="MU64" s="1251"/>
      <c r="MV64" s="1251"/>
      <c r="MW64" s="1251"/>
      <c r="MX64" s="1251"/>
      <c r="MY64" s="1251"/>
      <c r="MZ64" s="1251"/>
      <c r="NA64" s="1251"/>
      <c r="NB64" s="1251"/>
      <c r="NC64" s="1251"/>
      <c r="ND64" s="1251"/>
      <c r="NE64" s="1251"/>
      <c r="NF64" s="1251"/>
      <c r="NG64" s="1251"/>
      <c r="NH64" s="1251"/>
      <c r="NI64" s="1251"/>
      <c r="NJ64" s="1251"/>
      <c r="NK64" s="1251"/>
      <c r="NL64" s="1251"/>
      <c r="NM64" s="1251"/>
      <c r="NN64" s="1251"/>
      <c r="NO64" s="1251"/>
      <c r="NP64" s="1251"/>
      <c r="NQ64" s="1251"/>
      <c r="NR64" s="1251"/>
      <c r="NS64" s="1251"/>
      <c r="NT64" s="1251"/>
      <c r="NU64" s="1251"/>
      <c r="NV64" s="1251"/>
      <c r="NW64" s="1251"/>
      <c r="NX64" s="1251"/>
      <c r="NY64" s="1251"/>
      <c r="NZ64" s="1251"/>
      <c r="OA64" s="1251"/>
      <c r="OB64" s="1251"/>
      <c r="OC64" s="1251"/>
      <c r="OD64" s="1251"/>
      <c r="OE64" s="1251"/>
      <c r="OF64" s="1251"/>
      <c r="OG64" s="1251"/>
      <c r="OH64" s="1251"/>
      <c r="OI64" s="1251"/>
      <c r="OJ64" s="1251"/>
      <c r="OK64" s="1251"/>
      <c r="OL64" s="1251"/>
      <c r="OM64" s="1251"/>
      <c r="ON64" s="1251"/>
      <c r="OO64" s="1251"/>
      <c r="OP64" s="1251"/>
      <c r="OQ64" s="1251"/>
      <c r="OR64" s="1251"/>
      <c r="OS64" s="1251"/>
      <c r="OT64" s="1251"/>
      <c r="OU64" s="1251"/>
      <c r="OV64" s="1251"/>
      <c r="OW64" s="1251"/>
      <c r="OX64" s="1251"/>
      <c r="OY64" s="1251"/>
      <c r="OZ64" s="1251"/>
      <c r="PA64" s="1251"/>
      <c r="PB64" s="1251"/>
      <c r="PC64" s="1251"/>
      <c r="PD64" s="1251"/>
      <c r="PE64" s="1251"/>
      <c r="PF64" s="1251"/>
      <c r="PG64" s="1251"/>
      <c r="PH64" s="1251"/>
      <c r="PI64" s="1251"/>
      <c r="PJ64" s="1251"/>
      <c r="PK64" s="1251"/>
      <c r="PL64" s="1251"/>
      <c r="PM64" s="1251"/>
      <c r="PN64" s="1251"/>
      <c r="PO64" s="1251"/>
      <c r="PP64" s="1251"/>
      <c r="PQ64" s="1251"/>
      <c r="PR64" s="1251"/>
      <c r="PS64" s="1251"/>
      <c r="PT64" s="1251"/>
      <c r="PU64" s="1251"/>
      <c r="PV64" s="1251"/>
      <c r="PW64" s="1251"/>
      <c r="PX64" s="1251"/>
      <c r="PY64" s="1251"/>
      <c r="PZ64" s="1251"/>
      <c r="QA64" s="1251"/>
      <c r="QB64" s="1251"/>
      <c r="QC64" s="1251"/>
      <c r="QD64" s="1251"/>
      <c r="QE64" s="1251"/>
      <c r="QF64" s="1251"/>
      <c r="QG64" s="1251"/>
      <c r="QH64" s="1251"/>
      <c r="QI64" s="1251"/>
      <c r="QJ64" s="1251"/>
      <c r="QK64" s="1251"/>
      <c r="QL64" s="1251"/>
      <c r="QM64" s="1251"/>
      <c r="QN64" s="1251"/>
      <c r="QO64" s="1251"/>
      <c r="QP64" s="1251"/>
      <c r="QQ64" s="1251"/>
      <c r="QR64" s="1251"/>
      <c r="QS64" s="1251"/>
      <c r="QT64" s="1251"/>
      <c r="QU64" s="1251"/>
      <c r="QV64" s="1251"/>
      <c r="QW64" s="1251"/>
      <c r="QX64" s="1251"/>
      <c r="QY64" s="1251"/>
      <c r="QZ64" s="1251"/>
      <c r="RA64" s="1251"/>
      <c r="RB64" s="1251"/>
      <c r="RC64" s="1251"/>
      <c r="RD64" s="1251"/>
      <c r="RE64" s="1251"/>
      <c r="RF64" s="1251"/>
      <c r="RG64" s="1251"/>
      <c r="RH64" s="1251"/>
      <c r="RI64" s="1251"/>
      <c r="RJ64" s="1251"/>
      <c r="RK64" s="1251"/>
      <c r="RL64" s="1251"/>
      <c r="RM64" s="1251"/>
      <c r="RN64" s="1251"/>
      <c r="RO64" s="1251"/>
      <c r="RP64" s="1251"/>
      <c r="RQ64" s="1251"/>
      <c r="RR64" s="1251"/>
      <c r="RS64" s="1251"/>
      <c r="RT64" s="1251"/>
      <c r="RU64" s="1251"/>
      <c r="RV64" s="1251"/>
      <c r="RW64" s="1251"/>
      <c r="RX64" s="1251"/>
      <c r="RY64" s="1251"/>
      <c r="RZ64" s="1251"/>
      <c r="SA64" s="1251"/>
      <c r="SB64" s="1251"/>
      <c r="SC64" s="1251"/>
      <c r="SD64" s="1251"/>
      <c r="SE64" s="1251"/>
      <c r="SF64" s="1251"/>
      <c r="SG64" s="1251"/>
      <c r="SH64" s="1251"/>
      <c r="SI64" s="1251"/>
      <c r="SJ64" s="1251"/>
      <c r="SK64" s="1251"/>
      <c r="SL64" s="1251"/>
      <c r="SM64" s="1251"/>
      <c r="SN64" s="1251"/>
      <c r="SO64" s="1251"/>
      <c r="SP64" s="1251"/>
      <c r="SQ64" s="1251"/>
      <c r="SR64" s="1251"/>
      <c r="SS64" s="1251"/>
      <c r="ST64" s="1251"/>
      <c r="SU64" s="1251"/>
      <c r="SV64" s="1251"/>
      <c r="SW64" s="1251"/>
      <c r="SX64" s="1251"/>
      <c r="SY64" s="1251"/>
      <c r="SZ64" s="1251"/>
      <c r="TA64" s="1251"/>
      <c r="TB64" s="1251"/>
      <c r="TC64" s="1251"/>
      <c r="TD64" s="1251"/>
      <c r="TE64" s="1251"/>
      <c r="TF64" s="1251"/>
      <c r="TG64" s="1251"/>
      <c r="TH64" s="1251"/>
      <c r="TI64" s="1251"/>
      <c r="TJ64" s="1251"/>
      <c r="TK64" s="1251"/>
      <c r="TL64" s="1251"/>
      <c r="TM64" s="1251"/>
      <c r="TN64" s="1251"/>
      <c r="TO64" s="1251"/>
      <c r="TP64" s="1251"/>
      <c r="TQ64" s="1251"/>
      <c r="TR64" s="1251"/>
      <c r="TS64" s="1251"/>
      <c r="TT64" s="1251"/>
      <c r="TU64" s="1251"/>
      <c r="TV64" s="1251"/>
      <c r="TW64" s="1251"/>
      <c r="TX64" s="1251"/>
      <c r="TY64" s="1251"/>
      <c r="TZ64" s="1251"/>
      <c r="UA64" s="1251"/>
      <c r="UB64" s="1251"/>
      <c r="UC64" s="1251"/>
      <c r="UD64" s="1251"/>
      <c r="UE64" s="1251"/>
      <c r="UF64" s="1251"/>
      <c r="UG64" s="1251"/>
      <c r="UH64" s="1251"/>
      <c r="UI64" s="1251"/>
      <c r="UJ64" s="1251"/>
      <c r="UK64" s="1251"/>
      <c r="UL64" s="1251"/>
      <c r="UM64" s="1251"/>
      <c r="UN64" s="1251"/>
      <c r="UO64" s="1251"/>
      <c r="UP64" s="1251"/>
      <c r="UQ64" s="1251"/>
      <c r="UR64" s="1251"/>
      <c r="US64" s="1251"/>
      <c r="UT64" s="1251"/>
      <c r="UU64" s="1251"/>
      <c r="UV64" s="1251"/>
      <c r="UW64" s="1251"/>
      <c r="UX64" s="1251"/>
      <c r="UY64" s="1251"/>
      <c r="UZ64" s="1251"/>
      <c r="VA64" s="1251"/>
      <c r="VB64" s="1251"/>
      <c r="VC64" s="1251"/>
      <c r="VD64" s="1251"/>
      <c r="VE64" s="1251"/>
      <c r="VF64" s="1251"/>
      <c r="VG64" s="1251"/>
      <c r="VH64" s="1251"/>
      <c r="VI64" s="1251"/>
      <c r="VJ64" s="1251"/>
      <c r="VK64" s="1251"/>
      <c r="VL64" s="1251"/>
      <c r="VM64" s="1251"/>
      <c r="VN64" s="1251"/>
      <c r="VO64" s="1251"/>
      <c r="VP64" s="1251"/>
      <c r="VQ64" s="1251"/>
      <c r="VR64" s="1251"/>
      <c r="VS64" s="1251"/>
      <c r="VT64" s="1251"/>
      <c r="VU64" s="1251"/>
      <c r="VV64" s="1251"/>
      <c r="VW64" s="1251"/>
      <c r="VX64" s="1251"/>
      <c r="VY64" s="1251"/>
      <c r="VZ64" s="1251"/>
      <c r="WA64" s="1251"/>
      <c r="WB64" s="1251"/>
      <c r="WC64" s="1251"/>
      <c r="WD64" s="1251"/>
      <c r="WE64" s="1251"/>
      <c r="WF64" s="1251"/>
      <c r="WG64" s="1251"/>
      <c r="WH64" s="1251"/>
      <c r="WI64" s="1251"/>
      <c r="WJ64" s="1251"/>
      <c r="WK64" s="1251"/>
      <c r="WL64" s="1251"/>
      <c r="WM64" s="1251"/>
      <c r="WN64" s="1251"/>
      <c r="WO64" s="1251"/>
      <c r="WP64" s="1251"/>
      <c r="WQ64" s="1251"/>
      <c r="WR64" s="1251"/>
      <c r="WS64" s="1251"/>
      <c r="WT64" s="1251"/>
      <c r="WU64" s="1251"/>
      <c r="WV64" s="1251"/>
      <c r="WW64" s="1251"/>
      <c r="WX64" s="1251"/>
      <c r="WY64" s="1251"/>
      <c r="WZ64" s="1251"/>
      <c r="XA64" s="1251"/>
      <c r="XB64" s="1251"/>
      <c r="XC64" s="1251"/>
      <c r="XD64" s="1251"/>
      <c r="XE64" s="1251"/>
      <c r="XF64" s="1251"/>
      <c r="XG64" s="1251"/>
      <c r="XH64" s="1251"/>
      <c r="XI64" s="1251"/>
      <c r="XJ64" s="1251"/>
      <c r="XK64" s="1251"/>
      <c r="XL64" s="1251"/>
      <c r="XM64" s="1251"/>
      <c r="XN64" s="1251"/>
      <c r="XO64" s="1251"/>
      <c r="XP64" s="1251"/>
      <c r="XQ64" s="1251"/>
      <c r="XR64" s="1251"/>
      <c r="XS64" s="1251"/>
      <c r="XT64" s="1251"/>
      <c r="XU64" s="1251"/>
      <c r="XV64" s="1251"/>
      <c r="XW64" s="1251"/>
      <c r="XX64" s="1251"/>
      <c r="XY64" s="1251"/>
      <c r="XZ64" s="1251"/>
      <c r="YA64" s="1251"/>
      <c r="YB64" s="1251"/>
      <c r="YC64" s="1251"/>
      <c r="YD64" s="1251"/>
      <c r="YE64" s="1251"/>
      <c r="YF64" s="1251"/>
      <c r="YG64" s="1251"/>
      <c r="YH64" s="1251"/>
      <c r="YI64" s="1251"/>
      <c r="YJ64" s="1251"/>
      <c r="YK64" s="1251"/>
      <c r="YL64" s="1251"/>
      <c r="YM64" s="1251"/>
      <c r="YN64" s="1251"/>
      <c r="YO64" s="1251"/>
      <c r="YP64" s="1251"/>
      <c r="YQ64" s="1251"/>
      <c r="YR64" s="1251"/>
      <c r="YS64" s="1251"/>
      <c r="YT64" s="1251"/>
      <c r="YU64" s="1251"/>
      <c r="YV64" s="1251"/>
      <c r="YW64" s="1251"/>
      <c r="YX64" s="1251"/>
      <c r="YY64" s="1251"/>
      <c r="YZ64" s="1251"/>
      <c r="ZA64" s="1251"/>
      <c r="ZB64" s="1251"/>
      <c r="ZC64" s="1251"/>
      <c r="ZD64" s="1251"/>
      <c r="ZE64" s="1251"/>
      <c r="ZF64" s="1251"/>
      <c r="ZG64" s="1251"/>
      <c r="ZH64" s="1251"/>
      <c r="ZI64" s="1251"/>
      <c r="ZJ64" s="1251"/>
      <c r="ZK64" s="1251"/>
      <c r="ZL64" s="1251"/>
      <c r="ZM64" s="1251"/>
      <c r="ZN64" s="1251"/>
      <c r="ZO64" s="1251"/>
      <c r="ZP64" s="1251"/>
      <c r="ZQ64" s="1251"/>
      <c r="ZR64" s="1251"/>
      <c r="ZS64" s="1251"/>
      <c r="ZT64" s="1251"/>
      <c r="ZU64" s="1251"/>
      <c r="ZV64" s="1251"/>
      <c r="ZW64" s="1251"/>
      <c r="ZX64" s="1251"/>
      <c r="ZY64" s="1251"/>
      <c r="ZZ64" s="1251"/>
      <c r="AAA64" s="1251"/>
      <c r="AAB64" s="1251"/>
      <c r="AAC64" s="1251"/>
      <c r="AAD64" s="1251"/>
      <c r="AAE64" s="1251"/>
      <c r="AAF64" s="1251"/>
      <c r="AAG64" s="1251"/>
      <c r="AAH64" s="1251"/>
      <c r="AAI64" s="1251"/>
      <c r="AAJ64" s="1251"/>
      <c r="AAK64" s="1251"/>
      <c r="AAL64" s="1251"/>
      <c r="AAM64" s="1251"/>
      <c r="AAN64" s="1251"/>
      <c r="AAO64" s="1251"/>
      <c r="AAP64" s="1251"/>
      <c r="AAQ64" s="1251"/>
      <c r="AAR64" s="1251"/>
      <c r="AAS64" s="1251"/>
      <c r="AAT64" s="1251"/>
      <c r="AAU64" s="1251"/>
      <c r="AAV64" s="1251"/>
      <c r="AAW64" s="1251"/>
      <c r="AAX64" s="1251"/>
      <c r="AAY64" s="1251"/>
      <c r="AAZ64" s="1251"/>
      <c r="ABA64" s="1251"/>
      <c r="ABB64" s="1251"/>
      <c r="ABC64" s="1251"/>
      <c r="ABD64" s="1251"/>
      <c r="ABE64" s="1251"/>
      <c r="ABF64" s="1251"/>
      <c r="ABG64" s="1251"/>
      <c r="ABH64" s="1251"/>
      <c r="ABI64" s="1251"/>
      <c r="ABJ64" s="1251"/>
      <c r="ABK64" s="1251"/>
      <c r="ABL64" s="1251"/>
      <c r="ABM64" s="1251"/>
      <c r="ABN64" s="1251"/>
      <c r="ABO64" s="1251"/>
      <c r="ABP64" s="1251"/>
      <c r="ABQ64" s="1251"/>
      <c r="ABR64" s="1251"/>
      <c r="ABS64" s="1251"/>
      <c r="ABT64" s="1251"/>
      <c r="ABU64" s="1251"/>
      <c r="ABV64" s="1251"/>
      <c r="ABW64" s="1251"/>
      <c r="ABX64" s="1251"/>
      <c r="ABY64" s="1251"/>
      <c r="ABZ64" s="1251"/>
      <c r="ACA64" s="1251"/>
      <c r="ACB64" s="1251"/>
      <c r="ACC64" s="1251"/>
      <c r="ACD64" s="1251"/>
      <c r="ACE64" s="1251"/>
      <c r="ACF64" s="1251"/>
      <c r="ACG64" s="1251"/>
      <c r="ACH64" s="1251"/>
      <c r="ACI64" s="1251"/>
      <c r="ACJ64" s="1251"/>
      <c r="ACK64" s="1251"/>
      <c r="ACL64" s="1251"/>
      <c r="ACM64" s="1251"/>
      <c r="ACN64" s="1251"/>
      <c r="ACO64" s="1251"/>
      <c r="ACP64" s="1251"/>
      <c r="ACQ64" s="1251"/>
      <c r="ACR64" s="1251"/>
      <c r="ACS64" s="1251"/>
      <c r="ACT64" s="1251"/>
      <c r="ACU64" s="1251"/>
      <c r="ACV64" s="1251"/>
      <c r="ACW64" s="1251"/>
      <c r="ACX64" s="1251"/>
      <c r="ACY64" s="1251"/>
      <c r="ACZ64" s="1251"/>
      <c r="ADA64" s="1251"/>
      <c r="ADB64" s="1251"/>
      <c r="ADC64" s="1251"/>
      <c r="ADD64" s="1251"/>
      <c r="ADE64" s="1251"/>
      <c r="ADF64" s="1251"/>
      <c r="ADG64" s="1251"/>
      <c r="ADH64" s="1251"/>
      <c r="ADI64" s="1251"/>
      <c r="ADJ64" s="1251"/>
      <c r="ADK64" s="1251"/>
      <c r="ADL64" s="1251"/>
      <c r="ADM64" s="1251"/>
      <c r="ADN64" s="1251"/>
      <c r="ADO64" s="1251"/>
      <c r="ADP64" s="1251"/>
      <c r="ADQ64" s="1251"/>
      <c r="ADR64" s="1251"/>
      <c r="ADS64" s="1251"/>
      <c r="ADT64" s="1251"/>
      <c r="ADU64" s="1251"/>
      <c r="ADV64" s="1251"/>
      <c r="ADW64" s="1251"/>
      <c r="ADX64" s="1251"/>
      <c r="ADY64" s="1251"/>
      <c r="ADZ64" s="1251"/>
      <c r="AEA64" s="1251"/>
      <c r="AEB64" s="1251"/>
      <c r="AEC64" s="1251"/>
      <c r="AED64" s="1251"/>
      <c r="AEE64" s="1251"/>
      <c r="AEF64" s="1251"/>
      <c r="AEG64" s="1251"/>
      <c r="AEH64" s="1251"/>
      <c r="AEI64" s="1251"/>
      <c r="AEJ64" s="1251"/>
      <c r="AEK64" s="1251"/>
      <c r="AEL64" s="1251"/>
      <c r="AEM64" s="1251"/>
      <c r="AEN64" s="1251"/>
      <c r="AEO64" s="1251"/>
      <c r="AEP64" s="1251"/>
      <c r="AEQ64" s="1251"/>
      <c r="AER64" s="1251"/>
      <c r="AES64" s="1251"/>
      <c r="AET64" s="1251"/>
      <c r="AEU64" s="1251"/>
      <c r="AEV64" s="1251"/>
      <c r="AEW64" s="1251"/>
      <c r="AEX64" s="1251"/>
      <c r="AEY64" s="1251"/>
      <c r="AEZ64" s="1251"/>
      <c r="AFA64" s="1251"/>
      <c r="AFB64" s="1251"/>
      <c r="AFC64" s="1251"/>
      <c r="AFD64" s="1251"/>
      <c r="AFE64" s="1251"/>
      <c r="AFF64" s="1251"/>
      <c r="AFG64" s="1251"/>
      <c r="AFH64" s="1251"/>
      <c r="AFI64" s="1251"/>
      <c r="AFJ64" s="1251"/>
      <c r="AFK64" s="1251"/>
      <c r="AFL64" s="1251"/>
      <c r="AFM64" s="1251"/>
      <c r="AFN64" s="1251"/>
      <c r="AFO64" s="1251"/>
      <c r="AFP64" s="1251"/>
      <c r="AFQ64" s="1251"/>
      <c r="AFR64" s="1251"/>
      <c r="AFS64" s="1251"/>
      <c r="AFT64" s="1251"/>
      <c r="AFU64" s="1251"/>
      <c r="AFV64" s="1251"/>
      <c r="AFW64" s="1251"/>
      <c r="AFX64" s="1251"/>
      <c r="AFY64" s="1251"/>
      <c r="AFZ64" s="1251"/>
      <c r="AGA64" s="1251"/>
      <c r="AGB64" s="1251"/>
      <c r="AGC64" s="1251"/>
      <c r="AGD64" s="1251"/>
      <c r="AGE64" s="1251"/>
      <c r="AGF64" s="1251"/>
      <c r="AGG64" s="1251"/>
      <c r="AGH64" s="1251"/>
      <c r="AGI64" s="1251"/>
      <c r="AGJ64" s="1251"/>
      <c r="AGK64" s="1251"/>
      <c r="AGL64" s="1251"/>
      <c r="AGM64" s="1251"/>
      <c r="AGN64" s="1251"/>
      <c r="AGO64" s="1251"/>
      <c r="AGP64" s="1251"/>
      <c r="AGQ64" s="1251"/>
      <c r="AGR64" s="1251"/>
      <c r="AGS64" s="1251"/>
      <c r="AGT64" s="1251"/>
      <c r="AGU64" s="1251"/>
      <c r="AGV64" s="1251"/>
      <c r="AGW64" s="1251"/>
      <c r="AGX64" s="1251"/>
      <c r="AGY64" s="1251"/>
      <c r="AGZ64" s="1251"/>
      <c r="AHA64" s="1251"/>
      <c r="AHB64" s="1251"/>
      <c r="AHC64" s="1251"/>
      <c r="AHD64" s="1251"/>
      <c r="AHE64" s="1251"/>
      <c r="AHF64" s="1251"/>
      <c r="AHG64" s="1251"/>
      <c r="AHH64" s="1251"/>
      <c r="AHI64" s="1251"/>
      <c r="AHJ64" s="1251"/>
      <c r="AHK64" s="1251"/>
      <c r="AHL64" s="1251"/>
      <c r="AHM64" s="1251"/>
      <c r="AHN64" s="1251"/>
      <c r="AHO64" s="1251"/>
      <c r="AHP64" s="1251"/>
      <c r="AHQ64" s="1251"/>
      <c r="AHR64" s="1251"/>
      <c r="AHS64" s="1251"/>
      <c r="AHT64" s="1251"/>
      <c r="AHU64" s="1251"/>
      <c r="AHV64" s="1251"/>
      <c r="AHW64" s="1251"/>
      <c r="AHX64" s="1251"/>
      <c r="AHY64" s="1251"/>
      <c r="AHZ64" s="1251"/>
      <c r="AIA64" s="1251"/>
      <c r="AIB64" s="1251"/>
      <c r="AIC64" s="1251"/>
      <c r="AID64" s="1251"/>
      <c r="AIE64" s="1251"/>
      <c r="AIF64" s="1251"/>
      <c r="AIG64" s="1251"/>
      <c r="AIH64" s="1251"/>
      <c r="AII64" s="1251"/>
      <c r="AIJ64" s="1251"/>
      <c r="AIK64" s="1251"/>
      <c r="AIL64" s="1251"/>
      <c r="AIM64" s="1251"/>
      <c r="AIN64" s="1251"/>
      <c r="AIO64" s="1251"/>
      <c r="AIP64" s="1251"/>
      <c r="AIQ64" s="1251"/>
      <c r="AIR64" s="1251"/>
      <c r="AIS64" s="1251"/>
      <c r="AIT64" s="1251"/>
      <c r="AIU64" s="1251"/>
      <c r="AIV64" s="1251"/>
      <c r="AIW64" s="1251"/>
      <c r="AIX64" s="1251"/>
      <c r="AIY64" s="1251"/>
      <c r="AIZ64" s="1251"/>
      <c r="AJA64" s="1251"/>
      <c r="AJB64" s="1251"/>
      <c r="AJC64" s="1251"/>
      <c r="AJD64" s="1251"/>
      <c r="AJE64" s="1251"/>
      <c r="AJF64" s="1251"/>
      <c r="AJG64" s="1251"/>
      <c r="AJH64" s="1251"/>
      <c r="AJI64" s="1251"/>
      <c r="AJJ64" s="1251"/>
      <c r="AJK64" s="1251"/>
      <c r="AJL64" s="1251"/>
      <c r="AJM64" s="1251"/>
      <c r="AJN64" s="1251"/>
      <c r="AJO64" s="1251"/>
      <c r="AJP64" s="1251"/>
      <c r="AJQ64" s="1251"/>
      <c r="AJR64" s="1251"/>
      <c r="AJS64" s="1251"/>
      <c r="AJT64" s="1251"/>
      <c r="AJU64" s="1251"/>
      <c r="AJV64" s="1251"/>
      <c r="AJW64" s="1251"/>
      <c r="AJX64" s="1251"/>
      <c r="AJY64" s="1251"/>
      <c r="AJZ64" s="1251"/>
      <c r="AKA64" s="1251"/>
      <c r="AKB64" s="1251"/>
      <c r="AKC64" s="1251"/>
      <c r="AKD64" s="1251"/>
      <c r="AKE64" s="1251"/>
      <c r="AKF64" s="1251"/>
      <c r="AKG64" s="1251"/>
      <c r="AKH64" s="1251"/>
      <c r="AKI64" s="1251"/>
      <c r="AKJ64" s="1251"/>
      <c r="AKK64" s="1251"/>
      <c r="AKL64" s="1251"/>
      <c r="AKM64" s="1251"/>
      <c r="AKN64" s="1251"/>
      <c r="AKO64" s="1251"/>
      <c r="AKP64" s="1251"/>
      <c r="AKQ64" s="1251"/>
      <c r="AKR64" s="1251"/>
      <c r="AKS64" s="1251"/>
      <c r="AKT64" s="1251"/>
      <c r="AKU64" s="1251"/>
      <c r="AKV64" s="1251"/>
      <c r="AKW64" s="1251"/>
      <c r="AKX64" s="1251"/>
      <c r="AKY64" s="1251"/>
      <c r="AKZ64" s="1251"/>
      <c r="ALA64" s="1251"/>
      <c r="ALB64" s="1251"/>
      <c r="ALC64" s="1251"/>
      <c r="ALD64" s="1251"/>
      <c r="ALE64" s="1251"/>
      <c r="ALF64" s="1251"/>
      <c r="ALG64" s="1251"/>
      <c r="ALH64" s="1251"/>
      <c r="ALI64" s="1251"/>
      <c r="ALJ64" s="1251"/>
      <c r="ALK64" s="1251"/>
      <c r="ALL64" s="1251"/>
      <c r="ALM64" s="1251"/>
      <c r="ALN64" s="1251"/>
      <c r="ALO64" s="1251"/>
      <c r="ALP64" s="1251"/>
      <c r="ALQ64" s="1251"/>
      <c r="ALR64" s="1251"/>
      <c r="ALS64" s="1251"/>
      <c r="ALT64" s="1251"/>
      <c r="ALU64" s="1251"/>
      <c r="ALV64" s="1251"/>
      <c r="ALW64" s="1251"/>
      <c r="ALX64" s="1251"/>
      <c r="ALY64" s="1251"/>
      <c r="ALZ64" s="1251"/>
      <c r="AMA64" s="1251"/>
      <c r="AMB64" s="1251"/>
      <c r="AMC64" s="1251"/>
      <c r="AMD64" s="1251"/>
      <c r="AME64" s="1251"/>
      <c r="AMF64" s="1251"/>
      <c r="AMG64" s="1251"/>
      <c r="AMH64" s="1251"/>
      <c r="AMI64" s="1251"/>
      <c r="AMJ64" s="1251"/>
      <c r="AMK64" s="1251"/>
      <c r="AML64" s="1251"/>
      <c r="AMM64" s="1251"/>
      <c r="AMN64" s="1251"/>
      <c r="AMO64" s="1251"/>
      <c r="AMP64" s="1251"/>
      <c r="AMQ64" s="1251"/>
      <c r="AMR64" s="1251"/>
      <c r="AMS64" s="1251"/>
      <c r="AMT64" s="1251"/>
      <c r="AMU64" s="1251"/>
      <c r="AMV64" s="1251"/>
      <c r="AMW64" s="1251"/>
      <c r="AMX64" s="1251"/>
      <c r="AMY64" s="1251"/>
      <c r="AMZ64" s="1251"/>
      <c r="ANA64" s="1251"/>
      <c r="ANB64" s="1251"/>
      <c r="ANC64" s="1251"/>
      <c r="AND64" s="1251"/>
      <c r="ANE64" s="1251"/>
      <c r="ANF64" s="1251"/>
      <c r="ANG64" s="1251"/>
      <c r="ANH64" s="1251"/>
      <c r="ANI64" s="1251"/>
      <c r="ANJ64" s="1251"/>
      <c r="ANK64" s="1251"/>
      <c r="ANL64" s="1251"/>
      <c r="ANM64" s="1251"/>
      <c r="ANN64" s="1251"/>
      <c r="ANO64" s="1251"/>
      <c r="ANP64" s="1251"/>
      <c r="ANQ64" s="1251"/>
      <c r="ANR64" s="1251"/>
      <c r="ANS64" s="1251"/>
      <c r="ANT64" s="1251"/>
      <c r="ANU64" s="1251"/>
      <c r="ANV64" s="1251"/>
      <c r="ANW64" s="1251"/>
      <c r="ANX64" s="1251"/>
      <c r="ANY64" s="1251"/>
      <c r="ANZ64" s="1251"/>
      <c r="AOA64" s="1251"/>
      <c r="AOB64" s="1251"/>
      <c r="AOC64" s="1251"/>
      <c r="AOD64" s="1251"/>
      <c r="AOE64" s="1251"/>
      <c r="AOF64" s="1251"/>
      <c r="AOG64" s="1251"/>
      <c r="AOH64" s="1251"/>
      <c r="AOI64" s="1251"/>
      <c r="AOJ64" s="1251"/>
      <c r="AOK64" s="1251"/>
      <c r="AOL64" s="1251"/>
      <c r="AOM64" s="1251"/>
      <c r="AON64" s="1251"/>
      <c r="AOO64" s="1251"/>
      <c r="AOP64" s="1251"/>
      <c r="AOQ64" s="1251"/>
      <c r="AOR64" s="1251"/>
      <c r="AOS64" s="1251"/>
      <c r="AOT64" s="1251"/>
      <c r="AOU64" s="1251"/>
      <c r="AOV64" s="1251"/>
      <c r="AOW64" s="1251"/>
      <c r="AOX64" s="1251"/>
      <c r="AOY64" s="1251"/>
      <c r="AOZ64" s="1251"/>
      <c r="APA64" s="1251"/>
      <c r="APB64" s="1251"/>
      <c r="APC64" s="1251"/>
      <c r="APD64" s="1251"/>
      <c r="APE64" s="1251"/>
      <c r="APF64" s="1251"/>
      <c r="APG64" s="1251"/>
      <c r="APH64" s="1251"/>
      <c r="API64" s="1251"/>
      <c r="APJ64" s="1251"/>
      <c r="APK64" s="1251"/>
      <c r="APL64" s="1251"/>
      <c r="APM64" s="1251"/>
      <c r="APN64" s="1251"/>
      <c r="APO64" s="1251"/>
      <c r="APP64" s="1251"/>
      <c r="APQ64" s="1251"/>
      <c r="APR64" s="1251"/>
      <c r="APS64" s="1251"/>
      <c r="APT64" s="1251"/>
      <c r="APU64" s="1251"/>
      <c r="APV64" s="1251"/>
      <c r="APW64" s="1251"/>
      <c r="APX64" s="1251"/>
      <c r="APY64" s="1251"/>
      <c r="APZ64" s="1251"/>
      <c r="AQA64" s="1251"/>
      <c r="AQB64" s="1251"/>
      <c r="AQC64" s="1251"/>
      <c r="AQD64" s="1251"/>
      <c r="AQE64" s="1251"/>
      <c r="AQF64" s="1251"/>
      <c r="AQG64" s="1251"/>
      <c r="AQH64" s="1251"/>
      <c r="AQI64" s="1251"/>
      <c r="AQJ64" s="1251"/>
      <c r="AQK64" s="1251"/>
      <c r="AQL64" s="1251"/>
      <c r="AQM64" s="1251"/>
      <c r="AQN64" s="1251"/>
      <c r="AQO64" s="1251"/>
      <c r="AQP64" s="1251"/>
      <c r="AQQ64" s="1251"/>
      <c r="AQR64" s="1251"/>
      <c r="AQS64" s="1251"/>
      <c r="AQT64" s="1251"/>
      <c r="AQU64" s="1251"/>
      <c r="AQV64" s="1251"/>
      <c r="AQW64" s="1251"/>
      <c r="AQX64" s="1251"/>
      <c r="AQY64" s="1251"/>
      <c r="AQZ64" s="1251"/>
      <c r="ARA64" s="1251"/>
      <c r="ARB64" s="1251"/>
      <c r="ARC64" s="1251"/>
      <c r="ARD64" s="1251"/>
      <c r="ARE64" s="1251"/>
      <c r="ARF64" s="1251"/>
      <c r="ARG64" s="1251"/>
      <c r="ARH64" s="1251"/>
      <c r="ARI64" s="1251"/>
      <c r="ARJ64" s="1251"/>
      <c r="ARK64" s="1251"/>
      <c r="ARL64" s="1251"/>
      <c r="ARM64" s="1251"/>
      <c r="ARN64" s="1251"/>
      <c r="ARO64" s="1251"/>
      <c r="ARP64" s="1251"/>
      <c r="ARQ64" s="1251"/>
      <c r="ARR64" s="1251"/>
      <c r="ARS64" s="1251"/>
      <c r="ART64" s="1251"/>
      <c r="ARU64" s="1251"/>
      <c r="ARV64" s="1251"/>
      <c r="ARW64" s="1251"/>
      <c r="ARX64" s="1251"/>
      <c r="ARY64" s="1251"/>
      <c r="ARZ64" s="1251"/>
      <c r="ASA64" s="1251"/>
      <c r="ASB64" s="1251"/>
      <c r="ASC64" s="1251"/>
      <c r="ASD64" s="1251"/>
      <c r="ASE64" s="1251"/>
      <c r="ASF64" s="1251"/>
      <c r="ASG64" s="1251"/>
      <c r="ASH64" s="1251"/>
      <c r="ASI64" s="1251"/>
      <c r="ASJ64" s="1251"/>
      <c r="ASK64" s="1251"/>
      <c r="ASL64" s="1251"/>
      <c r="ASM64" s="1251"/>
      <c r="ASN64" s="1251"/>
      <c r="ASO64" s="1251"/>
      <c r="ASP64" s="1251"/>
      <c r="ASQ64" s="1251"/>
      <c r="ASR64" s="1251"/>
      <c r="ASS64" s="1251"/>
      <c r="AST64" s="1251"/>
      <c r="ASU64" s="1251"/>
      <c r="ASV64" s="1251"/>
      <c r="ASW64" s="1251"/>
      <c r="ASX64" s="1251"/>
      <c r="ASY64" s="1251"/>
      <c r="ASZ64" s="1251"/>
      <c r="ATA64" s="1251"/>
      <c r="ATB64" s="1251"/>
      <c r="ATC64" s="1251"/>
      <c r="ATD64" s="1251"/>
      <c r="ATE64" s="1251"/>
      <c r="ATF64" s="1251"/>
      <c r="ATG64" s="1251"/>
      <c r="ATH64" s="1251"/>
      <c r="ATI64" s="1251"/>
      <c r="ATJ64" s="1251"/>
      <c r="ATK64" s="1251"/>
      <c r="ATL64" s="1251"/>
      <c r="ATM64" s="1251"/>
      <c r="ATN64" s="1251"/>
      <c r="ATO64" s="1251"/>
      <c r="ATP64" s="1251"/>
      <c r="ATQ64" s="1251"/>
      <c r="ATR64" s="1251"/>
      <c r="ATS64" s="1251"/>
      <c r="ATT64" s="1251"/>
      <c r="ATU64" s="1251"/>
      <c r="ATV64" s="1251"/>
      <c r="ATW64" s="1251"/>
      <c r="ATX64" s="1251"/>
      <c r="ATY64" s="1251"/>
      <c r="ATZ64" s="1251"/>
      <c r="AUA64" s="1251"/>
      <c r="AUB64" s="1251"/>
      <c r="AUC64" s="1251"/>
      <c r="AUD64" s="1251"/>
      <c r="AUE64" s="1251"/>
      <c r="AUF64" s="1251"/>
      <c r="AUG64" s="1251"/>
      <c r="AUH64" s="1251"/>
      <c r="AUI64" s="1251"/>
      <c r="AUJ64" s="1251"/>
      <c r="AUK64" s="1251"/>
      <c r="AUL64" s="1251"/>
      <c r="AUM64" s="1251"/>
      <c r="AUN64" s="1251"/>
      <c r="AUO64" s="1251"/>
      <c r="AUP64" s="1251"/>
      <c r="AUQ64" s="1251"/>
      <c r="AUR64" s="1251"/>
      <c r="AUS64" s="1251"/>
      <c r="AUT64" s="1251"/>
      <c r="AUU64" s="1251"/>
      <c r="AUV64" s="1251"/>
      <c r="AUW64" s="1251"/>
      <c r="AUX64" s="1251"/>
      <c r="AUY64" s="1251"/>
      <c r="AUZ64" s="1251"/>
      <c r="AVA64" s="1251"/>
      <c r="AVB64" s="1251"/>
      <c r="AVC64" s="1251"/>
      <c r="AVD64" s="1251"/>
      <c r="AVE64" s="1251"/>
      <c r="AVF64" s="1251"/>
      <c r="AVG64" s="1251"/>
      <c r="AVH64" s="1251"/>
      <c r="AVI64" s="1251"/>
      <c r="AVJ64" s="1251"/>
      <c r="AVK64" s="1251"/>
      <c r="AVL64" s="1251"/>
      <c r="AVM64" s="1251"/>
      <c r="AVN64" s="1251"/>
      <c r="AVO64" s="1251"/>
      <c r="AVP64" s="1251"/>
      <c r="AVQ64" s="1251"/>
      <c r="AVR64" s="1251"/>
      <c r="AVS64" s="1251"/>
      <c r="AVT64" s="1251"/>
      <c r="AVU64" s="1251"/>
      <c r="AVV64" s="1251"/>
      <c r="AVW64" s="1251"/>
      <c r="AVX64" s="1251"/>
      <c r="AVY64" s="1251"/>
      <c r="AVZ64" s="1251"/>
      <c r="AWA64" s="1251"/>
      <c r="AWB64" s="1251"/>
      <c r="AWC64" s="1251"/>
      <c r="AWD64" s="1251"/>
      <c r="AWE64" s="1251"/>
      <c r="AWF64" s="1251"/>
      <c r="AWG64" s="1251"/>
      <c r="AWH64" s="1251"/>
      <c r="AWI64" s="1251"/>
      <c r="AWJ64" s="1251"/>
      <c r="AWK64" s="1251"/>
      <c r="AWL64" s="1251"/>
      <c r="AWM64" s="1251"/>
      <c r="AWN64" s="1251"/>
      <c r="AWO64" s="1251"/>
      <c r="AWP64" s="1251"/>
      <c r="AWQ64" s="1251"/>
      <c r="AWR64" s="1251"/>
      <c r="AWS64" s="1251"/>
      <c r="AWT64" s="1251"/>
      <c r="AWU64" s="1251"/>
      <c r="AWV64" s="1251"/>
      <c r="AWW64" s="1251"/>
      <c r="AWX64" s="1251"/>
      <c r="AWY64" s="1251"/>
      <c r="AWZ64" s="1251"/>
      <c r="AXA64" s="1251"/>
      <c r="AXB64" s="1251"/>
      <c r="AXC64" s="1251"/>
      <c r="AXD64" s="1251"/>
      <c r="AXE64" s="1251"/>
      <c r="AXF64" s="1251"/>
      <c r="AXG64" s="1251"/>
      <c r="AXH64" s="1251"/>
      <c r="AXI64" s="1251"/>
      <c r="AXJ64" s="1251"/>
      <c r="AXK64" s="1251"/>
      <c r="AXL64" s="1251"/>
      <c r="AXM64" s="1251"/>
      <c r="AXN64" s="1251"/>
      <c r="AXO64" s="1251"/>
      <c r="AXP64" s="1251"/>
      <c r="AXQ64" s="1251"/>
      <c r="AXR64" s="1251"/>
      <c r="AXS64" s="1251"/>
      <c r="AXT64" s="1251"/>
      <c r="AXU64" s="1251"/>
      <c r="AXV64" s="1251"/>
      <c r="AXW64" s="1251"/>
      <c r="AXX64" s="1251"/>
      <c r="AXY64" s="1251"/>
      <c r="AXZ64" s="1251"/>
      <c r="AYA64" s="1251"/>
      <c r="AYB64" s="1251"/>
      <c r="AYC64" s="1251"/>
      <c r="AYD64" s="1251"/>
      <c r="AYE64" s="1251"/>
      <c r="AYF64" s="1251"/>
      <c r="AYG64" s="1251"/>
      <c r="AYH64" s="1251"/>
      <c r="AYI64" s="1251"/>
      <c r="AYJ64" s="1251"/>
      <c r="AYK64" s="1251"/>
      <c r="AYL64" s="1251"/>
      <c r="AYM64" s="1251"/>
      <c r="AYN64" s="1251"/>
      <c r="AYO64" s="1251"/>
      <c r="AYP64" s="1251"/>
      <c r="AYQ64" s="1251"/>
      <c r="AYR64" s="1251"/>
      <c r="AYS64" s="1251"/>
      <c r="AYT64" s="1251"/>
      <c r="AYU64" s="1251"/>
      <c r="AYV64" s="1251"/>
      <c r="AYW64" s="1251"/>
      <c r="AYX64" s="1251"/>
      <c r="AYY64" s="1251"/>
      <c r="AYZ64" s="1251"/>
      <c r="AZA64" s="1251"/>
      <c r="AZB64" s="1251"/>
      <c r="AZC64" s="1251"/>
      <c r="AZD64" s="1251"/>
      <c r="AZE64" s="1251"/>
      <c r="AZF64" s="1251"/>
      <c r="AZG64" s="1251"/>
      <c r="AZH64" s="1251"/>
      <c r="AZI64" s="1251"/>
      <c r="AZJ64" s="1251"/>
      <c r="AZK64" s="1251"/>
      <c r="AZL64" s="1251"/>
      <c r="AZM64" s="1251"/>
      <c r="AZN64" s="1251"/>
      <c r="AZO64" s="1251"/>
      <c r="AZP64" s="1251"/>
      <c r="AZQ64" s="1251"/>
      <c r="AZR64" s="1251"/>
      <c r="AZS64" s="1251"/>
      <c r="AZT64" s="1251"/>
      <c r="AZU64" s="1251"/>
      <c r="AZV64" s="1251"/>
      <c r="AZW64" s="1251"/>
      <c r="AZX64" s="1251"/>
      <c r="AZY64" s="1251"/>
      <c r="AZZ64" s="1251"/>
      <c r="BAA64" s="1251"/>
      <c r="BAB64" s="1251"/>
      <c r="BAC64" s="1251"/>
      <c r="BAD64" s="1251"/>
      <c r="BAE64" s="1251"/>
      <c r="BAF64" s="1251"/>
      <c r="BAG64" s="1251"/>
      <c r="BAH64" s="1251"/>
      <c r="BAI64" s="1251"/>
      <c r="BAJ64" s="1251"/>
      <c r="BAK64" s="1251"/>
      <c r="BAL64" s="1251"/>
      <c r="BAM64" s="1251"/>
      <c r="BAN64" s="1251"/>
      <c r="BAO64" s="1251"/>
      <c r="BAP64" s="1251"/>
      <c r="BAQ64" s="1251"/>
      <c r="BAR64" s="1251"/>
      <c r="BAS64" s="1251"/>
      <c r="BAT64" s="1251"/>
      <c r="BAU64" s="1251"/>
      <c r="BAV64" s="1251"/>
      <c r="BAW64" s="1251"/>
      <c r="BAX64" s="1251"/>
      <c r="BAY64" s="1251"/>
      <c r="BAZ64" s="1251"/>
      <c r="BBA64" s="1251"/>
      <c r="BBB64" s="1251"/>
      <c r="BBC64" s="1251"/>
      <c r="BBD64" s="1251"/>
      <c r="BBE64" s="1251"/>
      <c r="BBF64" s="1251"/>
      <c r="BBG64" s="1251"/>
      <c r="BBH64" s="1251"/>
      <c r="BBI64" s="1251"/>
      <c r="BBJ64" s="1251"/>
      <c r="BBK64" s="1251"/>
      <c r="BBL64" s="1251"/>
      <c r="BBM64" s="1251"/>
      <c r="BBN64" s="1251"/>
      <c r="BBO64" s="1251"/>
      <c r="BBP64" s="1251"/>
      <c r="BBQ64" s="1251"/>
      <c r="BBR64" s="1251"/>
      <c r="BBS64" s="1251"/>
      <c r="BBT64" s="1251"/>
      <c r="BBU64" s="1251"/>
      <c r="BBV64" s="1251"/>
      <c r="BBW64" s="1251"/>
      <c r="BBX64" s="1251"/>
      <c r="BBY64" s="1251"/>
      <c r="BBZ64" s="1251"/>
      <c r="BCA64" s="1251"/>
      <c r="BCB64" s="1251"/>
      <c r="BCC64" s="1251"/>
      <c r="BCD64" s="1251"/>
      <c r="BCE64" s="1251"/>
      <c r="BCF64" s="1251"/>
      <c r="BCG64" s="1251"/>
      <c r="BCH64" s="1251"/>
      <c r="BCI64" s="1251"/>
      <c r="BCJ64" s="1251"/>
      <c r="BCK64" s="1251"/>
      <c r="BCL64" s="1251"/>
      <c r="BCM64" s="1251"/>
      <c r="BCN64" s="1251"/>
      <c r="BCO64" s="1251"/>
      <c r="BCP64" s="1251"/>
      <c r="BCQ64" s="1251"/>
      <c r="BCR64" s="1251"/>
      <c r="BCS64" s="1251"/>
      <c r="BCT64" s="1251"/>
      <c r="BCU64" s="1251"/>
      <c r="BCV64" s="1251"/>
      <c r="BCW64" s="1251"/>
      <c r="BCX64" s="1251"/>
      <c r="BCY64" s="1251"/>
      <c r="BCZ64" s="1251"/>
      <c r="BDA64" s="1251"/>
      <c r="BDB64" s="1251"/>
      <c r="BDC64" s="1251"/>
      <c r="BDD64" s="1251"/>
      <c r="BDE64" s="1251"/>
      <c r="BDF64" s="1251"/>
      <c r="BDG64" s="1251"/>
      <c r="BDH64" s="1251"/>
      <c r="BDI64" s="1251"/>
      <c r="BDJ64" s="1251"/>
      <c r="BDK64" s="1251"/>
      <c r="BDL64" s="1251"/>
      <c r="BDM64" s="1251"/>
      <c r="BDN64" s="1251"/>
      <c r="BDO64" s="1251"/>
      <c r="BDP64" s="1251"/>
      <c r="BDQ64" s="1251"/>
      <c r="BDR64" s="1251"/>
      <c r="BDS64" s="1251"/>
      <c r="BDT64" s="1251"/>
      <c r="BDU64" s="1251"/>
      <c r="BDV64" s="1251"/>
      <c r="BDW64" s="1251"/>
      <c r="BDX64" s="1251"/>
      <c r="BDY64" s="1251"/>
      <c r="BDZ64" s="1251"/>
      <c r="BEA64" s="1251"/>
      <c r="BEB64" s="1251"/>
      <c r="BEC64" s="1251"/>
      <c r="BED64" s="1251"/>
      <c r="BEE64" s="1251"/>
      <c r="BEF64" s="1251"/>
      <c r="BEG64" s="1251"/>
      <c r="BEH64" s="1251"/>
      <c r="BEI64" s="1251"/>
      <c r="BEJ64" s="1251"/>
      <c r="BEK64" s="1251"/>
      <c r="BEL64" s="1251"/>
      <c r="BEM64" s="1251"/>
      <c r="BEN64" s="1251"/>
      <c r="BEO64" s="1251"/>
      <c r="BEP64" s="1251"/>
      <c r="BEQ64" s="1251"/>
      <c r="BER64" s="1251"/>
      <c r="BES64" s="1251"/>
      <c r="BET64" s="1251"/>
      <c r="BEU64" s="1251"/>
      <c r="BEV64" s="1251"/>
      <c r="BEW64" s="1251"/>
      <c r="BEX64" s="1251"/>
      <c r="BEY64" s="1251"/>
      <c r="BEZ64" s="1251"/>
      <c r="BFA64" s="1251"/>
      <c r="BFB64" s="1251"/>
      <c r="BFC64" s="1251"/>
      <c r="BFD64" s="1251"/>
      <c r="BFE64" s="1251"/>
      <c r="BFF64" s="1251"/>
      <c r="BFG64" s="1251"/>
      <c r="BFH64" s="1251"/>
      <c r="BFI64" s="1251"/>
      <c r="BFJ64" s="1251"/>
      <c r="BFK64" s="1251"/>
      <c r="BFL64" s="1251"/>
      <c r="BFM64" s="1251"/>
      <c r="BFN64" s="1251"/>
      <c r="BFO64" s="1251"/>
      <c r="BFP64" s="1251"/>
      <c r="BFQ64" s="1251"/>
      <c r="BFR64" s="1251"/>
      <c r="BFS64" s="1251"/>
      <c r="BFT64" s="1251"/>
      <c r="BFU64" s="1251"/>
      <c r="BFV64" s="1251"/>
      <c r="BFW64" s="1251"/>
      <c r="BFX64" s="1251"/>
      <c r="BFY64" s="1251"/>
      <c r="BFZ64" s="1251"/>
      <c r="BGA64" s="1251"/>
      <c r="BGB64" s="1251"/>
      <c r="BGC64" s="1251"/>
      <c r="BGD64" s="1251"/>
      <c r="BGE64" s="1251"/>
      <c r="BGF64" s="1251"/>
      <c r="BGG64" s="1251"/>
      <c r="BGH64" s="1251"/>
      <c r="BGI64" s="1251"/>
      <c r="BGJ64" s="1251"/>
      <c r="BGK64" s="1251"/>
      <c r="BGL64" s="1251"/>
      <c r="BGM64" s="1251"/>
      <c r="BGN64" s="1251"/>
      <c r="BGO64" s="1251"/>
      <c r="BGP64" s="1251"/>
      <c r="BGQ64" s="1251"/>
      <c r="BGR64" s="1251"/>
      <c r="BGS64" s="1251"/>
      <c r="BGT64" s="1251"/>
      <c r="BGU64" s="1251"/>
      <c r="BGV64" s="1251"/>
      <c r="BGW64" s="1251"/>
      <c r="BGX64" s="1251"/>
      <c r="BGY64" s="1251"/>
      <c r="BGZ64" s="1251"/>
      <c r="BHA64" s="1251"/>
      <c r="BHB64" s="1251"/>
      <c r="BHC64" s="1251"/>
      <c r="BHD64" s="1251"/>
      <c r="BHE64" s="1251"/>
      <c r="BHF64" s="1251"/>
      <c r="BHG64" s="1251"/>
      <c r="BHH64" s="1251"/>
      <c r="BHI64" s="1251"/>
      <c r="BHJ64" s="1251"/>
      <c r="BHK64" s="1251"/>
      <c r="BHL64" s="1251"/>
      <c r="BHM64" s="1251"/>
      <c r="BHN64" s="1251"/>
      <c r="BHO64" s="1251"/>
      <c r="BHP64" s="1251"/>
      <c r="BHQ64" s="1251"/>
      <c r="BHR64" s="1251"/>
      <c r="BHS64" s="1251"/>
      <c r="BHT64" s="1251"/>
      <c r="BHU64" s="1251"/>
      <c r="BHV64" s="1251"/>
      <c r="BHW64" s="1251"/>
      <c r="BHX64" s="1251"/>
      <c r="BHY64" s="1251"/>
      <c r="BHZ64" s="1251"/>
      <c r="BIA64" s="1251"/>
      <c r="BIB64" s="1251"/>
      <c r="BIC64" s="1251"/>
      <c r="BID64" s="1251"/>
      <c r="BIE64" s="1251"/>
      <c r="BIF64" s="1251"/>
      <c r="BIG64" s="1251"/>
      <c r="BIH64" s="1251"/>
      <c r="BII64" s="1251"/>
      <c r="BIJ64" s="1251"/>
      <c r="BIK64" s="1251"/>
      <c r="BIL64" s="1251"/>
      <c r="BIM64" s="1251"/>
      <c r="BIN64" s="1251"/>
      <c r="BIO64" s="1251"/>
      <c r="BIP64" s="1251"/>
      <c r="BIQ64" s="1251"/>
      <c r="BIR64" s="1251"/>
      <c r="BIS64" s="1251"/>
      <c r="BIT64" s="1251"/>
      <c r="BIU64" s="1251"/>
      <c r="BIV64" s="1251"/>
      <c r="BIW64" s="1251"/>
      <c r="BIX64" s="1251"/>
      <c r="BIY64" s="1251"/>
      <c r="BIZ64" s="1251"/>
      <c r="BJA64" s="1251"/>
      <c r="BJB64" s="1251"/>
      <c r="BJC64" s="1251"/>
      <c r="BJD64" s="1251"/>
      <c r="BJE64" s="1251"/>
      <c r="BJF64" s="1251"/>
      <c r="BJG64" s="1251"/>
      <c r="BJH64" s="1251"/>
      <c r="BJI64" s="1251"/>
      <c r="BJJ64" s="1251"/>
      <c r="BJK64" s="1251"/>
      <c r="BJL64" s="1251"/>
      <c r="BJM64" s="1251"/>
      <c r="BJN64" s="1251"/>
      <c r="BJO64" s="1251"/>
      <c r="BJP64" s="1251"/>
      <c r="BJQ64" s="1251"/>
      <c r="BJR64" s="1251"/>
      <c r="BJS64" s="1251"/>
      <c r="BJT64" s="1251"/>
      <c r="BJU64" s="1251"/>
      <c r="BJV64" s="1251"/>
      <c r="BJW64" s="1251"/>
      <c r="BJX64" s="1251"/>
      <c r="BJY64" s="1251"/>
      <c r="BJZ64" s="1251"/>
      <c r="BKA64" s="1251"/>
      <c r="BKB64" s="1251"/>
      <c r="BKC64" s="1251"/>
      <c r="BKD64" s="1251"/>
      <c r="BKE64" s="1251"/>
      <c r="BKF64" s="1251"/>
      <c r="BKG64" s="1251"/>
      <c r="BKH64" s="1251"/>
      <c r="BKI64" s="1251"/>
      <c r="BKJ64" s="1251"/>
      <c r="BKK64" s="1251"/>
      <c r="BKL64" s="1251"/>
      <c r="BKM64" s="1251"/>
      <c r="BKN64" s="1251"/>
      <c r="BKO64" s="1251"/>
      <c r="BKP64" s="1251"/>
      <c r="BKQ64" s="1251"/>
      <c r="BKR64" s="1251"/>
      <c r="BKS64" s="1251"/>
      <c r="BKT64" s="1251"/>
      <c r="BKU64" s="1251"/>
      <c r="BKV64" s="1251"/>
      <c r="BKW64" s="1251"/>
      <c r="BKX64" s="1251"/>
      <c r="BKY64" s="1251"/>
      <c r="BKZ64" s="1251"/>
      <c r="BLA64" s="1251"/>
      <c r="BLB64" s="1251"/>
      <c r="BLC64" s="1251"/>
      <c r="BLD64" s="1251"/>
      <c r="BLE64" s="1251"/>
      <c r="BLF64" s="1251"/>
      <c r="BLG64" s="1251"/>
      <c r="BLH64" s="1251"/>
      <c r="BLI64" s="1251"/>
      <c r="BLJ64" s="1251"/>
      <c r="BLK64" s="1251"/>
      <c r="BLL64" s="1251"/>
      <c r="BLM64" s="1251"/>
      <c r="BLN64" s="1251"/>
      <c r="BLO64" s="1251"/>
      <c r="BLP64" s="1251"/>
      <c r="BLQ64" s="1251"/>
      <c r="BLR64" s="1251"/>
      <c r="BLS64" s="1251"/>
      <c r="BLT64" s="1251"/>
      <c r="BLU64" s="1251"/>
      <c r="BLV64" s="1251"/>
      <c r="BLW64" s="1251"/>
      <c r="BLX64" s="1251"/>
      <c r="BLY64" s="1251"/>
      <c r="BLZ64" s="1251"/>
      <c r="BMA64" s="1251"/>
      <c r="BMB64" s="1251"/>
      <c r="BMC64" s="1251"/>
      <c r="BMD64" s="1251"/>
      <c r="BME64" s="1251"/>
      <c r="BMF64" s="1251"/>
      <c r="BMG64" s="1251"/>
      <c r="BMH64" s="1251"/>
      <c r="BMI64" s="1251"/>
      <c r="BMJ64" s="1251"/>
      <c r="BMK64" s="1251"/>
      <c r="BML64" s="1251"/>
      <c r="BMM64" s="1251"/>
      <c r="BMN64" s="1251"/>
      <c r="BMO64" s="1251"/>
      <c r="BMP64" s="1251"/>
      <c r="BMQ64" s="1251"/>
      <c r="BMR64" s="1251"/>
      <c r="BMS64" s="1251"/>
      <c r="BMT64" s="1251"/>
      <c r="BMU64" s="1251"/>
      <c r="BMV64" s="1251"/>
      <c r="BMW64" s="1251"/>
      <c r="BMX64" s="1251"/>
      <c r="BMY64" s="1251"/>
      <c r="BMZ64" s="1251"/>
      <c r="BNA64" s="1251"/>
      <c r="BNB64" s="1251"/>
      <c r="BNC64" s="1251"/>
      <c r="BND64" s="1251"/>
      <c r="BNE64" s="1251"/>
      <c r="BNF64" s="1251"/>
      <c r="BNG64" s="1251"/>
      <c r="BNH64" s="1251"/>
      <c r="BNI64" s="1251"/>
      <c r="BNJ64" s="1251"/>
      <c r="BNK64" s="1251"/>
      <c r="BNL64" s="1251"/>
      <c r="BNM64" s="1251"/>
      <c r="BNN64" s="1251"/>
      <c r="BNO64" s="1251"/>
      <c r="BNP64" s="1251"/>
      <c r="BNQ64" s="1251"/>
      <c r="BNR64" s="1251"/>
      <c r="BNS64" s="1251"/>
      <c r="BNT64" s="1251"/>
      <c r="BNU64" s="1251"/>
      <c r="BNV64" s="1251"/>
      <c r="BNW64" s="1251"/>
      <c r="BNX64" s="1251"/>
      <c r="BNY64" s="1251"/>
      <c r="BNZ64" s="1251"/>
      <c r="BOA64" s="1251"/>
      <c r="BOB64" s="1251"/>
      <c r="BOC64" s="1251"/>
      <c r="BOD64" s="1251"/>
      <c r="BOE64" s="1251"/>
      <c r="BOF64" s="1251"/>
      <c r="BOG64" s="1251"/>
      <c r="BOH64" s="1251"/>
      <c r="BOI64" s="1251"/>
      <c r="BOJ64" s="1251"/>
      <c r="BOK64" s="1251"/>
      <c r="BOL64" s="1251"/>
      <c r="BOM64" s="1251"/>
      <c r="BON64" s="1251"/>
      <c r="BOO64" s="1251"/>
      <c r="BOP64" s="1251"/>
      <c r="BOQ64" s="1251"/>
      <c r="BOR64" s="1251"/>
      <c r="BOS64" s="1251"/>
      <c r="BOT64" s="1251"/>
      <c r="BOU64" s="1251"/>
      <c r="BOV64" s="1251"/>
      <c r="BOW64" s="1251"/>
      <c r="BOX64" s="1251"/>
      <c r="BOY64" s="1251"/>
      <c r="BOZ64" s="1251"/>
      <c r="BPA64" s="1251"/>
      <c r="BPB64" s="1251"/>
      <c r="BPC64" s="1251"/>
      <c r="BPD64" s="1251"/>
      <c r="BPE64" s="1251"/>
      <c r="BPF64" s="1251"/>
      <c r="BPG64" s="1251"/>
      <c r="BPH64" s="1251"/>
      <c r="BPI64" s="1251"/>
      <c r="BPJ64" s="1251"/>
      <c r="BPK64" s="1251"/>
      <c r="BPL64" s="1251"/>
      <c r="BPM64" s="1251"/>
      <c r="BPN64" s="1251"/>
      <c r="BPO64" s="1251"/>
      <c r="BPP64" s="1251"/>
      <c r="BPQ64" s="1251"/>
      <c r="BPR64" s="1251"/>
      <c r="BPS64" s="1251"/>
      <c r="BPT64" s="1251"/>
      <c r="BPU64" s="1251"/>
      <c r="BPV64" s="1251"/>
      <c r="BPW64" s="1251"/>
      <c r="BPX64" s="1251"/>
      <c r="BPY64" s="1251"/>
      <c r="BPZ64" s="1251"/>
      <c r="BQA64" s="1251"/>
      <c r="BQB64" s="1251"/>
      <c r="BQC64" s="1251"/>
      <c r="BQD64" s="1251"/>
      <c r="BQE64" s="1251"/>
      <c r="BQF64" s="1251"/>
      <c r="BQG64" s="1251"/>
      <c r="BQH64" s="1251"/>
      <c r="BQI64" s="1251"/>
      <c r="BQJ64" s="1251"/>
      <c r="BQK64" s="1251"/>
      <c r="BQL64" s="1251"/>
      <c r="BQM64" s="1251"/>
      <c r="BQN64" s="1251"/>
      <c r="BQO64" s="1251"/>
      <c r="BQP64" s="1251"/>
      <c r="BQQ64" s="1251"/>
      <c r="BQR64" s="1251"/>
      <c r="BQS64" s="1251"/>
      <c r="BQT64" s="1251"/>
      <c r="BQU64" s="1251"/>
      <c r="BQV64" s="1251"/>
      <c r="BQW64" s="1251"/>
      <c r="BQX64" s="1251"/>
      <c r="BQY64" s="1251"/>
      <c r="BQZ64" s="1251"/>
      <c r="BRA64" s="1251"/>
      <c r="BRB64" s="1251"/>
      <c r="BRC64" s="1251"/>
      <c r="BRD64" s="1251"/>
      <c r="BRE64" s="1251"/>
      <c r="BRF64" s="1251"/>
      <c r="BRG64" s="1251"/>
      <c r="BRH64" s="1251"/>
      <c r="BRI64" s="1251"/>
      <c r="BRJ64" s="1251"/>
      <c r="BRK64" s="1251"/>
      <c r="BRL64" s="1251"/>
      <c r="BRM64" s="1251"/>
      <c r="BRN64" s="1251"/>
      <c r="BRO64" s="1251"/>
      <c r="BRP64" s="1251"/>
      <c r="BRQ64" s="1251"/>
      <c r="BRR64" s="1251"/>
      <c r="BRS64" s="1251"/>
      <c r="BRT64" s="1251"/>
      <c r="BRU64" s="1251"/>
      <c r="BRV64" s="1251"/>
      <c r="BRW64" s="1251"/>
      <c r="BRX64" s="1251"/>
      <c r="BRY64" s="1251"/>
      <c r="BRZ64" s="1251"/>
      <c r="BSA64" s="1251"/>
      <c r="BSB64" s="1251"/>
      <c r="BSC64" s="1251"/>
      <c r="BSD64" s="1251"/>
      <c r="BSE64" s="1251"/>
      <c r="BSF64" s="1251"/>
      <c r="BSG64" s="1251"/>
      <c r="BSH64" s="1251"/>
      <c r="BSI64" s="1251"/>
      <c r="BSJ64" s="1251"/>
      <c r="BSK64" s="1251"/>
      <c r="BSL64" s="1251"/>
      <c r="BSM64" s="1251"/>
      <c r="BSN64" s="1251"/>
      <c r="BSO64" s="1251"/>
      <c r="BSP64" s="1251"/>
      <c r="BSQ64" s="1251"/>
      <c r="BSR64" s="1251"/>
      <c r="BSS64" s="1251"/>
      <c r="BST64" s="1251"/>
      <c r="BSU64" s="1251"/>
      <c r="BSV64" s="1251"/>
      <c r="BSW64" s="1251"/>
      <c r="BSX64" s="1251"/>
      <c r="BSY64" s="1251"/>
      <c r="BSZ64" s="1251"/>
      <c r="BTA64" s="1251"/>
      <c r="BTB64" s="1251"/>
      <c r="BTC64" s="1251"/>
      <c r="BTD64" s="1251"/>
      <c r="BTE64" s="1251"/>
      <c r="BTF64" s="1251"/>
      <c r="BTG64" s="1251"/>
      <c r="BTH64" s="1251"/>
      <c r="BTI64" s="1251"/>
    </row>
    <row r="65" spans="1:1881" s="1261" customFormat="1" ht="132" hidden="1" customHeight="1" thickBot="1" x14ac:dyDescent="0.35">
      <c r="A65" s="1248">
        <v>5</v>
      </c>
      <c r="B65" s="806" t="s">
        <v>55</v>
      </c>
      <c r="C65" s="806" t="s">
        <v>149</v>
      </c>
      <c r="D65" s="668" t="s">
        <v>1365</v>
      </c>
      <c r="E65" s="1249" t="e">
        <f>HLOOKUP($D$2,'2020 Data(H)'!$C$1:$CZ$426,4,FALSE)</f>
        <v>#N/A</v>
      </c>
      <c r="F65" s="1263">
        <v>0</v>
      </c>
      <c r="G65" s="727">
        <f t="shared" si="1"/>
        <v>0</v>
      </c>
      <c r="H65" s="17"/>
      <c r="I65" s="760"/>
      <c r="J65" s="1252"/>
      <c r="K65" s="1251"/>
      <c r="L65" s="701"/>
      <c r="M65" s="1251"/>
      <c r="N65" s="1253"/>
      <c r="O65" s="1251"/>
      <c r="P65" s="1251"/>
      <c r="Q65" s="1251"/>
      <c r="R65" s="1251"/>
      <c r="S65" s="1251"/>
      <c r="T65" s="1251"/>
      <c r="U65" s="1251"/>
      <c r="V65" s="1251"/>
      <c r="W65" s="1251"/>
      <c r="X65" s="1251"/>
      <c r="Y65" s="1251"/>
      <c r="Z65" s="1248"/>
      <c r="AA65" s="1248"/>
      <c r="AB65" s="1248"/>
      <c r="AC65" s="1248"/>
      <c r="AD65" s="1248"/>
      <c r="AE65" s="1248"/>
      <c r="AF65" s="1248"/>
      <c r="AG65" s="1248"/>
      <c r="AH65" s="1248"/>
      <c r="AI65" s="1248"/>
      <c r="AJ65" s="1248"/>
      <c r="AK65" s="1248"/>
      <c r="AL65" s="1248"/>
      <c r="AM65" s="1248"/>
      <c r="AN65" s="1248"/>
      <c r="AO65" s="1248"/>
      <c r="AP65" s="1248"/>
      <c r="AQ65" s="1248"/>
      <c r="AR65" s="1248"/>
      <c r="AS65" s="1251"/>
      <c r="AT65" s="1251"/>
      <c r="AU65" s="1251"/>
      <c r="AV65" s="1251"/>
      <c r="AW65" s="1251"/>
      <c r="AX65" s="1251"/>
      <c r="AY65" s="1251"/>
      <c r="AZ65" s="1251"/>
      <c r="BA65" s="1251"/>
      <c r="BB65" s="1251"/>
      <c r="BC65" s="1251"/>
      <c r="BD65" s="1251"/>
      <c r="BE65" s="1251"/>
      <c r="BF65" s="1251"/>
      <c r="BG65" s="1251"/>
      <c r="BH65" s="1251"/>
      <c r="BI65" s="1251"/>
      <c r="BJ65" s="1251"/>
      <c r="BK65" s="1251"/>
      <c r="BL65" s="1251"/>
      <c r="BM65" s="1251"/>
      <c r="BN65" s="1251"/>
      <c r="BO65" s="1251"/>
      <c r="BP65" s="1251"/>
      <c r="BQ65" s="1251"/>
      <c r="BR65" s="1251"/>
      <c r="BS65" s="1251"/>
      <c r="BT65" s="1251"/>
      <c r="BU65" s="1251"/>
      <c r="BV65" s="1251"/>
      <c r="BW65" s="1251"/>
      <c r="BX65" s="1251"/>
      <c r="BY65" s="1251"/>
      <c r="BZ65" s="1251"/>
      <c r="CA65" s="1251"/>
      <c r="CB65" s="1251"/>
      <c r="CC65" s="1251"/>
      <c r="CD65" s="1251"/>
      <c r="CE65" s="1251"/>
      <c r="CF65" s="1251"/>
      <c r="CG65" s="1251"/>
      <c r="CH65" s="1251"/>
      <c r="CI65" s="1251"/>
      <c r="CJ65" s="1251"/>
      <c r="CK65" s="1251"/>
      <c r="CL65" s="1251"/>
      <c r="CM65" s="1251"/>
      <c r="CN65" s="1251"/>
      <c r="CO65" s="1251"/>
      <c r="CP65" s="1251"/>
      <c r="CQ65" s="1251"/>
      <c r="CR65" s="1251"/>
      <c r="CS65" s="1251"/>
      <c r="CT65" s="1251"/>
      <c r="CU65" s="1251"/>
      <c r="CV65" s="1251"/>
      <c r="CW65" s="1251"/>
      <c r="CX65" s="1251"/>
      <c r="CY65" s="1251"/>
      <c r="CZ65" s="1251"/>
      <c r="DA65" s="1251"/>
      <c r="DB65" s="1251"/>
      <c r="DC65" s="1251"/>
      <c r="DD65" s="1251"/>
      <c r="DE65" s="1251"/>
      <c r="DF65" s="1251"/>
      <c r="DG65" s="1251"/>
      <c r="DH65" s="1251"/>
      <c r="DI65" s="1251"/>
      <c r="DJ65" s="1251"/>
      <c r="DK65" s="1251"/>
      <c r="DL65" s="1251"/>
      <c r="DM65" s="1251"/>
      <c r="DN65" s="1251"/>
      <c r="DO65" s="1251"/>
      <c r="DP65" s="1251"/>
      <c r="DQ65" s="1251"/>
      <c r="DR65" s="1251"/>
      <c r="DS65" s="1251"/>
      <c r="DT65" s="1251"/>
      <c r="DU65" s="1251"/>
      <c r="DV65" s="1251"/>
      <c r="DW65" s="1251"/>
      <c r="DX65" s="1251"/>
      <c r="DY65" s="1251"/>
      <c r="DZ65" s="1251"/>
      <c r="EA65" s="1251"/>
      <c r="EB65" s="1251"/>
      <c r="EC65" s="1251"/>
      <c r="ED65" s="1251"/>
      <c r="EE65" s="1251"/>
      <c r="EF65" s="1251"/>
      <c r="EG65" s="1251"/>
      <c r="EH65" s="1251"/>
      <c r="EI65" s="1251"/>
      <c r="EJ65" s="1251"/>
      <c r="EK65" s="1251"/>
      <c r="EL65" s="1251"/>
      <c r="EM65" s="1251"/>
      <c r="EN65" s="1251"/>
      <c r="EO65" s="1251"/>
      <c r="EP65" s="1251"/>
      <c r="EQ65" s="1251"/>
      <c r="ER65" s="1251"/>
      <c r="ES65" s="1251"/>
      <c r="ET65" s="1251"/>
      <c r="EU65" s="1251"/>
      <c r="EV65" s="1251"/>
      <c r="EW65" s="1251"/>
      <c r="EX65" s="1251"/>
      <c r="EY65" s="1251"/>
      <c r="EZ65" s="1251"/>
      <c r="FA65" s="1251"/>
      <c r="FB65" s="1251"/>
      <c r="FC65" s="1251"/>
      <c r="FD65" s="1251"/>
      <c r="FE65" s="1251"/>
      <c r="FF65" s="1251"/>
      <c r="FG65" s="1251"/>
      <c r="FH65" s="1251"/>
      <c r="FI65" s="1251"/>
      <c r="FJ65" s="1251"/>
      <c r="FK65" s="1251"/>
      <c r="FL65" s="1251"/>
      <c r="FM65" s="1251"/>
      <c r="FN65" s="1251"/>
      <c r="FO65" s="1251"/>
      <c r="FP65" s="1251"/>
      <c r="FQ65" s="1251"/>
      <c r="FR65" s="1251"/>
      <c r="FS65" s="1251"/>
      <c r="FT65" s="1251"/>
      <c r="FU65" s="1251"/>
      <c r="FV65" s="1251"/>
      <c r="FW65" s="1251"/>
      <c r="FX65" s="1251"/>
      <c r="FY65" s="1251"/>
      <c r="FZ65" s="1251"/>
      <c r="GA65" s="1251"/>
      <c r="GB65" s="1251"/>
      <c r="GC65" s="1251"/>
      <c r="GD65" s="1251"/>
      <c r="GE65" s="1251"/>
      <c r="GF65" s="1251"/>
      <c r="GG65" s="1251"/>
      <c r="GH65" s="1251"/>
      <c r="GI65" s="1251"/>
      <c r="GJ65" s="1251"/>
      <c r="GK65" s="1251"/>
      <c r="GL65" s="1251"/>
      <c r="GM65" s="1251"/>
      <c r="GN65" s="1251"/>
      <c r="GO65" s="1251"/>
      <c r="GP65" s="1251"/>
      <c r="GQ65" s="1251"/>
      <c r="GR65" s="1251"/>
      <c r="GS65" s="1251"/>
      <c r="GT65" s="1251"/>
      <c r="GU65" s="1251"/>
      <c r="GV65" s="1251"/>
      <c r="GW65" s="1251"/>
      <c r="GX65" s="1251"/>
      <c r="GY65" s="1251"/>
      <c r="GZ65" s="1251"/>
      <c r="HA65" s="1251"/>
      <c r="HB65" s="1251"/>
      <c r="HC65" s="1251"/>
      <c r="HD65" s="1251"/>
      <c r="HE65" s="1251"/>
      <c r="HF65" s="1251"/>
      <c r="HG65" s="1251"/>
      <c r="HH65" s="1251"/>
      <c r="HI65" s="1251"/>
      <c r="HJ65" s="1251"/>
      <c r="HK65" s="1251"/>
      <c r="HL65" s="1251"/>
      <c r="HM65" s="1251"/>
      <c r="HN65" s="1251"/>
      <c r="HO65" s="1251"/>
      <c r="HP65" s="1251"/>
      <c r="HQ65" s="1251"/>
      <c r="HR65" s="1251"/>
      <c r="HS65" s="1251"/>
      <c r="HT65" s="1251"/>
      <c r="HU65" s="1251"/>
      <c r="HV65" s="1251"/>
      <c r="HW65" s="1251"/>
      <c r="HX65" s="1251"/>
      <c r="HY65" s="1251"/>
      <c r="HZ65" s="1251"/>
      <c r="IA65" s="1251"/>
      <c r="IB65" s="1251"/>
      <c r="IC65" s="1251"/>
      <c r="ID65" s="1251"/>
      <c r="IE65" s="1251"/>
      <c r="IF65" s="1251"/>
      <c r="IG65" s="1251"/>
      <c r="IH65" s="1251"/>
      <c r="II65" s="1251"/>
      <c r="IJ65" s="1251"/>
      <c r="IK65" s="1251"/>
      <c r="IL65" s="1251"/>
      <c r="IM65" s="1251"/>
      <c r="IN65" s="1251"/>
      <c r="IO65" s="1251"/>
      <c r="IP65" s="1251"/>
      <c r="IQ65" s="1251"/>
      <c r="IR65" s="1251"/>
      <c r="IS65" s="1251"/>
      <c r="IT65" s="1251"/>
      <c r="IU65" s="1251"/>
      <c r="IV65" s="1251"/>
      <c r="IW65" s="1251"/>
      <c r="IX65" s="1251"/>
      <c r="IY65" s="1251"/>
      <c r="IZ65" s="1251"/>
      <c r="JA65" s="1251"/>
      <c r="JB65" s="1251"/>
      <c r="JC65" s="1251"/>
      <c r="JD65" s="1251"/>
      <c r="JE65" s="1251"/>
      <c r="JF65" s="1251"/>
      <c r="JG65" s="1251"/>
      <c r="JH65" s="1251"/>
      <c r="JI65" s="1251"/>
      <c r="JJ65" s="1251"/>
      <c r="JK65" s="1251"/>
      <c r="JL65" s="1251"/>
      <c r="JM65" s="1251"/>
      <c r="JN65" s="1251"/>
      <c r="JO65" s="1251"/>
      <c r="JP65" s="1251"/>
      <c r="JQ65" s="1251"/>
      <c r="JR65" s="1251"/>
      <c r="JS65" s="1251"/>
      <c r="JT65" s="1251"/>
      <c r="JU65" s="1251"/>
      <c r="JV65" s="1251"/>
      <c r="JW65" s="1251"/>
      <c r="JX65" s="1251"/>
      <c r="JY65" s="1251"/>
      <c r="JZ65" s="1251"/>
      <c r="KA65" s="1251"/>
      <c r="KB65" s="1251"/>
      <c r="KC65" s="1251"/>
      <c r="KD65" s="1251"/>
      <c r="KE65" s="1251"/>
      <c r="KF65" s="1251"/>
      <c r="KG65" s="1251"/>
      <c r="KH65" s="1251"/>
      <c r="KI65" s="1251"/>
      <c r="KJ65" s="1251"/>
      <c r="KK65" s="1251"/>
      <c r="KL65" s="1251"/>
      <c r="KM65" s="1251"/>
      <c r="KN65" s="1251"/>
      <c r="KO65" s="1251"/>
      <c r="KP65" s="1251"/>
      <c r="KQ65" s="1251"/>
      <c r="KR65" s="1251"/>
      <c r="KS65" s="1251"/>
      <c r="KT65" s="1251"/>
      <c r="KU65" s="1251"/>
      <c r="KV65" s="1251"/>
      <c r="KW65" s="1251"/>
      <c r="KX65" s="1251"/>
      <c r="KY65" s="1251"/>
      <c r="KZ65" s="1251"/>
      <c r="LA65" s="1251"/>
      <c r="LB65" s="1251"/>
      <c r="LC65" s="1251"/>
      <c r="LD65" s="1251"/>
      <c r="LE65" s="1251"/>
      <c r="LF65" s="1251"/>
      <c r="LG65" s="1251"/>
      <c r="LH65" s="1251"/>
      <c r="LI65" s="1251"/>
      <c r="LJ65" s="1251"/>
      <c r="LK65" s="1251"/>
      <c r="LL65" s="1251"/>
      <c r="LM65" s="1251"/>
      <c r="LN65" s="1251"/>
      <c r="LO65" s="1251"/>
      <c r="LP65" s="1251"/>
      <c r="LQ65" s="1251"/>
      <c r="LR65" s="1251"/>
      <c r="LS65" s="1251"/>
      <c r="LT65" s="1251"/>
      <c r="LU65" s="1251"/>
      <c r="LV65" s="1251"/>
      <c r="LW65" s="1251"/>
      <c r="LX65" s="1251"/>
      <c r="LY65" s="1251"/>
      <c r="LZ65" s="1251"/>
      <c r="MA65" s="1251"/>
      <c r="MB65" s="1251"/>
      <c r="MC65" s="1251"/>
      <c r="MD65" s="1251"/>
      <c r="ME65" s="1251"/>
      <c r="MF65" s="1251"/>
      <c r="MG65" s="1251"/>
      <c r="MH65" s="1251"/>
      <c r="MI65" s="1251"/>
      <c r="MJ65" s="1251"/>
      <c r="MK65" s="1251"/>
      <c r="ML65" s="1251"/>
      <c r="MM65" s="1251"/>
      <c r="MN65" s="1251"/>
      <c r="MO65" s="1251"/>
      <c r="MP65" s="1251"/>
      <c r="MQ65" s="1251"/>
      <c r="MR65" s="1251"/>
      <c r="MS65" s="1251"/>
      <c r="MT65" s="1251"/>
      <c r="MU65" s="1251"/>
      <c r="MV65" s="1251"/>
      <c r="MW65" s="1251"/>
      <c r="MX65" s="1251"/>
      <c r="MY65" s="1251"/>
      <c r="MZ65" s="1251"/>
      <c r="NA65" s="1251"/>
      <c r="NB65" s="1251"/>
      <c r="NC65" s="1251"/>
      <c r="ND65" s="1251"/>
      <c r="NE65" s="1251"/>
      <c r="NF65" s="1251"/>
      <c r="NG65" s="1251"/>
      <c r="NH65" s="1251"/>
      <c r="NI65" s="1251"/>
      <c r="NJ65" s="1251"/>
      <c r="NK65" s="1251"/>
      <c r="NL65" s="1251"/>
      <c r="NM65" s="1251"/>
      <c r="NN65" s="1251"/>
      <c r="NO65" s="1251"/>
      <c r="NP65" s="1251"/>
      <c r="NQ65" s="1251"/>
      <c r="NR65" s="1251"/>
      <c r="NS65" s="1251"/>
      <c r="NT65" s="1251"/>
      <c r="NU65" s="1251"/>
      <c r="NV65" s="1251"/>
      <c r="NW65" s="1251"/>
      <c r="NX65" s="1251"/>
      <c r="NY65" s="1251"/>
      <c r="NZ65" s="1251"/>
      <c r="OA65" s="1251"/>
      <c r="OB65" s="1251"/>
      <c r="OC65" s="1251"/>
      <c r="OD65" s="1251"/>
      <c r="OE65" s="1251"/>
      <c r="OF65" s="1251"/>
      <c r="OG65" s="1251"/>
      <c r="OH65" s="1251"/>
      <c r="OI65" s="1251"/>
      <c r="OJ65" s="1251"/>
      <c r="OK65" s="1251"/>
      <c r="OL65" s="1251"/>
      <c r="OM65" s="1251"/>
      <c r="ON65" s="1251"/>
      <c r="OO65" s="1251"/>
      <c r="OP65" s="1251"/>
      <c r="OQ65" s="1251"/>
      <c r="OR65" s="1251"/>
      <c r="OS65" s="1251"/>
      <c r="OT65" s="1251"/>
      <c r="OU65" s="1251"/>
      <c r="OV65" s="1251"/>
      <c r="OW65" s="1251"/>
      <c r="OX65" s="1251"/>
      <c r="OY65" s="1251"/>
      <c r="OZ65" s="1251"/>
      <c r="PA65" s="1251"/>
      <c r="PB65" s="1251"/>
      <c r="PC65" s="1251"/>
      <c r="PD65" s="1251"/>
      <c r="PE65" s="1251"/>
      <c r="PF65" s="1251"/>
      <c r="PG65" s="1251"/>
      <c r="PH65" s="1251"/>
      <c r="PI65" s="1251"/>
      <c r="PJ65" s="1251"/>
      <c r="PK65" s="1251"/>
      <c r="PL65" s="1251"/>
      <c r="PM65" s="1251"/>
      <c r="PN65" s="1251"/>
      <c r="PO65" s="1251"/>
      <c r="PP65" s="1251"/>
      <c r="PQ65" s="1251"/>
      <c r="PR65" s="1251"/>
      <c r="PS65" s="1251"/>
      <c r="PT65" s="1251"/>
      <c r="PU65" s="1251"/>
      <c r="PV65" s="1251"/>
      <c r="PW65" s="1251"/>
      <c r="PX65" s="1251"/>
      <c r="PY65" s="1251"/>
      <c r="PZ65" s="1251"/>
      <c r="QA65" s="1251"/>
      <c r="QB65" s="1251"/>
      <c r="QC65" s="1251"/>
      <c r="QD65" s="1251"/>
      <c r="QE65" s="1251"/>
      <c r="QF65" s="1251"/>
      <c r="QG65" s="1251"/>
      <c r="QH65" s="1251"/>
      <c r="QI65" s="1251"/>
      <c r="QJ65" s="1251"/>
      <c r="QK65" s="1251"/>
      <c r="QL65" s="1251"/>
      <c r="QM65" s="1251"/>
      <c r="QN65" s="1251"/>
      <c r="QO65" s="1251"/>
      <c r="QP65" s="1251"/>
      <c r="QQ65" s="1251"/>
      <c r="QR65" s="1251"/>
      <c r="QS65" s="1251"/>
      <c r="QT65" s="1251"/>
      <c r="QU65" s="1251"/>
      <c r="QV65" s="1251"/>
      <c r="QW65" s="1251"/>
      <c r="QX65" s="1251"/>
      <c r="QY65" s="1251"/>
      <c r="QZ65" s="1251"/>
      <c r="RA65" s="1251"/>
      <c r="RB65" s="1251"/>
      <c r="RC65" s="1251"/>
      <c r="RD65" s="1251"/>
      <c r="RE65" s="1251"/>
      <c r="RF65" s="1251"/>
      <c r="RG65" s="1251"/>
      <c r="RH65" s="1251"/>
      <c r="RI65" s="1251"/>
      <c r="RJ65" s="1251"/>
      <c r="RK65" s="1251"/>
      <c r="RL65" s="1251"/>
      <c r="RM65" s="1251"/>
      <c r="RN65" s="1251"/>
      <c r="RO65" s="1251"/>
      <c r="RP65" s="1251"/>
      <c r="RQ65" s="1251"/>
      <c r="RR65" s="1251"/>
      <c r="RS65" s="1251"/>
      <c r="RT65" s="1251"/>
      <c r="RU65" s="1251"/>
      <c r="RV65" s="1251"/>
      <c r="RW65" s="1251"/>
      <c r="RX65" s="1251"/>
      <c r="RY65" s="1251"/>
      <c r="RZ65" s="1251"/>
      <c r="SA65" s="1251"/>
      <c r="SB65" s="1251"/>
      <c r="SC65" s="1251"/>
      <c r="SD65" s="1251"/>
      <c r="SE65" s="1251"/>
      <c r="SF65" s="1251"/>
      <c r="SG65" s="1251"/>
      <c r="SH65" s="1251"/>
      <c r="SI65" s="1251"/>
      <c r="SJ65" s="1251"/>
      <c r="SK65" s="1251"/>
      <c r="SL65" s="1251"/>
      <c r="SM65" s="1251"/>
      <c r="SN65" s="1251"/>
      <c r="SO65" s="1251"/>
      <c r="SP65" s="1251"/>
      <c r="SQ65" s="1251"/>
      <c r="SR65" s="1251"/>
      <c r="SS65" s="1251"/>
      <c r="ST65" s="1251"/>
      <c r="SU65" s="1251"/>
      <c r="SV65" s="1251"/>
      <c r="SW65" s="1251"/>
      <c r="SX65" s="1251"/>
      <c r="SY65" s="1251"/>
      <c r="SZ65" s="1251"/>
      <c r="TA65" s="1251"/>
      <c r="TB65" s="1251"/>
      <c r="TC65" s="1251"/>
      <c r="TD65" s="1251"/>
      <c r="TE65" s="1251"/>
      <c r="TF65" s="1251"/>
      <c r="TG65" s="1251"/>
      <c r="TH65" s="1251"/>
      <c r="TI65" s="1251"/>
      <c r="TJ65" s="1251"/>
      <c r="TK65" s="1251"/>
      <c r="TL65" s="1251"/>
      <c r="TM65" s="1251"/>
      <c r="TN65" s="1251"/>
      <c r="TO65" s="1251"/>
      <c r="TP65" s="1251"/>
      <c r="TQ65" s="1251"/>
      <c r="TR65" s="1251"/>
      <c r="TS65" s="1251"/>
      <c r="TT65" s="1251"/>
      <c r="TU65" s="1251"/>
      <c r="TV65" s="1251"/>
      <c r="TW65" s="1251"/>
      <c r="TX65" s="1251"/>
      <c r="TY65" s="1251"/>
      <c r="TZ65" s="1251"/>
      <c r="UA65" s="1251"/>
      <c r="UB65" s="1251"/>
      <c r="UC65" s="1251"/>
      <c r="UD65" s="1251"/>
      <c r="UE65" s="1251"/>
      <c r="UF65" s="1251"/>
      <c r="UG65" s="1251"/>
      <c r="UH65" s="1251"/>
      <c r="UI65" s="1251"/>
      <c r="UJ65" s="1251"/>
      <c r="UK65" s="1251"/>
      <c r="UL65" s="1251"/>
      <c r="UM65" s="1251"/>
      <c r="UN65" s="1251"/>
      <c r="UO65" s="1251"/>
      <c r="UP65" s="1251"/>
      <c r="UQ65" s="1251"/>
      <c r="UR65" s="1251"/>
      <c r="US65" s="1251"/>
      <c r="UT65" s="1251"/>
      <c r="UU65" s="1251"/>
      <c r="UV65" s="1251"/>
      <c r="UW65" s="1251"/>
      <c r="UX65" s="1251"/>
      <c r="UY65" s="1251"/>
      <c r="UZ65" s="1251"/>
      <c r="VA65" s="1251"/>
      <c r="VB65" s="1251"/>
      <c r="VC65" s="1251"/>
      <c r="VD65" s="1251"/>
      <c r="VE65" s="1251"/>
      <c r="VF65" s="1251"/>
      <c r="VG65" s="1251"/>
      <c r="VH65" s="1251"/>
      <c r="VI65" s="1251"/>
      <c r="VJ65" s="1251"/>
      <c r="VK65" s="1251"/>
      <c r="VL65" s="1251"/>
      <c r="VM65" s="1251"/>
      <c r="VN65" s="1251"/>
      <c r="VO65" s="1251"/>
      <c r="VP65" s="1251"/>
      <c r="VQ65" s="1251"/>
      <c r="VR65" s="1251"/>
      <c r="VS65" s="1251"/>
      <c r="VT65" s="1251"/>
      <c r="VU65" s="1251"/>
      <c r="VV65" s="1251"/>
      <c r="VW65" s="1251"/>
      <c r="VX65" s="1251"/>
      <c r="VY65" s="1251"/>
      <c r="VZ65" s="1251"/>
      <c r="WA65" s="1251"/>
      <c r="WB65" s="1251"/>
      <c r="WC65" s="1251"/>
      <c r="WD65" s="1251"/>
      <c r="WE65" s="1251"/>
      <c r="WF65" s="1251"/>
      <c r="WG65" s="1251"/>
      <c r="WH65" s="1251"/>
      <c r="WI65" s="1251"/>
      <c r="WJ65" s="1251"/>
      <c r="WK65" s="1251"/>
      <c r="WL65" s="1251"/>
      <c r="WM65" s="1251"/>
      <c r="WN65" s="1251"/>
      <c r="WO65" s="1251"/>
      <c r="WP65" s="1251"/>
      <c r="WQ65" s="1251"/>
      <c r="WR65" s="1251"/>
      <c r="WS65" s="1251"/>
      <c r="WT65" s="1251"/>
      <c r="WU65" s="1251"/>
      <c r="WV65" s="1251"/>
      <c r="WW65" s="1251"/>
      <c r="WX65" s="1251"/>
      <c r="WY65" s="1251"/>
      <c r="WZ65" s="1251"/>
      <c r="XA65" s="1251"/>
      <c r="XB65" s="1251"/>
      <c r="XC65" s="1251"/>
      <c r="XD65" s="1251"/>
      <c r="XE65" s="1251"/>
      <c r="XF65" s="1251"/>
      <c r="XG65" s="1251"/>
      <c r="XH65" s="1251"/>
      <c r="XI65" s="1251"/>
      <c r="XJ65" s="1251"/>
      <c r="XK65" s="1251"/>
      <c r="XL65" s="1251"/>
      <c r="XM65" s="1251"/>
      <c r="XN65" s="1251"/>
      <c r="XO65" s="1251"/>
      <c r="XP65" s="1251"/>
      <c r="XQ65" s="1251"/>
      <c r="XR65" s="1251"/>
      <c r="XS65" s="1251"/>
      <c r="XT65" s="1251"/>
      <c r="XU65" s="1251"/>
      <c r="XV65" s="1251"/>
      <c r="XW65" s="1251"/>
      <c r="XX65" s="1251"/>
      <c r="XY65" s="1251"/>
      <c r="XZ65" s="1251"/>
      <c r="YA65" s="1251"/>
      <c r="YB65" s="1251"/>
      <c r="YC65" s="1251"/>
      <c r="YD65" s="1251"/>
      <c r="YE65" s="1251"/>
      <c r="YF65" s="1251"/>
      <c r="YG65" s="1251"/>
      <c r="YH65" s="1251"/>
      <c r="YI65" s="1251"/>
      <c r="YJ65" s="1251"/>
      <c r="YK65" s="1251"/>
      <c r="YL65" s="1251"/>
      <c r="YM65" s="1251"/>
      <c r="YN65" s="1251"/>
      <c r="YO65" s="1251"/>
      <c r="YP65" s="1251"/>
      <c r="YQ65" s="1251"/>
      <c r="YR65" s="1251"/>
      <c r="YS65" s="1251"/>
      <c r="YT65" s="1251"/>
      <c r="YU65" s="1251"/>
      <c r="YV65" s="1251"/>
      <c r="YW65" s="1251"/>
      <c r="YX65" s="1251"/>
      <c r="YY65" s="1251"/>
      <c r="YZ65" s="1251"/>
      <c r="ZA65" s="1251"/>
      <c r="ZB65" s="1251"/>
      <c r="ZC65" s="1251"/>
      <c r="ZD65" s="1251"/>
      <c r="ZE65" s="1251"/>
      <c r="ZF65" s="1251"/>
      <c r="ZG65" s="1251"/>
      <c r="ZH65" s="1251"/>
      <c r="ZI65" s="1251"/>
      <c r="ZJ65" s="1251"/>
      <c r="ZK65" s="1251"/>
      <c r="ZL65" s="1251"/>
      <c r="ZM65" s="1251"/>
      <c r="ZN65" s="1251"/>
      <c r="ZO65" s="1251"/>
      <c r="ZP65" s="1251"/>
      <c r="ZQ65" s="1251"/>
      <c r="ZR65" s="1251"/>
      <c r="ZS65" s="1251"/>
      <c r="ZT65" s="1251"/>
      <c r="ZU65" s="1251"/>
      <c r="ZV65" s="1251"/>
      <c r="ZW65" s="1251"/>
      <c r="ZX65" s="1251"/>
      <c r="ZY65" s="1251"/>
      <c r="ZZ65" s="1251"/>
      <c r="AAA65" s="1251"/>
      <c r="AAB65" s="1251"/>
      <c r="AAC65" s="1251"/>
      <c r="AAD65" s="1251"/>
      <c r="AAE65" s="1251"/>
      <c r="AAF65" s="1251"/>
      <c r="AAG65" s="1251"/>
      <c r="AAH65" s="1251"/>
      <c r="AAI65" s="1251"/>
      <c r="AAJ65" s="1251"/>
      <c r="AAK65" s="1251"/>
      <c r="AAL65" s="1251"/>
      <c r="AAM65" s="1251"/>
      <c r="AAN65" s="1251"/>
      <c r="AAO65" s="1251"/>
      <c r="AAP65" s="1251"/>
      <c r="AAQ65" s="1251"/>
      <c r="AAR65" s="1251"/>
      <c r="AAS65" s="1251"/>
      <c r="AAT65" s="1251"/>
      <c r="AAU65" s="1251"/>
      <c r="AAV65" s="1251"/>
      <c r="AAW65" s="1251"/>
      <c r="AAX65" s="1251"/>
      <c r="AAY65" s="1251"/>
      <c r="AAZ65" s="1251"/>
      <c r="ABA65" s="1251"/>
      <c r="ABB65" s="1251"/>
      <c r="ABC65" s="1251"/>
      <c r="ABD65" s="1251"/>
      <c r="ABE65" s="1251"/>
      <c r="ABF65" s="1251"/>
      <c r="ABG65" s="1251"/>
      <c r="ABH65" s="1251"/>
      <c r="ABI65" s="1251"/>
      <c r="ABJ65" s="1251"/>
      <c r="ABK65" s="1251"/>
      <c r="ABL65" s="1251"/>
      <c r="ABM65" s="1251"/>
      <c r="ABN65" s="1251"/>
      <c r="ABO65" s="1251"/>
      <c r="ABP65" s="1251"/>
      <c r="ABQ65" s="1251"/>
      <c r="ABR65" s="1251"/>
      <c r="ABS65" s="1251"/>
      <c r="ABT65" s="1251"/>
      <c r="ABU65" s="1251"/>
      <c r="ABV65" s="1251"/>
      <c r="ABW65" s="1251"/>
      <c r="ABX65" s="1251"/>
      <c r="ABY65" s="1251"/>
      <c r="ABZ65" s="1251"/>
      <c r="ACA65" s="1251"/>
      <c r="ACB65" s="1251"/>
      <c r="ACC65" s="1251"/>
      <c r="ACD65" s="1251"/>
      <c r="ACE65" s="1251"/>
      <c r="ACF65" s="1251"/>
      <c r="ACG65" s="1251"/>
      <c r="ACH65" s="1251"/>
      <c r="ACI65" s="1251"/>
      <c r="ACJ65" s="1251"/>
      <c r="ACK65" s="1251"/>
      <c r="ACL65" s="1251"/>
      <c r="ACM65" s="1251"/>
      <c r="ACN65" s="1251"/>
      <c r="ACO65" s="1251"/>
      <c r="ACP65" s="1251"/>
      <c r="ACQ65" s="1251"/>
      <c r="ACR65" s="1251"/>
      <c r="ACS65" s="1251"/>
      <c r="ACT65" s="1251"/>
      <c r="ACU65" s="1251"/>
      <c r="ACV65" s="1251"/>
      <c r="ACW65" s="1251"/>
      <c r="ACX65" s="1251"/>
      <c r="ACY65" s="1251"/>
      <c r="ACZ65" s="1251"/>
      <c r="ADA65" s="1251"/>
      <c r="ADB65" s="1251"/>
      <c r="ADC65" s="1251"/>
      <c r="ADD65" s="1251"/>
      <c r="ADE65" s="1251"/>
      <c r="ADF65" s="1251"/>
      <c r="ADG65" s="1251"/>
      <c r="ADH65" s="1251"/>
      <c r="ADI65" s="1251"/>
      <c r="ADJ65" s="1251"/>
      <c r="ADK65" s="1251"/>
      <c r="ADL65" s="1251"/>
      <c r="ADM65" s="1251"/>
      <c r="ADN65" s="1251"/>
      <c r="ADO65" s="1251"/>
      <c r="ADP65" s="1251"/>
      <c r="ADQ65" s="1251"/>
      <c r="ADR65" s="1251"/>
      <c r="ADS65" s="1251"/>
      <c r="ADT65" s="1251"/>
      <c r="ADU65" s="1251"/>
      <c r="ADV65" s="1251"/>
      <c r="ADW65" s="1251"/>
      <c r="ADX65" s="1251"/>
      <c r="ADY65" s="1251"/>
      <c r="ADZ65" s="1251"/>
      <c r="AEA65" s="1251"/>
      <c r="AEB65" s="1251"/>
      <c r="AEC65" s="1251"/>
      <c r="AED65" s="1251"/>
      <c r="AEE65" s="1251"/>
      <c r="AEF65" s="1251"/>
      <c r="AEG65" s="1251"/>
      <c r="AEH65" s="1251"/>
      <c r="AEI65" s="1251"/>
      <c r="AEJ65" s="1251"/>
      <c r="AEK65" s="1251"/>
      <c r="AEL65" s="1251"/>
      <c r="AEM65" s="1251"/>
      <c r="AEN65" s="1251"/>
      <c r="AEO65" s="1251"/>
      <c r="AEP65" s="1251"/>
      <c r="AEQ65" s="1251"/>
      <c r="AER65" s="1251"/>
      <c r="AES65" s="1251"/>
      <c r="AET65" s="1251"/>
      <c r="AEU65" s="1251"/>
      <c r="AEV65" s="1251"/>
      <c r="AEW65" s="1251"/>
      <c r="AEX65" s="1251"/>
      <c r="AEY65" s="1251"/>
      <c r="AEZ65" s="1251"/>
      <c r="AFA65" s="1251"/>
      <c r="AFB65" s="1251"/>
      <c r="AFC65" s="1251"/>
      <c r="AFD65" s="1251"/>
      <c r="AFE65" s="1251"/>
      <c r="AFF65" s="1251"/>
      <c r="AFG65" s="1251"/>
      <c r="AFH65" s="1251"/>
      <c r="AFI65" s="1251"/>
      <c r="AFJ65" s="1251"/>
      <c r="AFK65" s="1251"/>
      <c r="AFL65" s="1251"/>
      <c r="AFM65" s="1251"/>
      <c r="AFN65" s="1251"/>
      <c r="AFO65" s="1251"/>
      <c r="AFP65" s="1251"/>
      <c r="AFQ65" s="1251"/>
      <c r="AFR65" s="1251"/>
      <c r="AFS65" s="1251"/>
      <c r="AFT65" s="1251"/>
      <c r="AFU65" s="1251"/>
      <c r="AFV65" s="1251"/>
      <c r="AFW65" s="1251"/>
      <c r="AFX65" s="1251"/>
      <c r="AFY65" s="1251"/>
      <c r="AFZ65" s="1251"/>
      <c r="AGA65" s="1251"/>
      <c r="AGB65" s="1251"/>
      <c r="AGC65" s="1251"/>
      <c r="AGD65" s="1251"/>
      <c r="AGE65" s="1251"/>
      <c r="AGF65" s="1251"/>
      <c r="AGG65" s="1251"/>
      <c r="AGH65" s="1251"/>
      <c r="AGI65" s="1251"/>
      <c r="AGJ65" s="1251"/>
      <c r="AGK65" s="1251"/>
      <c r="AGL65" s="1251"/>
      <c r="AGM65" s="1251"/>
      <c r="AGN65" s="1251"/>
      <c r="AGO65" s="1251"/>
      <c r="AGP65" s="1251"/>
      <c r="AGQ65" s="1251"/>
      <c r="AGR65" s="1251"/>
      <c r="AGS65" s="1251"/>
      <c r="AGT65" s="1251"/>
      <c r="AGU65" s="1251"/>
      <c r="AGV65" s="1251"/>
      <c r="AGW65" s="1251"/>
      <c r="AGX65" s="1251"/>
      <c r="AGY65" s="1251"/>
      <c r="AGZ65" s="1251"/>
      <c r="AHA65" s="1251"/>
      <c r="AHB65" s="1251"/>
      <c r="AHC65" s="1251"/>
      <c r="AHD65" s="1251"/>
      <c r="AHE65" s="1251"/>
      <c r="AHF65" s="1251"/>
      <c r="AHG65" s="1251"/>
      <c r="AHH65" s="1251"/>
      <c r="AHI65" s="1251"/>
      <c r="AHJ65" s="1251"/>
      <c r="AHK65" s="1251"/>
      <c r="AHL65" s="1251"/>
      <c r="AHM65" s="1251"/>
      <c r="AHN65" s="1251"/>
      <c r="AHO65" s="1251"/>
      <c r="AHP65" s="1251"/>
      <c r="AHQ65" s="1251"/>
      <c r="AHR65" s="1251"/>
      <c r="AHS65" s="1251"/>
      <c r="AHT65" s="1251"/>
      <c r="AHU65" s="1251"/>
      <c r="AHV65" s="1251"/>
      <c r="AHW65" s="1251"/>
      <c r="AHX65" s="1251"/>
      <c r="AHY65" s="1251"/>
      <c r="AHZ65" s="1251"/>
      <c r="AIA65" s="1251"/>
      <c r="AIB65" s="1251"/>
      <c r="AIC65" s="1251"/>
      <c r="AID65" s="1251"/>
      <c r="AIE65" s="1251"/>
      <c r="AIF65" s="1251"/>
      <c r="AIG65" s="1251"/>
      <c r="AIH65" s="1251"/>
      <c r="AII65" s="1251"/>
      <c r="AIJ65" s="1251"/>
      <c r="AIK65" s="1251"/>
      <c r="AIL65" s="1251"/>
      <c r="AIM65" s="1251"/>
      <c r="AIN65" s="1251"/>
      <c r="AIO65" s="1251"/>
      <c r="AIP65" s="1251"/>
      <c r="AIQ65" s="1251"/>
      <c r="AIR65" s="1251"/>
      <c r="AIS65" s="1251"/>
      <c r="AIT65" s="1251"/>
      <c r="AIU65" s="1251"/>
      <c r="AIV65" s="1251"/>
      <c r="AIW65" s="1251"/>
      <c r="AIX65" s="1251"/>
      <c r="AIY65" s="1251"/>
      <c r="AIZ65" s="1251"/>
      <c r="AJA65" s="1251"/>
      <c r="AJB65" s="1251"/>
      <c r="AJC65" s="1251"/>
      <c r="AJD65" s="1251"/>
      <c r="AJE65" s="1251"/>
      <c r="AJF65" s="1251"/>
      <c r="AJG65" s="1251"/>
      <c r="AJH65" s="1251"/>
      <c r="AJI65" s="1251"/>
      <c r="AJJ65" s="1251"/>
      <c r="AJK65" s="1251"/>
      <c r="AJL65" s="1251"/>
      <c r="AJM65" s="1251"/>
      <c r="AJN65" s="1251"/>
      <c r="AJO65" s="1251"/>
      <c r="AJP65" s="1251"/>
      <c r="AJQ65" s="1251"/>
      <c r="AJR65" s="1251"/>
      <c r="AJS65" s="1251"/>
      <c r="AJT65" s="1251"/>
      <c r="AJU65" s="1251"/>
      <c r="AJV65" s="1251"/>
      <c r="AJW65" s="1251"/>
      <c r="AJX65" s="1251"/>
      <c r="AJY65" s="1251"/>
      <c r="AJZ65" s="1251"/>
      <c r="AKA65" s="1251"/>
      <c r="AKB65" s="1251"/>
      <c r="AKC65" s="1251"/>
      <c r="AKD65" s="1251"/>
      <c r="AKE65" s="1251"/>
      <c r="AKF65" s="1251"/>
      <c r="AKG65" s="1251"/>
      <c r="AKH65" s="1251"/>
      <c r="AKI65" s="1251"/>
      <c r="AKJ65" s="1251"/>
      <c r="AKK65" s="1251"/>
      <c r="AKL65" s="1251"/>
      <c r="AKM65" s="1251"/>
      <c r="AKN65" s="1251"/>
      <c r="AKO65" s="1251"/>
      <c r="AKP65" s="1251"/>
      <c r="AKQ65" s="1251"/>
      <c r="AKR65" s="1251"/>
      <c r="AKS65" s="1251"/>
      <c r="AKT65" s="1251"/>
      <c r="AKU65" s="1251"/>
      <c r="AKV65" s="1251"/>
      <c r="AKW65" s="1251"/>
      <c r="AKX65" s="1251"/>
      <c r="AKY65" s="1251"/>
      <c r="AKZ65" s="1251"/>
      <c r="ALA65" s="1251"/>
      <c r="ALB65" s="1251"/>
      <c r="ALC65" s="1251"/>
      <c r="ALD65" s="1251"/>
      <c r="ALE65" s="1251"/>
      <c r="ALF65" s="1251"/>
      <c r="ALG65" s="1251"/>
      <c r="ALH65" s="1251"/>
      <c r="ALI65" s="1251"/>
      <c r="ALJ65" s="1251"/>
      <c r="ALK65" s="1251"/>
      <c r="ALL65" s="1251"/>
      <c r="ALM65" s="1251"/>
      <c r="ALN65" s="1251"/>
      <c r="ALO65" s="1251"/>
      <c r="ALP65" s="1251"/>
      <c r="ALQ65" s="1251"/>
      <c r="ALR65" s="1251"/>
      <c r="ALS65" s="1251"/>
      <c r="ALT65" s="1251"/>
      <c r="ALU65" s="1251"/>
      <c r="ALV65" s="1251"/>
      <c r="ALW65" s="1251"/>
      <c r="ALX65" s="1251"/>
      <c r="ALY65" s="1251"/>
      <c r="ALZ65" s="1251"/>
      <c r="AMA65" s="1251"/>
      <c r="AMB65" s="1251"/>
      <c r="AMC65" s="1251"/>
      <c r="AMD65" s="1251"/>
      <c r="AME65" s="1251"/>
      <c r="AMF65" s="1251"/>
      <c r="AMG65" s="1251"/>
      <c r="AMH65" s="1251"/>
      <c r="AMI65" s="1251"/>
      <c r="AMJ65" s="1251"/>
      <c r="AMK65" s="1251"/>
      <c r="AML65" s="1251"/>
      <c r="AMM65" s="1251"/>
      <c r="AMN65" s="1251"/>
      <c r="AMO65" s="1251"/>
      <c r="AMP65" s="1251"/>
      <c r="AMQ65" s="1251"/>
      <c r="AMR65" s="1251"/>
      <c r="AMS65" s="1251"/>
      <c r="AMT65" s="1251"/>
      <c r="AMU65" s="1251"/>
      <c r="AMV65" s="1251"/>
      <c r="AMW65" s="1251"/>
      <c r="AMX65" s="1251"/>
      <c r="AMY65" s="1251"/>
      <c r="AMZ65" s="1251"/>
      <c r="ANA65" s="1251"/>
      <c r="ANB65" s="1251"/>
      <c r="ANC65" s="1251"/>
      <c r="AND65" s="1251"/>
      <c r="ANE65" s="1251"/>
      <c r="ANF65" s="1251"/>
      <c r="ANG65" s="1251"/>
      <c r="ANH65" s="1251"/>
      <c r="ANI65" s="1251"/>
      <c r="ANJ65" s="1251"/>
      <c r="ANK65" s="1251"/>
      <c r="ANL65" s="1251"/>
      <c r="ANM65" s="1251"/>
      <c r="ANN65" s="1251"/>
      <c r="ANO65" s="1251"/>
      <c r="ANP65" s="1251"/>
      <c r="ANQ65" s="1251"/>
      <c r="ANR65" s="1251"/>
      <c r="ANS65" s="1251"/>
      <c r="ANT65" s="1251"/>
      <c r="ANU65" s="1251"/>
      <c r="ANV65" s="1251"/>
      <c r="ANW65" s="1251"/>
      <c r="ANX65" s="1251"/>
      <c r="ANY65" s="1251"/>
      <c r="ANZ65" s="1251"/>
      <c r="AOA65" s="1251"/>
      <c r="AOB65" s="1251"/>
      <c r="AOC65" s="1251"/>
      <c r="AOD65" s="1251"/>
      <c r="AOE65" s="1251"/>
      <c r="AOF65" s="1251"/>
      <c r="AOG65" s="1251"/>
      <c r="AOH65" s="1251"/>
      <c r="AOI65" s="1251"/>
      <c r="AOJ65" s="1251"/>
      <c r="AOK65" s="1251"/>
      <c r="AOL65" s="1251"/>
      <c r="AOM65" s="1251"/>
      <c r="AON65" s="1251"/>
      <c r="AOO65" s="1251"/>
      <c r="AOP65" s="1251"/>
      <c r="AOQ65" s="1251"/>
      <c r="AOR65" s="1251"/>
      <c r="AOS65" s="1251"/>
      <c r="AOT65" s="1251"/>
      <c r="AOU65" s="1251"/>
      <c r="AOV65" s="1251"/>
      <c r="AOW65" s="1251"/>
      <c r="AOX65" s="1251"/>
      <c r="AOY65" s="1251"/>
      <c r="AOZ65" s="1251"/>
      <c r="APA65" s="1251"/>
      <c r="APB65" s="1251"/>
      <c r="APC65" s="1251"/>
      <c r="APD65" s="1251"/>
      <c r="APE65" s="1251"/>
      <c r="APF65" s="1251"/>
      <c r="APG65" s="1251"/>
      <c r="APH65" s="1251"/>
      <c r="API65" s="1251"/>
      <c r="APJ65" s="1251"/>
      <c r="APK65" s="1251"/>
      <c r="APL65" s="1251"/>
      <c r="APM65" s="1251"/>
      <c r="APN65" s="1251"/>
      <c r="APO65" s="1251"/>
      <c r="APP65" s="1251"/>
      <c r="APQ65" s="1251"/>
      <c r="APR65" s="1251"/>
      <c r="APS65" s="1251"/>
      <c r="APT65" s="1251"/>
      <c r="APU65" s="1251"/>
      <c r="APV65" s="1251"/>
      <c r="APW65" s="1251"/>
      <c r="APX65" s="1251"/>
      <c r="APY65" s="1251"/>
      <c r="APZ65" s="1251"/>
      <c r="AQA65" s="1251"/>
      <c r="AQB65" s="1251"/>
      <c r="AQC65" s="1251"/>
      <c r="AQD65" s="1251"/>
      <c r="AQE65" s="1251"/>
      <c r="AQF65" s="1251"/>
      <c r="AQG65" s="1251"/>
      <c r="AQH65" s="1251"/>
      <c r="AQI65" s="1251"/>
      <c r="AQJ65" s="1251"/>
      <c r="AQK65" s="1251"/>
      <c r="AQL65" s="1251"/>
      <c r="AQM65" s="1251"/>
      <c r="AQN65" s="1251"/>
      <c r="AQO65" s="1251"/>
      <c r="AQP65" s="1251"/>
      <c r="AQQ65" s="1251"/>
      <c r="AQR65" s="1251"/>
      <c r="AQS65" s="1251"/>
      <c r="AQT65" s="1251"/>
      <c r="AQU65" s="1251"/>
      <c r="AQV65" s="1251"/>
      <c r="AQW65" s="1251"/>
      <c r="AQX65" s="1251"/>
      <c r="AQY65" s="1251"/>
      <c r="AQZ65" s="1251"/>
      <c r="ARA65" s="1251"/>
      <c r="ARB65" s="1251"/>
      <c r="ARC65" s="1251"/>
      <c r="ARD65" s="1251"/>
      <c r="ARE65" s="1251"/>
      <c r="ARF65" s="1251"/>
      <c r="ARG65" s="1251"/>
      <c r="ARH65" s="1251"/>
      <c r="ARI65" s="1251"/>
      <c r="ARJ65" s="1251"/>
      <c r="ARK65" s="1251"/>
      <c r="ARL65" s="1251"/>
      <c r="ARM65" s="1251"/>
      <c r="ARN65" s="1251"/>
      <c r="ARO65" s="1251"/>
      <c r="ARP65" s="1251"/>
      <c r="ARQ65" s="1251"/>
      <c r="ARR65" s="1251"/>
      <c r="ARS65" s="1251"/>
      <c r="ART65" s="1251"/>
      <c r="ARU65" s="1251"/>
      <c r="ARV65" s="1251"/>
      <c r="ARW65" s="1251"/>
      <c r="ARX65" s="1251"/>
      <c r="ARY65" s="1251"/>
      <c r="ARZ65" s="1251"/>
      <c r="ASA65" s="1251"/>
      <c r="ASB65" s="1251"/>
      <c r="ASC65" s="1251"/>
      <c r="ASD65" s="1251"/>
      <c r="ASE65" s="1251"/>
      <c r="ASF65" s="1251"/>
      <c r="ASG65" s="1251"/>
      <c r="ASH65" s="1251"/>
      <c r="ASI65" s="1251"/>
      <c r="ASJ65" s="1251"/>
      <c r="ASK65" s="1251"/>
      <c r="ASL65" s="1251"/>
      <c r="ASM65" s="1251"/>
      <c r="ASN65" s="1251"/>
      <c r="ASO65" s="1251"/>
      <c r="ASP65" s="1251"/>
      <c r="ASQ65" s="1251"/>
      <c r="ASR65" s="1251"/>
      <c r="ASS65" s="1251"/>
      <c r="AST65" s="1251"/>
      <c r="ASU65" s="1251"/>
      <c r="ASV65" s="1251"/>
      <c r="ASW65" s="1251"/>
      <c r="ASX65" s="1251"/>
      <c r="ASY65" s="1251"/>
      <c r="ASZ65" s="1251"/>
      <c r="ATA65" s="1251"/>
      <c r="ATB65" s="1251"/>
      <c r="ATC65" s="1251"/>
      <c r="ATD65" s="1251"/>
      <c r="ATE65" s="1251"/>
      <c r="ATF65" s="1251"/>
      <c r="ATG65" s="1251"/>
      <c r="ATH65" s="1251"/>
      <c r="ATI65" s="1251"/>
      <c r="ATJ65" s="1251"/>
      <c r="ATK65" s="1251"/>
      <c r="ATL65" s="1251"/>
      <c r="ATM65" s="1251"/>
      <c r="ATN65" s="1251"/>
      <c r="ATO65" s="1251"/>
      <c r="ATP65" s="1251"/>
      <c r="ATQ65" s="1251"/>
      <c r="ATR65" s="1251"/>
      <c r="ATS65" s="1251"/>
      <c r="ATT65" s="1251"/>
      <c r="ATU65" s="1251"/>
      <c r="ATV65" s="1251"/>
      <c r="ATW65" s="1251"/>
      <c r="ATX65" s="1251"/>
      <c r="ATY65" s="1251"/>
      <c r="ATZ65" s="1251"/>
      <c r="AUA65" s="1251"/>
      <c r="AUB65" s="1251"/>
      <c r="AUC65" s="1251"/>
      <c r="AUD65" s="1251"/>
      <c r="AUE65" s="1251"/>
      <c r="AUF65" s="1251"/>
      <c r="AUG65" s="1251"/>
      <c r="AUH65" s="1251"/>
      <c r="AUI65" s="1251"/>
      <c r="AUJ65" s="1251"/>
      <c r="AUK65" s="1251"/>
      <c r="AUL65" s="1251"/>
      <c r="AUM65" s="1251"/>
      <c r="AUN65" s="1251"/>
      <c r="AUO65" s="1251"/>
      <c r="AUP65" s="1251"/>
      <c r="AUQ65" s="1251"/>
      <c r="AUR65" s="1251"/>
      <c r="AUS65" s="1251"/>
      <c r="AUT65" s="1251"/>
      <c r="AUU65" s="1251"/>
      <c r="AUV65" s="1251"/>
      <c r="AUW65" s="1251"/>
      <c r="AUX65" s="1251"/>
      <c r="AUY65" s="1251"/>
      <c r="AUZ65" s="1251"/>
      <c r="AVA65" s="1251"/>
      <c r="AVB65" s="1251"/>
      <c r="AVC65" s="1251"/>
      <c r="AVD65" s="1251"/>
      <c r="AVE65" s="1251"/>
      <c r="AVF65" s="1251"/>
      <c r="AVG65" s="1251"/>
      <c r="AVH65" s="1251"/>
      <c r="AVI65" s="1251"/>
      <c r="AVJ65" s="1251"/>
      <c r="AVK65" s="1251"/>
      <c r="AVL65" s="1251"/>
      <c r="AVM65" s="1251"/>
      <c r="AVN65" s="1251"/>
      <c r="AVO65" s="1251"/>
      <c r="AVP65" s="1251"/>
      <c r="AVQ65" s="1251"/>
      <c r="AVR65" s="1251"/>
      <c r="AVS65" s="1251"/>
      <c r="AVT65" s="1251"/>
      <c r="AVU65" s="1251"/>
      <c r="AVV65" s="1251"/>
      <c r="AVW65" s="1251"/>
      <c r="AVX65" s="1251"/>
      <c r="AVY65" s="1251"/>
      <c r="AVZ65" s="1251"/>
      <c r="AWA65" s="1251"/>
      <c r="AWB65" s="1251"/>
      <c r="AWC65" s="1251"/>
      <c r="AWD65" s="1251"/>
      <c r="AWE65" s="1251"/>
      <c r="AWF65" s="1251"/>
      <c r="AWG65" s="1251"/>
      <c r="AWH65" s="1251"/>
      <c r="AWI65" s="1251"/>
      <c r="AWJ65" s="1251"/>
      <c r="AWK65" s="1251"/>
      <c r="AWL65" s="1251"/>
      <c r="AWM65" s="1251"/>
      <c r="AWN65" s="1251"/>
      <c r="AWO65" s="1251"/>
      <c r="AWP65" s="1251"/>
      <c r="AWQ65" s="1251"/>
      <c r="AWR65" s="1251"/>
      <c r="AWS65" s="1251"/>
      <c r="AWT65" s="1251"/>
      <c r="AWU65" s="1251"/>
      <c r="AWV65" s="1251"/>
      <c r="AWW65" s="1251"/>
      <c r="AWX65" s="1251"/>
      <c r="AWY65" s="1251"/>
      <c r="AWZ65" s="1251"/>
      <c r="AXA65" s="1251"/>
      <c r="AXB65" s="1251"/>
      <c r="AXC65" s="1251"/>
      <c r="AXD65" s="1251"/>
      <c r="AXE65" s="1251"/>
      <c r="AXF65" s="1251"/>
      <c r="AXG65" s="1251"/>
      <c r="AXH65" s="1251"/>
      <c r="AXI65" s="1251"/>
      <c r="AXJ65" s="1251"/>
      <c r="AXK65" s="1251"/>
      <c r="AXL65" s="1251"/>
      <c r="AXM65" s="1251"/>
      <c r="AXN65" s="1251"/>
      <c r="AXO65" s="1251"/>
      <c r="AXP65" s="1251"/>
      <c r="AXQ65" s="1251"/>
      <c r="AXR65" s="1251"/>
      <c r="AXS65" s="1251"/>
      <c r="AXT65" s="1251"/>
      <c r="AXU65" s="1251"/>
      <c r="AXV65" s="1251"/>
      <c r="AXW65" s="1251"/>
      <c r="AXX65" s="1251"/>
      <c r="AXY65" s="1251"/>
      <c r="AXZ65" s="1251"/>
      <c r="AYA65" s="1251"/>
      <c r="AYB65" s="1251"/>
      <c r="AYC65" s="1251"/>
      <c r="AYD65" s="1251"/>
      <c r="AYE65" s="1251"/>
      <c r="AYF65" s="1251"/>
      <c r="AYG65" s="1251"/>
      <c r="AYH65" s="1251"/>
      <c r="AYI65" s="1251"/>
      <c r="AYJ65" s="1251"/>
      <c r="AYK65" s="1251"/>
      <c r="AYL65" s="1251"/>
      <c r="AYM65" s="1251"/>
      <c r="AYN65" s="1251"/>
      <c r="AYO65" s="1251"/>
      <c r="AYP65" s="1251"/>
      <c r="AYQ65" s="1251"/>
      <c r="AYR65" s="1251"/>
      <c r="AYS65" s="1251"/>
      <c r="AYT65" s="1251"/>
      <c r="AYU65" s="1251"/>
      <c r="AYV65" s="1251"/>
      <c r="AYW65" s="1251"/>
      <c r="AYX65" s="1251"/>
      <c r="AYY65" s="1251"/>
      <c r="AYZ65" s="1251"/>
      <c r="AZA65" s="1251"/>
      <c r="AZB65" s="1251"/>
      <c r="AZC65" s="1251"/>
      <c r="AZD65" s="1251"/>
      <c r="AZE65" s="1251"/>
      <c r="AZF65" s="1251"/>
      <c r="AZG65" s="1251"/>
      <c r="AZH65" s="1251"/>
      <c r="AZI65" s="1251"/>
      <c r="AZJ65" s="1251"/>
      <c r="AZK65" s="1251"/>
      <c r="AZL65" s="1251"/>
      <c r="AZM65" s="1251"/>
      <c r="AZN65" s="1251"/>
      <c r="AZO65" s="1251"/>
      <c r="AZP65" s="1251"/>
      <c r="AZQ65" s="1251"/>
      <c r="AZR65" s="1251"/>
      <c r="AZS65" s="1251"/>
      <c r="AZT65" s="1251"/>
      <c r="AZU65" s="1251"/>
      <c r="AZV65" s="1251"/>
      <c r="AZW65" s="1251"/>
      <c r="AZX65" s="1251"/>
      <c r="AZY65" s="1251"/>
      <c r="AZZ65" s="1251"/>
      <c r="BAA65" s="1251"/>
      <c r="BAB65" s="1251"/>
      <c r="BAC65" s="1251"/>
      <c r="BAD65" s="1251"/>
      <c r="BAE65" s="1251"/>
      <c r="BAF65" s="1251"/>
      <c r="BAG65" s="1251"/>
      <c r="BAH65" s="1251"/>
      <c r="BAI65" s="1251"/>
      <c r="BAJ65" s="1251"/>
      <c r="BAK65" s="1251"/>
      <c r="BAL65" s="1251"/>
      <c r="BAM65" s="1251"/>
      <c r="BAN65" s="1251"/>
      <c r="BAO65" s="1251"/>
      <c r="BAP65" s="1251"/>
      <c r="BAQ65" s="1251"/>
      <c r="BAR65" s="1251"/>
      <c r="BAS65" s="1251"/>
      <c r="BAT65" s="1251"/>
      <c r="BAU65" s="1251"/>
      <c r="BAV65" s="1251"/>
      <c r="BAW65" s="1251"/>
      <c r="BAX65" s="1251"/>
      <c r="BAY65" s="1251"/>
      <c r="BAZ65" s="1251"/>
      <c r="BBA65" s="1251"/>
      <c r="BBB65" s="1251"/>
      <c r="BBC65" s="1251"/>
      <c r="BBD65" s="1251"/>
      <c r="BBE65" s="1251"/>
      <c r="BBF65" s="1251"/>
      <c r="BBG65" s="1251"/>
      <c r="BBH65" s="1251"/>
      <c r="BBI65" s="1251"/>
      <c r="BBJ65" s="1251"/>
      <c r="BBK65" s="1251"/>
      <c r="BBL65" s="1251"/>
      <c r="BBM65" s="1251"/>
      <c r="BBN65" s="1251"/>
      <c r="BBO65" s="1251"/>
      <c r="BBP65" s="1251"/>
      <c r="BBQ65" s="1251"/>
      <c r="BBR65" s="1251"/>
      <c r="BBS65" s="1251"/>
      <c r="BBT65" s="1251"/>
      <c r="BBU65" s="1251"/>
      <c r="BBV65" s="1251"/>
      <c r="BBW65" s="1251"/>
      <c r="BBX65" s="1251"/>
      <c r="BBY65" s="1251"/>
      <c r="BBZ65" s="1251"/>
      <c r="BCA65" s="1251"/>
      <c r="BCB65" s="1251"/>
      <c r="BCC65" s="1251"/>
      <c r="BCD65" s="1251"/>
      <c r="BCE65" s="1251"/>
      <c r="BCF65" s="1251"/>
      <c r="BCG65" s="1251"/>
      <c r="BCH65" s="1251"/>
      <c r="BCI65" s="1251"/>
      <c r="BCJ65" s="1251"/>
      <c r="BCK65" s="1251"/>
      <c r="BCL65" s="1251"/>
      <c r="BCM65" s="1251"/>
      <c r="BCN65" s="1251"/>
      <c r="BCO65" s="1251"/>
      <c r="BCP65" s="1251"/>
      <c r="BCQ65" s="1251"/>
      <c r="BCR65" s="1251"/>
      <c r="BCS65" s="1251"/>
      <c r="BCT65" s="1251"/>
      <c r="BCU65" s="1251"/>
      <c r="BCV65" s="1251"/>
      <c r="BCW65" s="1251"/>
      <c r="BCX65" s="1251"/>
      <c r="BCY65" s="1251"/>
      <c r="BCZ65" s="1251"/>
      <c r="BDA65" s="1251"/>
      <c r="BDB65" s="1251"/>
      <c r="BDC65" s="1251"/>
      <c r="BDD65" s="1251"/>
      <c r="BDE65" s="1251"/>
      <c r="BDF65" s="1251"/>
      <c r="BDG65" s="1251"/>
      <c r="BDH65" s="1251"/>
      <c r="BDI65" s="1251"/>
      <c r="BDJ65" s="1251"/>
      <c r="BDK65" s="1251"/>
      <c r="BDL65" s="1251"/>
      <c r="BDM65" s="1251"/>
      <c r="BDN65" s="1251"/>
      <c r="BDO65" s="1251"/>
      <c r="BDP65" s="1251"/>
      <c r="BDQ65" s="1251"/>
      <c r="BDR65" s="1251"/>
      <c r="BDS65" s="1251"/>
      <c r="BDT65" s="1251"/>
      <c r="BDU65" s="1251"/>
      <c r="BDV65" s="1251"/>
      <c r="BDW65" s="1251"/>
      <c r="BDX65" s="1251"/>
      <c r="BDY65" s="1251"/>
      <c r="BDZ65" s="1251"/>
      <c r="BEA65" s="1251"/>
      <c r="BEB65" s="1251"/>
      <c r="BEC65" s="1251"/>
      <c r="BED65" s="1251"/>
      <c r="BEE65" s="1251"/>
      <c r="BEF65" s="1251"/>
      <c r="BEG65" s="1251"/>
      <c r="BEH65" s="1251"/>
      <c r="BEI65" s="1251"/>
      <c r="BEJ65" s="1251"/>
      <c r="BEK65" s="1251"/>
      <c r="BEL65" s="1251"/>
      <c r="BEM65" s="1251"/>
      <c r="BEN65" s="1251"/>
      <c r="BEO65" s="1251"/>
      <c r="BEP65" s="1251"/>
      <c r="BEQ65" s="1251"/>
      <c r="BER65" s="1251"/>
      <c r="BES65" s="1251"/>
      <c r="BET65" s="1251"/>
      <c r="BEU65" s="1251"/>
      <c r="BEV65" s="1251"/>
      <c r="BEW65" s="1251"/>
      <c r="BEX65" s="1251"/>
      <c r="BEY65" s="1251"/>
      <c r="BEZ65" s="1251"/>
      <c r="BFA65" s="1251"/>
      <c r="BFB65" s="1251"/>
      <c r="BFC65" s="1251"/>
      <c r="BFD65" s="1251"/>
      <c r="BFE65" s="1251"/>
      <c r="BFF65" s="1251"/>
      <c r="BFG65" s="1251"/>
      <c r="BFH65" s="1251"/>
      <c r="BFI65" s="1251"/>
      <c r="BFJ65" s="1251"/>
      <c r="BFK65" s="1251"/>
      <c r="BFL65" s="1251"/>
      <c r="BFM65" s="1251"/>
      <c r="BFN65" s="1251"/>
      <c r="BFO65" s="1251"/>
      <c r="BFP65" s="1251"/>
      <c r="BFQ65" s="1251"/>
      <c r="BFR65" s="1251"/>
      <c r="BFS65" s="1251"/>
      <c r="BFT65" s="1251"/>
      <c r="BFU65" s="1251"/>
      <c r="BFV65" s="1251"/>
      <c r="BFW65" s="1251"/>
      <c r="BFX65" s="1251"/>
      <c r="BFY65" s="1251"/>
      <c r="BFZ65" s="1251"/>
      <c r="BGA65" s="1251"/>
      <c r="BGB65" s="1251"/>
      <c r="BGC65" s="1251"/>
      <c r="BGD65" s="1251"/>
      <c r="BGE65" s="1251"/>
      <c r="BGF65" s="1251"/>
      <c r="BGG65" s="1251"/>
      <c r="BGH65" s="1251"/>
      <c r="BGI65" s="1251"/>
      <c r="BGJ65" s="1251"/>
      <c r="BGK65" s="1251"/>
      <c r="BGL65" s="1251"/>
      <c r="BGM65" s="1251"/>
      <c r="BGN65" s="1251"/>
      <c r="BGO65" s="1251"/>
      <c r="BGP65" s="1251"/>
      <c r="BGQ65" s="1251"/>
      <c r="BGR65" s="1251"/>
      <c r="BGS65" s="1251"/>
      <c r="BGT65" s="1251"/>
      <c r="BGU65" s="1251"/>
      <c r="BGV65" s="1251"/>
      <c r="BGW65" s="1251"/>
      <c r="BGX65" s="1251"/>
      <c r="BGY65" s="1251"/>
      <c r="BGZ65" s="1251"/>
      <c r="BHA65" s="1251"/>
      <c r="BHB65" s="1251"/>
      <c r="BHC65" s="1251"/>
      <c r="BHD65" s="1251"/>
      <c r="BHE65" s="1251"/>
      <c r="BHF65" s="1251"/>
      <c r="BHG65" s="1251"/>
      <c r="BHH65" s="1251"/>
      <c r="BHI65" s="1251"/>
      <c r="BHJ65" s="1251"/>
      <c r="BHK65" s="1251"/>
      <c r="BHL65" s="1251"/>
      <c r="BHM65" s="1251"/>
      <c r="BHN65" s="1251"/>
      <c r="BHO65" s="1251"/>
      <c r="BHP65" s="1251"/>
      <c r="BHQ65" s="1251"/>
      <c r="BHR65" s="1251"/>
      <c r="BHS65" s="1251"/>
      <c r="BHT65" s="1251"/>
      <c r="BHU65" s="1251"/>
      <c r="BHV65" s="1251"/>
      <c r="BHW65" s="1251"/>
      <c r="BHX65" s="1251"/>
      <c r="BHY65" s="1251"/>
      <c r="BHZ65" s="1251"/>
      <c r="BIA65" s="1251"/>
      <c r="BIB65" s="1251"/>
      <c r="BIC65" s="1251"/>
      <c r="BID65" s="1251"/>
      <c r="BIE65" s="1251"/>
      <c r="BIF65" s="1251"/>
      <c r="BIG65" s="1251"/>
      <c r="BIH65" s="1251"/>
      <c r="BII65" s="1251"/>
      <c r="BIJ65" s="1251"/>
      <c r="BIK65" s="1251"/>
      <c r="BIL65" s="1251"/>
      <c r="BIM65" s="1251"/>
      <c r="BIN65" s="1251"/>
      <c r="BIO65" s="1251"/>
      <c r="BIP65" s="1251"/>
      <c r="BIQ65" s="1251"/>
      <c r="BIR65" s="1251"/>
      <c r="BIS65" s="1251"/>
      <c r="BIT65" s="1251"/>
      <c r="BIU65" s="1251"/>
      <c r="BIV65" s="1251"/>
      <c r="BIW65" s="1251"/>
      <c r="BIX65" s="1251"/>
      <c r="BIY65" s="1251"/>
      <c r="BIZ65" s="1251"/>
      <c r="BJA65" s="1251"/>
      <c r="BJB65" s="1251"/>
      <c r="BJC65" s="1251"/>
      <c r="BJD65" s="1251"/>
      <c r="BJE65" s="1251"/>
      <c r="BJF65" s="1251"/>
      <c r="BJG65" s="1251"/>
      <c r="BJH65" s="1251"/>
      <c r="BJI65" s="1251"/>
      <c r="BJJ65" s="1251"/>
      <c r="BJK65" s="1251"/>
      <c r="BJL65" s="1251"/>
      <c r="BJM65" s="1251"/>
      <c r="BJN65" s="1251"/>
      <c r="BJO65" s="1251"/>
      <c r="BJP65" s="1251"/>
      <c r="BJQ65" s="1251"/>
      <c r="BJR65" s="1251"/>
      <c r="BJS65" s="1251"/>
      <c r="BJT65" s="1251"/>
      <c r="BJU65" s="1251"/>
      <c r="BJV65" s="1251"/>
      <c r="BJW65" s="1251"/>
      <c r="BJX65" s="1251"/>
      <c r="BJY65" s="1251"/>
      <c r="BJZ65" s="1251"/>
      <c r="BKA65" s="1251"/>
      <c r="BKB65" s="1251"/>
      <c r="BKC65" s="1251"/>
      <c r="BKD65" s="1251"/>
      <c r="BKE65" s="1251"/>
      <c r="BKF65" s="1251"/>
      <c r="BKG65" s="1251"/>
      <c r="BKH65" s="1251"/>
      <c r="BKI65" s="1251"/>
      <c r="BKJ65" s="1251"/>
      <c r="BKK65" s="1251"/>
      <c r="BKL65" s="1251"/>
      <c r="BKM65" s="1251"/>
      <c r="BKN65" s="1251"/>
      <c r="BKO65" s="1251"/>
      <c r="BKP65" s="1251"/>
      <c r="BKQ65" s="1251"/>
      <c r="BKR65" s="1251"/>
      <c r="BKS65" s="1251"/>
      <c r="BKT65" s="1251"/>
      <c r="BKU65" s="1251"/>
      <c r="BKV65" s="1251"/>
      <c r="BKW65" s="1251"/>
      <c r="BKX65" s="1251"/>
      <c r="BKY65" s="1251"/>
      <c r="BKZ65" s="1251"/>
      <c r="BLA65" s="1251"/>
      <c r="BLB65" s="1251"/>
      <c r="BLC65" s="1251"/>
      <c r="BLD65" s="1251"/>
      <c r="BLE65" s="1251"/>
      <c r="BLF65" s="1251"/>
      <c r="BLG65" s="1251"/>
      <c r="BLH65" s="1251"/>
      <c r="BLI65" s="1251"/>
      <c r="BLJ65" s="1251"/>
      <c r="BLK65" s="1251"/>
      <c r="BLL65" s="1251"/>
      <c r="BLM65" s="1251"/>
      <c r="BLN65" s="1251"/>
      <c r="BLO65" s="1251"/>
      <c r="BLP65" s="1251"/>
      <c r="BLQ65" s="1251"/>
      <c r="BLR65" s="1251"/>
      <c r="BLS65" s="1251"/>
      <c r="BLT65" s="1251"/>
      <c r="BLU65" s="1251"/>
      <c r="BLV65" s="1251"/>
      <c r="BLW65" s="1251"/>
      <c r="BLX65" s="1251"/>
      <c r="BLY65" s="1251"/>
      <c r="BLZ65" s="1251"/>
      <c r="BMA65" s="1251"/>
      <c r="BMB65" s="1251"/>
      <c r="BMC65" s="1251"/>
      <c r="BMD65" s="1251"/>
      <c r="BME65" s="1251"/>
      <c r="BMF65" s="1251"/>
      <c r="BMG65" s="1251"/>
      <c r="BMH65" s="1251"/>
      <c r="BMI65" s="1251"/>
      <c r="BMJ65" s="1251"/>
      <c r="BMK65" s="1251"/>
      <c r="BML65" s="1251"/>
      <c r="BMM65" s="1251"/>
      <c r="BMN65" s="1251"/>
      <c r="BMO65" s="1251"/>
      <c r="BMP65" s="1251"/>
      <c r="BMQ65" s="1251"/>
      <c r="BMR65" s="1251"/>
      <c r="BMS65" s="1251"/>
      <c r="BMT65" s="1251"/>
      <c r="BMU65" s="1251"/>
      <c r="BMV65" s="1251"/>
      <c r="BMW65" s="1251"/>
      <c r="BMX65" s="1251"/>
      <c r="BMY65" s="1251"/>
      <c r="BMZ65" s="1251"/>
      <c r="BNA65" s="1251"/>
      <c r="BNB65" s="1251"/>
      <c r="BNC65" s="1251"/>
      <c r="BND65" s="1251"/>
      <c r="BNE65" s="1251"/>
      <c r="BNF65" s="1251"/>
      <c r="BNG65" s="1251"/>
      <c r="BNH65" s="1251"/>
      <c r="BNI65" s="1251"/>
      <c r="BNJ65" s="1251"/>
      <c r="BNK65" s="1251"/>
      <c r="BNL65" s="1251"/>
      <c r="BNM65" s="1251"/>
      <c r="BNN65" s="1251"/>
      <c r="BNO65" s="1251"/>
      <c r="BNP65" s="1251"/>
      <c r="BNQ65" s="1251"/>
      <c r="BNR65" s="1251"/>
      <c r="BNS65" s="1251"/>
      <c r="BNT65" s="1251"/>
      <c r="BNU65" s="1251"/>
      <c r="BNV65" s="1251"/>
      <c r="BNW65" s="1251"/>
      <c r="BNX65" s="1251"/>
      <c r="BNY65" s="1251"/>
      <c r="BNZ65" s="1251"/>
      <c r="BOA65" s="1251"/>
      <c r="BOB65" s="1251"/>
      <c r="BOC65" s="1251"/>
      <c r="BOD65" s="1251"/>
      <c r="BOE65" s="1251"/>
      <c r="BOF65" s="1251"/>
      <c r="BOG65" s="1251"/>
      <c r="BOH65" s="1251"/>
      <c r="BOI65" s="1251"/>
      <c r="BOJ65" s="1251"/>
      <c r="BOK65" s="1251"/>
      <c r="BOL65" s="1251"/>
      <c r="BOM65" s="1251"/>
      <c r="BON65" s="1251"/>
      <c r="BOO65" s="1251"/>
      <c r="BOP65" s="1251"/>
      <c r="BOQ65" s="1251"/>
      <c r="BOR65" s="1251"/>
      <c r="BOS65" s="1251"/>
      <c r="BOT65" s="1251"/>
      <c r="BOU65" s="1251"/>
      <c r="BOV65" s="1251"/>
      <c r="BOW65" s="1251"/>
      <c r="BOX65" s="1251"/>
      <c r="BOY65" s="1251"/>
      <c r="BOZ65" s="1251"/>
      <c r="BPA65" s="1251"/>
      <c r="BPB65" s="1251"/>
      <c r="BPC65" s="1251"/>
      <c r="BPD65" s="1251"/>
      <c r="BPE65" s="1251"/>
      <c r="BPF65" s="1251"/>
      <c r="BPG65" s="1251"/>
      <c r="BPH65" s="1251"/>
      <c r="BPI65" s="1251"/>
      <c r="BPJ65" s="1251"/>
      <c r="BPK65" s="1251"/>
      <c r="BPL65" s="1251"/>
      <c r="BPM65" s="1251"/>
      <c r="BPN65" s="1251"/>
      <c r="BPO65" s="1251"/>
      <c r="BPP65" s="1251"/>
      <c r="BPQ65" s="1251"/>
      <c r="BPR65" s="1251"/>
      <c r="BPS65" s="1251"/>
      <c r="BPT65" s="1251"/>
      <c r="BPU65" s="1251"/>
      <c r="BPV65" s="1251"/>
      <c r="BPW65" s="1251"/>
      <c r="BPX65" s="1251"/>
      <c r="BPY65" s="1251"/>
      <c r="BPZ65" s="1251"/>
      <c r="BQA65" s="1251"/>
      <c r="BQB65" s="1251"/>
      <c r="BQC65" s="1251"/>
      <c r="BQD65" s="1251"/>
      <c r="BQE65" s="1251"/>
      <c r="BQF65" s="1251"/>
      <c r="BQG65" s="1251"/>
      <c r="BQH65" s="1251"/>
      <c r="BQI65" s="1251"/>
      <c r="BQJ65" s="1251"/>
      <c r="BQK65" s="1251"/>
      <c r="BQL65" s="1251"/>
      <c r="BQM65" s="1251"/>
      <c r="BQN65" s="1251"/>
      <c r="BQO65" s="1251"/>
      <c r="BQP65" s="1251"/>
      <c r="BQQ65" s="1251"/>
      <c r="BQR65" s="1251"/>
      <c r="BQS65" s="1251"/>
      <c r="BQT65" s="1251"/>
      <c r="BQU65" s="1251"/>
      <c r="BQV65" s="1251"/>
      <c r="BQW65" s="1251"/>
      <c r="BQX65" s="1251"/>
      <c r="BQY65" s="1251"/>
      <c r="BQZ65" s="1251"/>
      <c r="BRA65" s="1251"/>
      <c r="BRB65" s="1251"/>
      <c r="BRC65" s="1251"/>
      <c r="BRD65" s="1251"/>
      <c r="BRE65" s="1251"/>
      <c r="BRF65" s="1251"/>
      <c r="BRG65" s="1251"/>
      <c r="BRH65" s="1251"/>
      <c r="BRI65" s="1251"/>
      <c r="BRJ65" s="1251"/>
      <c r="BRK65" s="1251"/>
      <c r="BRL65" s="1251"/>
      <c r="BRM65" s="1251"/>
      <c r="BRN65" s="1251"/>
      <c r="BRO65" s="1251"/>
      <c r="BRP65" s="1251"/>
      <c r="BRQ65" s="1251"/>
      <c r="BRR65" s="1251"/>
      <c r="BRS65" s="1251"/>
      <c r="BRT65" s="1251"/>
      <c r="BRU65" s="1251"/>
      <c r="BRV65" s="1251"/>
      <c r="BRW65" s="1251"/>
      <c r="BRX65" s="1251"/>
      <c r="BRY65" s="1251"/>
      <c r="BRZ65" s="1251"/>
      <c r="BSA65" s="1251"/>
      <c r="BSB65" s="1251"/>
      <c r="BSC65" s="1251"/>
      <c r="BSD65" s="1251"/>
      <c r="BSE65" s="1251"/>
      <c r="BSF65" s="1251"/>
      <c r="BSG65" s="1251"/>
      <c r="BSH65" s="1251"/>
      <c r="BSI65" s="1251"/>
      <c r="BSJ65" s="1251"/>
      <c r="BSK65" s="1251"/>
      <c r="BSL65" s="1251"/>
      <c r="BSM65" s="1251"/>
      <c r="BSN65" s="1251"/>
      <c r="BSO65" s="1251"/>
      <c r="BSP65" s="1251"/>
      <c r="BSQ65" s="1251"/>
      <c r="BSR65" s="1251"/>
      <c r="BSS65" s="1251"/>
      <c r="BST65" s="1251"/>
      <c r="BSU65" s="1251"/>
      <c r="BSV65" s="1251"/>
      <c r="BSW65" s="1251"/>
      <c r="BSX65" s="1251"/>
      <c r="BSY65" s="1251"/>
      <c r="BSZ65" s="1251"/>
      <c r="BTA65" s="1251"/>
      <c r="BTB65" s="1251"/>
      <c r="BTC65" s="1251"/>
      <c r="BTD65" s="1251"/>
      <c r="BTE65" s="1251"/>
      <c r="BTF65" s="1251"/>
      <c r="BTG65" s="1251"/>
      <c r="BTH65" s="1251"/>
      <c r="BTI65" s="1251"/>
    </row>
    <row r="66" spans="1:1881" s="1261" customFormat="1" ht="93.75" hidden="1" customHeight="1" thickBot="1" x14ac:dyDescent="0.35">
      <c r="A66" s="1248">
        <v>380</v>
      </c>
      <c r="B66" s="806" t="s">
        <v>60</v>
      </c>
      <c r="C66" s="806" t="s">
        <v>149</v>
      </c>
      <c r="D66" s="668" t="s">
        <v>1366</v>
      </c>
      <c r="E66" s="1249" t="e">
        <f>HLOOKUP($D$2,'2020 Data(H)'!$C$1:$CZ$426,139,FALSE)</f>
        <v>#N/A</v>
      </c>
      <c r="F66" s="1263">
        <v>0</v>
      </c>
      <c r="G66" s="727">
        <f t="shared" si="1"/>
        <v>0</v>
      </c>
      <c r="H66" s="17"/>
      <c r="I66" s="760"/>
      <c r="J66" s="1252"/>
      <c r="K66" s="1251"/>
      <c r="L66" s="701"/>
      <c r="M66" s="1251"/>
      <c r="N66" s="1253"/>
      <c r="O66" s="1251"/>
      <c r="P66" s="1251"/>
      <c r="Q66" s="1251"/>
      <c r="R66" s="1251"/>
      <c r="S66" s="1251"/>
      <c r="T66" s="1251"/>
      <c r="U66" s="1251"/>
      <c r="V66" s="1251"/>
      <c r="W66" s="1251"/>
      <c r="X66" s="1251"/>
      <c r="Y66" s="1251"/>
      <c r="Z66" s="1248"/>
      <c r="AA66" s="1248"/>
      <c r="AB66" s="1248"/>
      <c r="AC66" s="1248"/>
      <c r="AD66" s="1248"/>
      <c r="AE66" s="1248"/>
      <c r="AF66" s="1248"/>
      <c r="AG66" s="1248"/>
      <c r="AH66" s="1248"/>
      <c r="AI66" s="1248"/>
      <c r="AJ66" s="1248"/>
      <c r="AK66" s="1248"/>
      <c r="AL66" s="1248"/>
      <c r="AM66" s="1248"/>
      <c r="AN66" s="1248"/>
      <c r="AO66" s="1248"/>
      <c r="AP66" s="1248"/>
      <c r="AQ66" s="1248"/>
      <c r="AR66" s="1248"/>
      <c r="AS66" s="1251"/>
      <c r="AT66" s="1251"/>
      <c r="AU66" s="1251"/>
      <c r="AV66" s="1251"/>
      <c r="AW66" s="1251"/>
      <c r="AX66" s="1251"/>
      <c r="AY66" s="1251"/>
      <c r="AZ66" s="1251"/>
      <c r="BA66" s="1251"/>
      <c r="BB66" s="1251"/>
      <c r="BC66" s="1251"/>
      <c r="BD66" s="1251"/>
      <c r="BE66" s="1251"/>
      <c r="BF66" s="1251"/>
      <c r="BG66" s="1251"/>
      <c r="BH66" s="1251"/>
      <c r="BI66" s="1251"/>
      <c r="BJ66" s="1251"/>
      <c r="BK66" s="1251"/>
      <c r="BL66" s="1251"/>
      <c r="BM66" s="1251"/>
      <c r="BN66" s="1251"/>
      <c r="BO66" s="1251"/>
      <c r="BP66" s="1251"/>
      <c r="BQ66" s="1251"/>
      <c r="BR66" s="1251"/>
      <c r="BS66" s="1251"/>
      <c r="BT66" s="1251"/>
      <c r="BU66" s="1251"/>
      <c r="BV66" s="1251"/>
      <c r="BW66" s="1251"/>
      <c r="BX66" s="1251"/>
      <c r="BY66" s="1251"/>
      <c r="BZ66" s="1251"/>
      <c r="CA66" s="1251"/>
      <c r="CB66" s="1251"/>
      <c r="CC66" s="1251"/>
      <c r="CD66" s="1251"/>
      <c r="CE66" s="1251"/>
      <c r="CF66" s="1251"/>
      <c r="CG66" s="1251"/>
      <c r="CH66" s="1251"/>
      <c r="CI66" s="1251"/>
      <c r="CJ66" s="1251"/>
      <c r="CK66" s="1251"/>
      <c r="CL66" s="1251"/>
      <c r="CM66" s="1251"/>
      <c r="CN66" s="1251"/>
      <c r="CO66" s="1251"/>
      <c r="CP66" s="1251"/>
      <c r="CQ66" s="1251"/>
      <c r="CR66" s="1251"/>
      <c r="CS66" s="1251"/>
      <c r="CT66" s="1251"/>
      <c r="CU66" s="1251"/>
      <c r="CV66" s="1251"/>
      <c r="CW66" s="1251"/>
      <c r="CX66" s="1251"/>
      <c r="CY66" s="1251"/>
      <c r="CZ66" s="1251"/>
      <c r="DA66" s="1251"/>
      <c r="DB66" s="1251"/>
      <c r="DC66" s="1251"/>
      <c r="DD66" s="1251"/>
      <c r="DE66" s="1251"/>
      <c r="DF66" s="1251"/>
      <c r="DG66" s="1251"/>
      <c r="DH66" s="1251"/>
      <c r="DI66" s="1251"/>
      <c r="DJ66" s="1251"/>
      <c r="DK66" s="1251"/>
      <c r="DL66" s="1251"/>
      <c r="DM66" s="1251"/>
      <c r="DN66" s="1251"/>
      <c r="DO66" s="1251"/>
      <c r="DP66" s="1251"/>
      <c r="DQ66" s="1251"/>
      <c r="DR66" s="1251"/>
      <c r="DS66" s="1251"/>
      <c r="DT66" s="1251"/>
      <c r="DU66" s="1251"/>
      <c r="DV66" s="1251"/>
      <c r="DW66" s="1251"/>
      <c r="DX66" s="1251"/>
      <c r="DY66" s="1251"/>
      <c r="DZ66" s="1251"/>
      <c r="EA66" s="1251"/>
      <c r="EB66" s="1251"/>
      <c r="EC66" s="1251"/>
      <c r="ED66" s="1251"/>
      <c r="EE66" s="1251"/>
      <c r="EF66" s="1251"/>
      <c r="EG66" s="1251"/>
      <c r="EH66" s="1251"/>
      <c r="EI66" s="1251"/>
      <c r="EJ66" s="1251"/>
      <c r="EK66" s="1251"/>
      <c r="EL66" s="1251"/>
      <c r="EM66" s="1251"/>
      <c r="EN66" s="1251"/>
      <c r="EO66" s="1251"/>
      <c r="EP66" s="1251"/>
      <c r="EQ66" s="1251"/>
      <c r="ER66" s="1251"/>
      <c r="ES66" s="1251"/>
      <c r="ET66" s="1251"/>
      <c r="EU66" s="1251"/>
      <c r="EV66" s="1251"/>
      <c r="EW66" s="1251"/>
      <c r="EX66" s="1251"/>
      <c r="EY66" s="1251"/>
      <c r="EZ66" s="1251"/>
      <c r="FA66" s="1251"/>
      <c r="FB66" s="1251"/>
      <c r="FC66" s="1251"/>
      <c r="FD66" s="1251"/>
      <c r="FE66" s="1251"/>
      <c r="FF66" s="1251"/>
      <c r="FG66" s="1251"/>
      <c r="FH66" s="1251"/>
      <c r="FI66" s="1251"/>
      <c r="FJ66" s="1251"/>
      <c r="FK66" s="1251"/>
      <c r="FL66" s="1251"/>
      <c r="FM66" s="1251"/>
      <c r="FN66" s="1251"/>
      <c r="FO66" s="1251"/>
      <c r="FP66" s="1251"/>
      <c r="FQ66" s="1251"/>
      <c r="FR66" s="1251"/>
      <c r="FS66" s="1251"/>
      <c r="FT66" s="1251"/>
      <c r="FU66" s="1251"/>
      <c r="FV66" s="1251"/>
      <c r="FW66" s="1251"/>
      <c r="FX66" s="1251"/>
      <c r="FY66" s="1251"/>
      <c r="FZ66" s="1251"/>
      <c r="GA66" s="1251"/>
      <c r="GB66" s="1251"/>
      <c r="GC66" s="1251"/>
      <c r="GD66" s="1251"/>
      <c r="GE66" s="1251"/>
      <c r="GF66" s="1251"/>
      <c r="GG66" s="1251"/>
      <c r="GH66" s="1251"/>
      <c r="GI66" s="1251"/>
      <c r="GJ66" s="1251"/>
      <c r="GK66" s="1251"/>
      <c r="GL66" s="1251"/>
      <c r="GM66" s="1251"/>
      <c r="GN66" s="1251"/>
      <c r="GO66" s="1251"/>
      <c r="GP66" s="1251"/>
      <c r="GQ66" s="1251"/>
      <c r="GR66" s="1251"/>
      <c r="GS66" s="1251"/>
      <c r="GT66" s="1251"/>
      <c r="GU66" s="1251"/>
      <c r="GV66" s="1251"/>
      <c r="GW66" s="1251"/>
      <c r="GX66" s="1251"/>
      <c r="GY66" s="1251"/>
      <c r="GZ66" s="1251"/>
      <c r="HA66" s="1251"/>
      <c r="HB66" s="1251"/>
      <c r="HC66" s="1251"/>
      <c r="HD66" s="1251"/>
      <c r="HE66" s="1251"/>
      <c r="HF66" s="1251"/>
      <c r="HG66" s="1251"/>
      <c r="HH66" s="1251"/>
      <c r="HI66" s="1251"/>
      <c r="HJ66" s="1251"/>
      <c r="HK66" s="1251"/>
      <c r="HL66" s="1251"/>
      <c r="HM66" s="1251"/>
      <c r="HN66" s="1251"/>
      <c r="HO66" s="1251"/>
      <c r="HP66" s="1251"/>
      <c r="HQ66" s="1251"/>
      <c r="HR66" s="1251"/>
      <c r="HS66" s="1251"/>
      <c r="HT66" s="1251"/>
      <c r="HU66" s="1251"/>
      <c r="HV66" s="1251"/>
      <c r="HW66" s="1251"/>
      <c r="HX66" s="1251"/>
      <c r="HY66" s="1251"/>
      <c r="HZ66" s="1251"/>
      <c r="IA66" s="1251"/>
      <c r="IB66" s="1251"/>
      <c r="IC66" s="1251"/>
      <c r="ID66" s="1251"/>
      <c r="IE66" s="1251"/>
      <c r="IF66" s="1251"/>
      <c r="IG66" s="1251"/>
      <c r="IH66" s="1251"/>
      <c r="II66" s="1251"/>
      <c r="IJ66" s="1251"/>
      <c r="IK66" s="1251"/>
      <c r="IL66" s="1251"/>
      <c r="IM66" s="1251"/>
      <c r="IN66" s="1251"/>
      <c r="IO66" s="1251"/>
      <c r="IP66" s="1251"/>
      <c r="IQ66" s="1251"/>
      <c r="IR66" s="1251"/>
      <c r="IS66" s="1251"/>
      <c r="IT66" s="1251"/>
      <c r="IU66" s="1251"/>
      <c r="IV66" s="1251"/>
      <c r="IW66" s="1251"/>
      <c r="IX66" s="1251"/>
      <c r="IY66" s="1251"/>
      <c r="IZ66" s="1251"/>
      <c r="JA66" s="1251"/>
      <c r="JB66" s="1251"/>
      <c r="JC66" s="1251"/>
      <c r="JD66" s="1251"/>
      <c r="JE66" s="1251"/>
      <c r="JF66" s="1251"/>
      <c r="JG66" s="1251"/>
      <c r="JH66" s="1251"/>
      <c r="JI66" s="1251"/>
      <c r="JJ66" s="1251"/>
      <c r="JK66" s="1251"/>
      <c r="JL66" s="1251"/>
      <c r="JM66" s="1251"/>
      <c r="JN66" s="1251"/>
      <c r="JO66" s="1251"/>
      <c r="JP66" s="1251"/>
      <c r="JQ66" s="1251"/>
      <c r="JR66" s="1251"/>
      <c r="JS66" s="1251"/>
      <c r="JT66" s="1251"/>
      <c r="JU66" s="1251"/>
      <c r="JV66" s="1251"/>
      <c r="JW66" s="1251"/>
      <c r="JX66" s="1251"/>
      <c r="JY66" s="1251"/>
      <c r="JZ66" s="1251"/>
      <c r="KA66" s="1251"/>
      <c r="KB66" s="1251"/>
      <c r="KC66" s="1251"/>
      <c r="KD66" s="1251"/>
      <c r="KE66" s="1251"/>
      <c r="KF66" s="1251"/>
      <c r="KG66" s="1251"/>
      <c r="KH66" s="1251"/>
      <c r="KI66" s="1251"/>
      <c r="KJ66" s="1251"/>
      <c r="KK66" s="1251"/>
      <c r="KL66" s="1251"/>
      <c r="KM66" s="1251"/>
      <c r="KN66" s="1251"/>
      <c r="KO66" s="1251"/>
      <c r="KP66" s="1251"/>
      <c r="KQ66" s="1251"/>
      <c r="KR66" s="1251"/>
      <c r="KS66" s="1251"/>
      <c r="KT66" s="1251"/>
      <c r="KU66" s="1251"/>
      <c r="KV66" s="1251"/>
      <c r="KW66" s="1251"/>
      <c r="KX66" s="1251"/>
      <c r="KY66" s="1251"/>
      <c r="KZ66" s="1251"/>
      <c r="LA66" s="1251"/>
      <c r="LB66" s="1251"/>
      <c r="LC66" s="1251"/>
      <c r="LD66" s="1251"/>
      <c r="LE66" s="1251"/>
      <c r="LF66" s="1251"/>
      <c r="LG66" s="1251"/>
      <c r="LH66" s="1251"/>
      <c r="LI66" s="1251"/>
      <c r="LJ66" s="1251"/>
      <c r="LK66" s="1251"/>
      <c r="LL66" s="1251"/>
      <c r="LM66" s="1251"/>
      <c r="LN66" s="1251"/>
      <c r="LO66" s="1251"/>
      <c r="LP66" s="1251"/>
      <c r="LQ66" s="1251"/>
      <c r="LR66" s="1251"/>
      <c r="LS66" s="1251"/>
      <c r="LT66" s="1251"/>
      <c r="LU66" s="1251"/>
      <c r="LV66" s="1251"/>
      <c r="LW66" s="1251"/>
      <c r="LX66" s="1251"/>
      <c r="LY66" s="1251"/>
      <c r="LZ66" s="1251"/>
      <c r="MA66" s="1251"/>
      <c r="MB66" s="1251"/>
      <c r="MC66" s="1251"/>
      <c r="MD66" s="1251"/>
      <c r="ME66" s="1251"/>
      <c r="MF66" s="1251"/>
      <c r="MG66" s="1251"/>
      <c r="MH66" s="1251"/>
      <c r="MI66" s="1251"/>
      <c r="MJ66" s="1251"/>
      <c r="MK66" s="1251"/>
      <c r="ML66" s="1251"/>
      <c r="MM66" s="1251"/>
      <c r="MN66" s="1251"/>
      <c r="MO66" s="1251"/>
      <c r="MP66" s="1251"/>
      <c r="MQ66" s="1251"/>
      <c r="MR66" s="1251"/>
      <c r="MS66" s="1251"/>
      <c r="MT66" s="1251"/>
      <c r="MU66" s="1251"/>
      <c r="MV66" s="1251"/>
      <c r="MW66" s="1251"/>
      <c r="MX66" s="1251"/>
      <c r="MY66" s="1251"/>
      <c r="MZ66" s="1251"/>
      <c r="NA66" s="1251"/>
      <c r="NB66" s="1251"/>
      <c r="NC66" s="1251"/>
      <c r="ND66" s="1251"/>
      <c r="NE66" s="1251"/>
      <c r="NF66" s="1251"/>
      <c r="NG66" s="1251"/>
      <c r="NH66" s="1251"/>
      <c r="NI66" s="1251"/>
      <c r="NJ66" s="1251"/>
      <c r="NK66" s="1251"/>
      <c r="NL66" s="1251"/>
      <c r="NM66" s="1251"/>
      <c r="NN66" s="1251"/>
      <c r="NO66" s="1251"/>
      <c r="NP66" s="1251"/>
      <c r="NQ66" s="1251"/>
      <c r="NR66" s="1251"/>
      <c r="NS66" s="1251"/>
      <c r="NT66" s="1251"/>
      <c r="NU66" s="1251"/>
      <c r="NV66" s="1251"/>
      <c r="NW66" s="1251"/>
      <c r="NX66" s="1251"/>
      <c r="NY66" s="1251"/>
      <c r="NZ66" s="1251"/>
      <c r="OA66" s="1251"/>
      <c r="OB66" s="1251"/>
      <c r="OC66" s="1251"/>
      <c r="OD66" s="1251"/>
      <c r="OE66" s="1251"/>
      <c r="OF66" s="1251"/>
      <c r="OG66" s="1251"/>
      <c r="OH66" s="1251"/>
      <c r="OI66" s="1251"/>
      <c r="OJ66" s="1251"/>
      <c r="OK66" s="1251"/>
      <c r="OL66" s="1251"/>
      <c r="OM66" s="1251"/>
      <c r="ON66" s="1251"/>
      <c r="OO66" s="1251"/>
      <c r="OP66" s="1251"/>
      <c r="OQ66" s="1251"/>
      <c r="OR66" s="1251"/>
      <c r="OS66" s="1251"/>
      <c r="OT66" s="1251"/>
      <c r="OU66" s="1251"/>
      <c r="OV66" s="1251"/>
      <c r="OW66" s="1251"/>
      <c r="OX66" s="1251"/>
      <c r="OY66" s="1251"/>
      <c r="OZ66" s="1251"/>
      <c r="PA66" s="1251"/>
      <c r="PB66" s="1251"/>
      <c r="PC66" s="1251"/>
      <c r="PD66" s="1251"/>
      <c r="PE66" s="1251"/>
      <c r="PF66" s="1251"/>
      <c r="PG66" s="1251"/>
      <c r="PH66" s="1251"/>
      <c r="PI66" s="1251"/>
      <c r="PJ66" s="1251"/>
      <c r="PK66" s="1251"/>
      <c r="PL66" s="1251"/>
      <c r="PM66" s="1251"/>
      <c r="PN66" s="1251"/>
      <c r="PO66" s="1251"/>
      <c r="PP66" s="1251"/>
      <c r="PQ66" s="1251"/>
      <c r="PR66" s="1251"/>
      <c r="PS66" s="1251"/>
      <c r="PT66" s="1251"/>
      <c r="PU66" s="1251"/>
      <c r="PV66" s="1251"/>
      <c r="PW66" s="1251"/>
      <c r="PX66" s="1251"/>
      <c r="PY66" s="1251"/>
      <c r="PZ66" s="1251"/>
      <c r="QA66" s="1251"/>
      <c r="QB66" s="1251"/>
      <c r="QC66" s="1251"/>
      <c r="QD66" s="1251"/>
      <c r="QE66" s="1251"/>
      <c r="QF66" s="1251"/>
      <c r="QG66" s="1251"/>
      <c r="QH66" s="1251"/>
      <c r="QI66" s="1251"/>
      <c r="QJ66" s="1251"/>
      <c r="QK66" s="1251"/>
      <c r="QL66" s="1251"/>
      <c r="QM66" s="1251"/>
      <c r="QN66" s="1251"/>
      <c r="QO66" s="1251"/>
      <c r="QP66" s="1251"/>
      <c r="QQ66" s="1251"/>
      <c r="QR66" s="1251"/>
      <c r="QS66" s="1251"/>
      <c r="QT66" s="1251"/>
      <c r="QU66" s="1251"/>
      <c r="QV66" s="1251"/>
      <c r="QW66" s="1251"/>
      <c r="QX66" s="1251"/>
      <c r="QY66" s="1251"/>
      <c r="QZ66" s="1251"/>
      <c r="RA66" s="1251"/>
      <c r="RB66" s="1251"/>
      <c r="RC66" s="1251"/>
      <c r="RD66" s="1251"/>
      <c r="RE66" s="1251"/>
      <c r="RF66" s="1251"/>
      <c r="RG66" s="1251"/>
      <c r="RH66" s="1251"/>
      <c r="RI66" s="1251"/>
      <c r="RJ66" s="1251"/>
      <c r="RK66" s="1251"/>
      <c r="RL66" s="1251"/>
      <c r="RM66" s="1251"/>
      <c r="RN66" s="1251"/>
      <c r="RO66" s="1251"/>
      <c r="RP66" s="1251"/>
      <c r="RQ66" s="1251"/>
      <c r="RR66" s="1251"/>
      <c r="RS66" s="1251"/>
      <c r="RT66" s="1251"/>
      <c r="RU66" s="1251"/>
      <c r="RV66" s="1251"/>
      <c r="RW66" s="1251"/>
      <c r="RX66" s="1251"/>
      <c r="RY66" s="1251"/>
      <c r="RZ66" s="1251"/>
      <c r="SA66" s="1251"/>
      <c r="SB66" s="1251"/>
      <c r="SC66" s="1251"/>
      <c r="SD66" s="1251"/>
      <c r="SE66" s="1251"/>
      <c r="SF66" s="1251"/>
      <c r="SG66" s="1251"/>
      <c r="SH66" s="1251"/>
      <c r="SI66" s="1251"/>
      <c r="SJ66" s="1251"/>
      <c r="SK66" s="1251"/>
      <c r="SL66" s="1251"/>
      <c r="SM66" s="1251"/>
      <c r="SN66" s="1251"/>
      <c r="SO66" s="1251"/>
      <c r="SP66" s="1251"/>
      <c r="SQ66" s="1251"/>
      <c r="SR66" s="1251"/>
      <c r="SS66" s="1251"/>
      <c r="ST66" s="1251"/>
      <c r="SU66" s="1251"/>
      <c r="SV66" s="1251"/>
      <c r="SW66" s="1251"/>
      <c r="SX66" s="1251"/>
      <c r="SY66" s="1251"/>
      <c r="SZ66" s="1251"/>
      <c r="TA66" s="1251"/>
      <c r="TB66" s="1251"/>
      <c r="TC66" s="1251"/>
      <c r="TD66" s="1251"/>
      <c r="TE66" s="1251"/>
      <c r="TF66" s="1251"/>
      <c r="TG66" s="1251"/>
      <c r="TH66" s="1251"/>
      <c r="TI66" s="1251"/>
      <c r="TJ66" s="1251"/>
      <c r="TK66" s="1251"/>
      <c r="TL66" s="1251"/>
      <c r="TM66" s="1251"/>
      <c r="TN66" s="1251"/>
      <c r="TO66" s="1251"/>
      <c r="TP66" s="1251"/>
      <c r="TQ66" s="1251"/>
      <c r="TR66" s="1251"/>
      <c r="TS66" s="1251"/>
      <c r="TT66" s="1251"/>
      <c r="TU66" s="1251"/>
      <c r="TV66" s="1251"/>
      <c r="TW66" s="1251"/>
      <c r="TX66" s="1251"/>
      <c r="TY66" s="1251"/>
      <c r="TZ66" s="1251"/>
      <c r="UA66" s="1251"/>
      <c r="UB66" s="1251"/>
      <c r="UC66" s="1251"/>
      <c r="UD66" s="1251"/>
      <c r="UE66" s="1251"/>
      <c r="UF66" s="1251"/>
      <c r="UG66" s="1251"/>
      <c r="UH66" s="1251"/>
      <c r="UI66" s="1251"/>
      <c r="UJ66" s="1251"/>
      <c r="UK66" s="1251"/>
      <c r="UL66" s="1251"/>
      <c r="UM66" s="1251"/>
      <c r="UN66" s="1251"/>
      <c r="UO66" s="1251"/>
      <c r="UP66" s="1251"/>
      <c r="UQ66" s="1251"/>
      <c r="UR66" s="1251"/>
      <c r="US66" s="1251"/>
      <c r="UT66" s="1251"/>
      <c r="UU66" s="1251"/>
      <c r="UV66" s="1251"/>
      <c r="UW66" s="1251"/>
      <c r="UX66" s="1251"/>
      <c r="UY66" s="1251"/>
      <c r="UZ66" s="1251"/>
      <c r="VA66" s="1251"/>
      <c r="VB66" s="1251"/>
      <c r="VC66" s="1251"/>
      <c r="VD66" s="1251"/>
      <c r="VE66" s="1251"/>
      <c r="VF66" s="1251"/>
      <c r="VG66" s="1251"/>
      <c r="VH66" s="1251"/>
      <c r="VI66" s="1251"/>
      <c r="VJ66" s="1251"/>
      <c r="VK66" s="1251"/>
      <c r="VL66" s="1251"/>
      <c r="VM66" s="1251"/>
      <c r="VN66" s="1251"/>
      <c r="VO66" s="1251"/>
      <c r="VP66" s="1251"/>
      <c r="VQ66" s="1251"/>
      <c r="VR66" s="1251"/>
      <c r="VS66" s="1251"/>
      <c r="VT66" s="1251"/>
      <c r="VU66" s="1251"/>
      <c r="VV66" s="1251"/>
      <c r="VW66" s="1251"/>
      <c r="VX66" s="1251"/>
      <c r="VY66" s="1251"/>
      <c r="VZ66" s="1251"/>
      <c r="WA66" s="1251"/>
      <c r="WB66" s="1251"/>
      <c r="WC66" s="1251"/>
      <c r="WD66" s="1251"/>
      <c r="WE66" s="1251"/>
      <c r="WF66" s="1251"/>
      <c r="WG66" s="1251"/>
      <c r="WH66" s="1251"/>
      <c r="WI66" s="1251"/>
      <c r="WJ66" s="1251"/>
      <c r="WK66" s="1251"/>
      <c r="WL66" s="1251"/>
      <c r="WM66" s="1251"/>
      <c r="WN66" s="1251"/>
      <c r="WO66" s="1251"/>
      <c r="WP66" s="1251"/>
      <c r="WQ66" s="1251"/>
      <c r="WR66" s="1251"/>
      <c r="WS66" s="1251"/>
      <c r="WT66" s="1251"/>
      <c r="WU66" s="1251"/>
      <c r="WV66" s="1251"/>
      <c r="WW66" s="1251"/>
      <c r="WX66" s="1251"/>
      <c r="WY66" s="1251"/>
      <c r="WZ66" s="1251"/>
      <c r="XA66" s="1251"/>
      <c r="XB66" s="1251"/>
      <c r="XC66" s="1251"/>
      <c r="XD66" s="1251"/>
      <c r="XE66" s="1251"/>
      <c r="XF66" s="1251"/>
      <c r="XG66" s="1251"/>
      <c r="XH66" s="1251"/>
      <c r="XI66" s="1251"/>
      <c r="XJ66" s="1251"/>
      <c r="XK66" s="1251"/>
      <c r="XL66" s="1251"/>
      <c r="XM66" s="1251"/>
      <c r="XN66" s="1251"/>
      <c r="XO66" s="1251"/>
      <c r="XP66" s="1251"/>
      <c r="XQ66" s="1251"/>
      <c r="XR66" s="1251"/>
      <c r="XS66" s="1251"/>
      <c r="XT66" s="1251"/>
      <c r="XU66" s="1251"/>
      <c r="XV66" s="1251"/>
      <c r="XW66" s="1251"/>
      <c r="XX66" s="1251"/>
      <c r="XY66" s="1251"/>
      <c r="XZ66" s="1251"/>
      <c r="YA66" s="1251"/>
      <c r="YB66" s="1251"/>
      <c r="YC66" s="1251"/>
      <c r="YD66" s="1251"/>
      <c r="YE66" s="1251"/>
      <c r="YF66" s="1251"/>
      <c r="YG66" s="1251"/>
      <c r="YH66" s="1251"/>
      <c r="YI66" s="1251"/>
      <c r="YJ66" s="1251"/>
      <c r="YK66" s="1251"/>
      <c r="YL66" s="1251"/>
      <c r="YM66" s="1251"/>
      <c r="YN66" s="1251"/>
      <c r="YO66" s="1251"/>
      <c r="YP66" s="1251"/>
      <c r="YQ66" s="1251"/>
      <c r="YR66" s="1251"/>
      <c r="YS66" s="1251"/>
      <c r="YT66" s="1251"/>
      <c r="YU66" s="1251"/>
      <c r="YV66" s="1251"/>
      <c r="YW66" s="1251"/>
      <c r="YX66" s="1251"/>
      <c r="YY66" s="1251"/>
      <c r="YZ66" s="1251"/>
      <c r="ZA66" s="1251"/>
      <c r="ZB66" s="1251"/>
      <c r="ZC66" s="1251"/>
      <c r="ZD66" s="1251"/>
      <c r="ZE66" s="1251"/>
      <c r="ZF66" s="1251"/>
      <c r="ZG66" s="1251"/>
      <c r="ZH66" s="1251"/>
      <c r="ZI66" s="1251"/>
      <c r="ZJ66" s="1251"/>
      <c r="ZK66" s="1251"/>
      <c r="ZL66" s="1251"/>
      <c r="ZM66" s="1251"/>
      <c r="ZN66" s="1251"/>
      <c r="ZO66" s="1251"/>
      <c r="ZP66" s="1251"/>
      <c r="ZQ66" s="1251"/>
      <c r="ZR66" s="1251"/>
      <c r="ZS66" s="1251"/>
      <c r="ZT66" s="1251"/>
      <c r="ZU66" s="1251"/>
      <c r="ZV66" s="1251"/>
      <c r="ZW66" s="1251"/>
      <c r="ZX66" s="1251"/>
      <c r="ZY66" s="1251"/>
      <c r="ZZ66" s="1251"/>
      <c r="AAA66" s="1251"/>
      <c r="AAB66" s="1251"/>
      <c r="AAC66" s="1251"/>
      <c r="AAD66" s="1251"/>
      <c r="AAE66" s="1251"/>
      <c r="AAF66" s="1251"/>
      <c r="AAG66" s="1251"/>
      <c r="AAH66" s="1251"/>
      <c r="AAI66" s="1251"/>
      <c r="AAJ66" s="1251"/>
      <c r="AAK66" s="1251"/>
      <c r="AAL66" s="1251"/>
      <c r="AAM66" s="1251"/>
      <c r="AAN66" s="1251"/>
      <c r="AAO66" s="1251"/>
      <c r="AAP66" s="1251"/>
      <c r="AAQ66" s="1251"/>
      <c r="AAR66" s="1251"/>
      <c r="AAS66" s="1251"/>
      <c r="AAT66" s="1251"/>
      <c r="AAU66" s="1251"/>
      <c r="AAV66" s="1251"/>
      <c r="AAW66" s="1251"/>
      <c r="AAX66" s="1251"/>
      <c r="AAY66" s="1251"/>
      <c r="AAZ66" s="1251"/>
      <c r="ABA66" s="1251"/>
      <c r="ABB66" s="1251"/>
      <c r="ABC66" s="1251"/>
      <c r="ABD66" s="1251"/>
      <c r="ABE66" s="1251"/>
      <c r="ABF66" s="1251"/>
      <c r="ABG66" s="1251"/>
      <c r="ABH66" s="1251"/>
      <c r="ABI66" s="1251"/>
      <c r="ABJ66" s="1251"/>
      <c r="ABK66" s="1251"/>
      <c r="ABL66" s="1251"/>
      <c r="ABM66" s="1251"/>
      <c r="ABN66" s="1251"/>
      <c r="ABO66" s="1251"/>
      <c r="ABP66" s="1251"/>
      <c r="ABQ66" s="1251"/>
      <c r="ABR66" s="1251"/>
      <c r="ABS66" s="1251"/>
      <c r="ABT66" s="1251"/>
      <c r="ABU66" s="1251"/>
      <c r="ABV66" s="1251"/>
      <c r="ABW66" s="1251"/>
      <c r="ABX66" s="1251"/>
      <c r="ABY66" s="1251"/>
      <c r="ABZ66" s="1251"/>
      <c r="ACA66" s="1251"/>
      <c r="ACB66" s="1251"/>
      <c r="ACC66" s="1251"/>
      <c r="ACD66" s="1251"/>
      <c r="ACE66" s="1251"/>
      <c r="ACF66" s="1251"/>
      <c r="ACG66" s="1251"/>
      <c r="ACH66" s="1251"/>
      <c r="ACI66" s="1251"/>
      <c r="ACJ66" s="1251"/>
      <c r="ACK66" s="1251"/>
      <c r="ACL66" s="1251"/>
      <c r="ACM66" s="1251"/>
      <c r="ACN66" s="1251"/>
      <c r="ACO66" s="1251"/>
      <c r="ACP66" s="1251"/>
      <c r="ACQ66" s="1251"/>
      <c r="ACR66" s="1251"/>
      <c r="ACS66" s="1251"/>
      <c r="ACT66" s="1251"/>
      <c r="ACU66" s="1251"/>
      <c r="ACV66" s="1251"/>
      <c r="ACW66" s="1251"/>
      <c r="ACX66" s="1251"/>
      <c r="ACY66" s="1251"/>
      <c r="ACZ66" s="1251"/>
      <c r="ADA66" s="1251"/>
      <c r="ADB66" s="1251"/>
      <c r="ADC66" s="1251"/>
      <c r="ADD66" s="1251"/>
      <c r="ADE66" s="1251"/>
      <c r="ADF66" s="1251"/>
      <c r="ADG66" s="1251"/>
      <c r="ADH66" s="1251"/>
      <c r="ADI66" s="1251"/>
      <c r="ADJ66" s="1251"/>
      <c r="ADK66" s="1251"/>
      <c r="ADL66" s="1251"/>
      <c r="ADM66" s="1251"/>
      <c r="ADN66" s="1251"/>
      <c r="ADO66" s="1251"/>
      <c r="ADP66" s="1251"/>
      <c r="ADQ66" s="1251"/>
      <c r="ADR66" s="1251"/>
      <c r="ADS66" s="1251"/>
      <c r="ADT66" s="1251"/>
      <c r="ADU66" s="1251"/>
      <c r="ADV66" s="1251"/>
      <c r="ADW66" s="1251"/>
      <c r="ADX66" s="1251"/>
      <c r="ADY66" s="1251"/>
      <c r="ADZ66" s="1251"/>
      <c r="AEA66" s="1251"/>
      <c r="AEB66" s="1251"/>
      <c r="AEC66" s="1251"/>
      <c r="AED66" s="1251"/>
      <c r="AEE66" s="1251"/>
      <c r="AEF66" s="1251"/>
      <c r="AEG66" s="1251"/>
      <c r="AEH66" s="1251"/>
      <c r="AEI66" s="1251"/>
      <c r="AEJ66" s="1251"/>
      <c r="AEK66" s="1251"/>
      <c r="AEL66" s="1251"/>
      <c r="AEM66" s="1251"/>
      <c r="AEN66" s="1251"/>
      <c r="AEO66" s="1251"/>
      <c r="AEP66" s="1251"/>
      <c r="AEQ66" s="1251"/>
      <c r="AER66" s="1251"/>
      <c r="AES66" s="1251"/>
      <c r="AET66" s="1251"/>
      <c r="AEU66" s="1251"/>
      <c r="AEV66" s="1251"/>
      <c r="AEW66" s="1251"/>
      <c r="AEX66" s="1251"/>
      <c r="AEY66" s="1251"/>
      <c r="AEZ66" s="1251"/>
      <c r="AFA66" s="1251"/>
      <c r="AFB66" s="1251"/>
      <c r="AFC66" s="1251"/>
      <c r="AFD66" s="1251"/>
      <c r="AFE66" s="1251"/>
      <c r="AFF66" s="1251"/>
      <c r="AFG66" s="1251"/>
      <c r="AFH66" s="1251"/>
      <c r="AFI66" s="1251"/>
      <c r="AFJ66" s="1251"/>
      <c r="AFK66" s="1251"/>
      <c r="AFL66" s="1251"/>
      <c r="AFM66" s="1251"/>
      <c r="AFN66" s="1251"/>
      <c r="AFO66" s="1251"/>
      <c r="AFP66" s="1251"/>
      <c r="AFQ66" s="1251"/>
      <c r="AFR66" s="1251"/>
      <c r="AFS66" s="1251"/>
      <c r="AFT66" s="1251"/>
      <c r="AFU66" s="1251"/>
      <c r="AFV66" s="1251"/>
      <c r="AFW66" s="1251"/>
      <c r="AFX66" s="1251"/>
      <c r="AFY66" s="1251"/>
      <c r="AFZ66" s="1251"/>
      <c r="AGA66" s="1251"/>
      <c r="AGB66" s="1251"/>
      <c r="AGC66" s="1251"/>
      <c r="AGD66" s="1251"/>
      <c r="AGE66" s="1251"/>
      <c r="AGF66" s="1251"/>
      <c r="AGG66" s="1251"/>
      <c r="AGH66" s="1251"/>
      <c r="AGI66" s="1251"/>
      <c r="AGJ66" s="1251"/>
      <c r="AGK66" s="1251"/>
      <c r="AGL66" s="1251"/>
      <c r="AGM66" s="1251"/>
      <c r="AGN66" s="1251"/>
      <c r="AGO66" s="1251"/>
      <c r="AGP66" s="1251"/>
      <c r="AGQ66" s="1251"/>
      <c r="AGR66" s="1251"/>
      <c r="AGS66" s="1251"/>
      <c r="AGT66" s="1251"/>
      <c r="AGU66" s="1251"/>
      <c r="AGV66" s="1251"/>
      <c r="AGW66" s="1251"/>
      <c r="AGX66" s="1251"/>
      <c r="AGY66" s="1251"/>
      <c r="AGZ66" s="1251"/>
      <c r="AHA66" s="1251"/>
      <c r="AHB66" s="1251"/>
      <c r="AHC66" s="1251"/>
      <c r="AHD66" s="1251"/>
      <c r="AHE66" s="1251"/>
      <c r="AHF66" s="1251"/>
      <c r="AHG66" s="1251"/>
      <c r="AHH66" s="1251"/>
      <c r="AHI66" s="1251"/>
      <c r="AHJ66" s="1251"/>
      <c r="AHK66" s="1251"/>
      <c r="AHL66" s="1251"/>
      <c r="AHM66" s="1251"/>
      <c r="AHN66" s="1251"/>
      <c r="AHO66" s="1251"/>
      <c r="AHP66" s="1251"/>
      <c r="AHQ66" s="1251"/>
      <c r="AHR66" s="1251"/>
      <c r="AHS66" s="1251"/>
      <c r="AHT66" s="1251"/>
      <c r="AHU66" s="1251"/>
      <c r="AHV66" s="1251"/>
      <c r="AHW66" s="1251"/>
      <c r="AHX66" s="1251"/>
      <c r="AHY66" s="1251"/>
      <c r="AHZ66" s="1251"/>
      <c r="AIA66" s="1251"/>
      <c r="AIB66" s="1251"/>
      <c r="AIC66" s="1251"/>
      <c r="AID66" s="1251"/>
      <c r="AIE66" s="1251"/>
      <c r="AIF66" s="1251"/>
      <c r="AIG66" s="1251"/>
      <c r="AIH66" s="1251"/>
      <c r="AII66" s="1251"/>
      <c r="AIJ66" s="1251"/>
      <c r="AIK66" s="1251"/>
      <c r="AIL66" s="1251"/>
      <c r="AIM66" s="1251"/>
      <c r="AIN66" s="1251"/>
      <c r="AIO66" s="1251"/>
      <c r="AIP66" s="1251"/>
      <c r="AIQ66" s="1251"/>
      <c r="AIR66" s="1251"/>
      <c r="AIS66" s="1251"/>
      <c r="AIT66" s="1251"/>
      <c r="AIU66" s="1251"/>
      <c r="AIV66" s="1251"/>
      <c r="AIW66" s="1251"/>
      <c r="AIX66" s="1251"/>
      <c r="AIY66" s="1251"/>
      <c r="AIZ66" s="1251"/>
      <c r="AJA66" s="1251"/>
      <c r="AJB66" s="1251"/>
      <c r="AJC66" s="1251"/>
      <c r="AJD66" s="1251"/>
      <c r="AJE66" s="1251"/>
      <c r="AJF66" s="1251"/>
      <c r="AJG66" s="1251"/>
      <c r="AJH66" s="1251"/>
      <c r="AJI66" s="1251"/>
      <c r="AJJ66" s="1251"/>
      <c r="AJK66" s="1251"/>
      <c r="AJL66" s="1251"/>
      <c r="AJM66" s="1251"/>
      <c r="AJN66" s="1251"/>
      <c r="AJO66" s="1251"/>
      <c r="AJP66" s="1251"/>
      <c r="AJQ66" s="1251"/>
      <c r="AJR66" s="1251"/>
      <c r="AJS66" s="1251"/>
      <c r="AJT66" s="1251"/>
      <c r="AJU66" s="1251"/>
      <c r="AJV66" s="1251"/>
      <c r="AJW66" s="1251"/>
      <c r="AJX66" s="1251"/>
      <c r="AJY66" s="1251"/>
      <c r="AJZ66" s="1251"/>
      <c r="AKA66" s="1251"/>
      <c r="AKB66" s="1251"/>
      <c r="AKC66" s="1251"/>
      <c r="AKD66" s="1251"/>
      <c r="AKE66" s="1251"/>
      <c r="AKF66" s="1251"/>
      <c r="AKG66" s="1251"/>
      <c r="AKH66" s="1251"/>
      <c r="AKI66" s="1251"/>
      <c r="AKJ66" s="1251"/>
      <c r="AKK66" s="1251"/>
      <c r="AKL66" s="1251"/>
      <c r="AKM66" s="1251"/>
      <c r="AKN66" s="1251"/>
      <c r="AKO66" s="1251"/>
      <c r="AKP66" s="1251"/>
      <c r="AKQ66" s="1251"/>
      <c r="AKR66" s="1251"/>
      <c r="AKS66" s="1251"/>
      <c r="AKT66" s="1251"/>
      <c r="AKU66" s="1251"/>
      <c r="AKV66" s="1251"/>
      <c r="AKW66" s="1251"/>
      <c r="AKX66" s="1251"/>
      <c r="AKY66" s="1251"/>
      <c r="AKZ66" s="1251"/>
      <c r="ALA66" s="1251"/>
      <c r="ALB66" s="1251"/>
      <c r="ALC66" s="1251"/>
      <c r="ALD66" s="1251"/>
      <c r="ALE66" s="1251"/>
      <c r="ALF66" s="1251"/>
      <c r="ALG66" s="1251"/>
      <c r="ALH66" s="1251"/>
      <c r="ALI66" s="1251"/>
      <c r="ALJ66" s="1251"/>
      <c r="ALK66" s="1251"/>
      <c r="ALL66" s="1251"/>
      <c r="ALM66" s="1251"/>
      <c r="ALN66" s="1251"/>
      <c r="ALO66" s="1251"/>
      <c r="ALP66" s="1251"/>
      <c r="ALQ66" s="1251"/>
      <c r="ALR66" s="1251"/>
      <c r="ALS66" s="1251"/>
      <c r="ALT66" s="1251"/>
      <c r="ALU66" s="1251"/>
      <c r="ALV66" s="1251"/>
      <c r="ALW66" s="1251"/>
      <c r="ALX66" s="1251"/>
      <c r="ALY66" s="1251"/>
      <c r="ALZ66" s="1251"/>
      <c r="AMA66" s="1251"/>
      <c r="AMB66" s="1251"/>
      <c r="AMC66" s="1251"/>
      <c r="AMD66" s="1251"/>
      <c r="AME66" s="1251"/>
      <c r="AMF66" s="1251"/>
      <c r="AMG66" s="1251"/>
      <c r="AMH66" s="1251"/>
      <c r="AMI66" s="1251"/>
      <c r="AMJ66" s="1251"/>
      <c r="AMK66" s="1251"/>
      <c r="AML66" s="1251"/>
      <c r="AMM66" s="1251"/>
      <c r="AMN66" s="1251"/>
      <c r="AMO66" s="1251"/>
      <c r="AMP66" s="1251"/>
      <c r="AMQ66" s="1251"/>
      <c r="AMR66" s="1251"/>
      <c r="AMS66" s="1251"/>
      <c r="AMT66" s="1251"/>
      <c r="AMU66" s="1251"/>
      <c r="AMV66" s="1251"/>
      <c r="AMW66" s="1251"/>
      <c r="AMX66" s="1251"/>
      <c r="AMY66" s="1251"/>
      <c r="AMZ66" s="1251"/>
      <c r="ANA66" s="1251"/>
      <c r="ANB66" s="1251"/>
      <c r="ANC66" s="1251"/>
      <c r="AND66" s="1251"/>
      <c r="ANE66" s="1251"/>
      <c r="ANF66" s="1251"/>
      <c r="ANG66" s="1251"/>
      <c r="ANH66" s="1251"/>
      <c r="ANI66" s="1251"/>
      <c r="ANJ66" s="1251"/>
      <c r="ANK66" s="1251"/>
      <c r="ANL66" s="1251"/>
      <c r="ANM66" s="1251"/>
      <c r="ANN66" s="1251"/>
      <c r="ANO66" s="1251"/>
      <c r="ANP66" s="1251"/>
      <c r="ANQ66" s="1251"/>
      <c r="ANR66" s="1251"/>
      <c r="ANS66" s="1251"/>
      <c r="ANT66" s="1251"/>
      <c r="ANU66" s="1251"/>
      <c r="ANV66" s="1251"/>
      <c r="ANW66" s="1251"/>
      <c r="ANX66" s="1251"/>
      <c r="ANY66" s="1251"/>
      <c r="ANZ66" s="1251"/>
      <c r="AOA66" s="1251"/>
      <c r="AOB66" s="1251"/>
      <c r="AOC66" s="1251"/>
      <c r="AOD66" s="1251"/>
      <c r="AOE66" s="1251"/>
      <c r="AOF66" s="1251"/>
      <c r="AOG66" s="1251"/>
      <c r="AOH66" s="1251"/>
      <c r="AOI66" s="1251"/>
      <c r="AOJ66" s="1251"/>
      <c r="AOK66" s="1251"/>
      <c r="AOL66" s="1251"/>
      <c r="AOM66" s="1251"/>
      <c r="AON66" s="1251"/>
      <c r="AOO66" s="1251"/>
      <c r="AOP66" s="1251"/>
      <c r="AOQ66" s="1251"/>
      <c r="AOR66" s="1251"/>
      <c r="AOS66" s="1251"/>
      <c r="AOT66" s="1251"/>
      <c r="AOU66" s="1251"/>
      <c r="AOV66" s="1251"/>
      <c r="AOW66" s="1251"/>
      <c r="AOX66" s="1251"/>
      <c r="AOY66" s="1251"/>
      <c r="AOZ66" s="1251"/>
      <c r="APA66" s="1251"/>
      <c r="APB66" s="1251"/>
      <c r="APC66" s="1251"/>
      <c r="APD66" s="1251"/>
      <c r="APE66" s="1251"/>
      <c r="APF66" s="1251"/>
      <c r="APG66" s="1251"/>
      <c r="APH66" s="1251"/>
      <c r="API66" s="1251"/>
      <c r="APJ66" s="1251"/>
      <c r="APK66" s="1251"/>
      <c r="APL66" s="1251"/>
      <c r="APM66" s="1251"/>
      <c r="APN66" s="1251"/>
      <c r="APO66" s="1251"/>
      <c r="APP66" s="1251"/>
      <c r="APQ66" s="1251"/>
      <c r="APR66" s="1251"/>
      <c r="APS66" s="1251"/>
      <c r="APT66" s="1251"/>
      <c r="APU66" s="1251"/>
      <c r="APV66" s="1251"/>
      <c r="APW66" s="1251"/>
      <c r="APX66" s="1251"/>
      <c r="APY66" s="1251"/>
      <c r="APZ66" s="1251"/>
      <c r="AQA66" s="1251"/>
      <c r="AQB66" s="1251"/>
      <c r="AQC66" s="1251"/>
      <c r="AQD66" s="1251"/>
      <c r="AQE66" s="1251"/>
      <c r="AQF66" s="1251"/>
      <c r="AQG66" s="1251"/>
      <c r="AQH66" s="1251"/>
      <c r="AQI66" s="1251"/>
      <c r="AQJ66" s="1251"/>
      <c r="AQK66" s="1251"/>
      <c r="AQL66" s="1251"/>
      <c r="AQM66" s="1251"/>
      <c r="AQN66" s="1251"/>
      <c r="AQO66" s="1251"/>
      <c r="AQP66" s="1251"/>
      <c r="AQQ66" s="1251"/>
      <c r="AQR66" s="1251"/>
      <c r="AQS66" s="1251"/>
      <c r="AQT66" s="1251"/>
      <c r="AQU66" s="1251"/>
      <c r="AQV66" s="1251"/>
      <c r="AQW66" s="1251"/>
      <c r="AQX66" s="1251"/>
      <c r="AQY66" s="1251"/>
      <c r="AQZ66" s="1251"/>
      <c r="ARA66" s="1251"/>
      <c r="ARB66" s="1251"/>
      <c r="ARC66" s="1251"/>
      <c r="ARD66" s="1251"/>
      <c r="ARE66" s="1251"/>
      <c r="ARF66" s="1251"/>
      <c r="ARG66" s="1251"/>
      <c r="ARH66" s="1251"/>
      <c r="ARI66" s="1251"/>
      <c r="ARJ66" s="1251"/>
      <c r="ARK66" s="1251"/>
      <c r="ARL66" s="1251"/>
      <c r="ARM66" s="1251"/>
      <c r="ARN66" s="1251"/>
      <c r="ARO66" s="1251"/>
      <c r="ARP66" s="1251"/>
      <c r="ARQ66" s="1251"/>
      <c r="ARR66" s="1251"/>
      <c r="ARS66" s="1251"/>
      <c r="ART66" s="1251"/>
      <c r="ARU66" s="1251"/>
      <c r="ARV66" s="1251"/>
      <c r="ARW66" s="1251"/>
      <c r="ARX66" s="1251"/>
      <c r="ARY66" s="1251"/>
      <c r="ARZ66" s="1251"/>
      <c r="ASA66" s="1251"/>
      <c r="ASB66" s="1251"/>
      <c r="ASC66" s="1251"/>
      <c r="ASD66" s="1251"/>
      <c r="ASE66" s="1251"/>
      <c r="ASF66" s="1251"/>
      <c r="ASG66" s="1251"/>
      <c r="ASH66" s="1251"/>
      <c r="ASI66" s="1251"/>
      <c r="ASJ66" s="1251"/>
      <c r="ASK66" s="1251"/>
      <c r="ASL66" s="1251"/>
      <c r="ASM66" s="1251"/>
      <c r="ASN66" s="1251"/>
      <c r="ASO66" s="1251"/>
      <c r="ASP66" s="1251"/>
      <c r="ASQ66" s="1251"/>
      <c r="ASR66" s="1251"/>
      <c r="ASS66" s="1251"/>
      <c r="AST66" s="1251"/>
      <c r="ASU66" s="1251"/>
      <c r="ASV66" s="1251"/>
      <c r="ASW66" s="1251"/>
      <c r="ASX66" s="1251"/>
      <c r="ASY66" s="1251"/>
      <c r="ASZ66" s="1251"/>
      <c r="ATA66" s="1251"/>
      <c r="ATB66" s="1251"/>
      <c r="ATC66" s="1251"/>
      <c r="ATD66" s="1251"/>
      <c r="ATE66" s="1251"/>
      <c r="ATF66" s="1251"/>
      <c r="ATG66" s="1251"/>
      <c r="ATH66" s="1251"/>
      <c r="ATI66" s="1251"/>
      <c r="ATJ66" s="1251"/>
      <c r="ATK66" s="1251"/>
      <c r="ATL66" s="1251"/>
      <c r="ATM66" s="1251"/>
      <c r="ATN66" s="1251"/>
      <c r="ATO66" s="1251"/>
      <c r="ATP66" s="1251"/>
      <c r="ATQ66" s="1251"/>
      <c r="ATR66" s="1251"/>
      <c r="ATS66" s="1251"/>
      <c r="ATT66" s="1251"/>
      <c r="ATU66" s="1251"/>
      <c r="ATV66" s="1251"/>
      <c r="ATW66" s="1251"/>
      <c r="ATX66" s="1251"/>
      <c r="ATY66" s="1251"/>
      <c r="ATZ66" s="1251"/>
      <c r="AUA66" s="1251"/>
      <c r="AUB66" s="1251"/>
      <c r="AUC66" s="1251"/>
      <c r="AUD66" s="1251"/>
      <c r="AUE66" s="1251"/>
      <c r="AUF66" s="1251"/>
      <c r="AUG66" s="1251"/>
      <c r="AUH66" s="1251"/>
      <c r="AUI66" s="1251"/>
      <c r="AUJ66" s="1251"/>
      <c r="AUK66" s="1251"/>
      <c r="AUL66" s="1251"/>
      <c r="AUM66" s="1251"/>
      <c r="AUN66" s="1251"/>
      <c r="AUO66" s="1251"/>
      <c r="AUP66" s="1251"/>
      <c r="AUQ66" s="1251"/>
      <c r="AUR66" s="1251"/>
      <c r="AUS66" s="1251"/>
      <c r="AUT66" s="1251"/>
      <c r="AUU66" s="1251"/>
      <c r="AUV66" s="1251"/>
      <c r="AUW66" s="1251"/>
      <c r="AUX66" s="1251"/>
      <c r="AUY66" s="1251"/>
      <c r="AUZ66" s="1251"/>
      <c r="AVA66" s="1251"/>
      <c r="AVB66" s="1251"/>
      <c r="AVC66" s="1251"/>
      <c r="AVD66" s="1251"/>
      <c r="AVE66" s="1251"/>
      <c r="AVF66" s="1251"/>
      <c r="AVG66" s="1251"/>
      <c r="AVH66" s="1251"/>
      <c r="AVI66" s="1251"/>
      <c r="AVJ66" s="1251"/>
      <c r="AVK66" s="1251"/>
      <c r="AVL66" s="1251"/>
      <c r="AVM66" s="1251"/>
      <c r="AVN66" s="1251"/>
      <c r="AVO66" s="1251"/>
      <c r="AVP66" s="1251"/>
      <c r="AVQ66" s="1251"/>
      <c r="AVR66" s="1251"/>
      <c r="AVS66" s="1251"/>
      <c r="AVT66" s="1251"/>
      <c r="AVU66" s="1251"/>
      <c r="AVV66" s="1251"/>
      <c r="AVW66" s="1251"/>
      <c r="AVX66" s="1251"/>
      <c r="AVY66" s="1251"/>
      <c r="AVZ66" s="1251"/>
      <c r="AWA66" s="1251"/>
      <c r="AWB66" s="1251"/>
      <c r="AWC66" s="1251"/>
      <c r="AWD66" s="1251"/>
      <c r="AWE66" s="1251"/>
      <c r="AWF66" s="1251"/>
      <c r="AWG66" s="1251"/>
      <c r="AWH66" s="1251"/>
      <c r="AWI66" s="1251"/>
      <c r="AWJ66" s="1251"/>
      <c r="AWK66" s="1251"/>
      <c r="AWL66" s="1251"/>
      <c r="AWM66" s="1251"/>
      <c r="AWN66" s="1251"/>
      <c r="AWO66" s="1251"/>
      <c r="AWP66" s="1251"/>
      <c r="AWQ66" s="1251"/>
      <c r="AWR66" s="1251"/>
      <c r="AWS66" s="1251"/>
      <c r="AWT66" s="1251"/>
      <c r="AWU66" s="1251"/>
      <c r="AWV66" s="1251"/>
      <c r="AWW66" s="1251"/>
      <c r="AWX66" s="1251"/>
      <c r="AWY66" s="1251"/>
      <c r="AWZ66" s="1251"/>
      <c r="AXA66" s="1251"/>
      <c r="AXB66" s="1251"/>
      <c r="AXC66" s="1251"/>
      <c r="AXD66" s="1251"/>
      <c r="AXE66" s="1251"/>
      <c r="AXF66" s="1251"/>
      <c r="AXG66" s="1251"/>
      <c r="AXH66" s="1251"/>
      <c r="AXI66" s="1251"/>
      <c r="AXJ66" s="1251"/>
      <c r="AXK66" s="1251"/>
      <c r="AXL66" s="1251"/>
      <c r="AXM66" s="1251"/>
      <c r="AXN66" s="1251"/>
      <c r="AXO66" s="1251"/>
      <c r="AXP66" s="1251"/>
      <c r="AXQ66" s="1251"/>
      <c r="AXR66" s="1251"/>
      <c r="AXS66" s="1251"/>
      <c r="AXT66" s="1251"/>
      <c r="AXU66" s="1251"/>
      <c r="AXV66" s="1251"/>
      <c r="AXW66" s="1251"/>
      <c r="AXX66" s="1251"/>
      <c r="AXY66" s="1251"/>
      <c r="AXZ66" s="1251"/>
      <c r="AYA66" s="1251"/>
      <c r="AYB66" s="1251"/>
      <c r="AYC66" s="1251"/>
      <c r="AYD66" s="1251"/>
      <c r="AYE66" s="1251"/>
      <c r="AYF66" s="1251"/>
      <c r="AYG66" s="1251"/>
      <c r="AYH66" s="1251"/>
      <c r="AYI66" s="1251"/>
      <c r="AYJ66" s="1251"/>
      <c r="AYK66" s="1251"/>
      <c r="AYL66" s="1251"/>
      <c r="AYM66" s="1251"/>
      <c r="AYN66" s="1251"/>
      <c r="AYO66" s="1251"/>
      <c r="AYP66" s="1251"/>
      <c r="AYQ66" s="1251"/>
      <c r="AYR66" s="1251"/>
      <c r="AYS66" s="1251"/>
      <c r="AYT66" s="1251"/>
      <c r="AYU66" s="1251"/>
      <c r="AYV66" s="1251"/>
      <c r="AYW66" s="1251"/>
      <c r="AYX66" s="1251"/>
      <c r="AYY66" s="1251"/>
      <c r="AYZ66" s="1251"/>
      <c r="AZA66" s="1251"/>
      <c r="AZB66" s="1251"/>
      <c r="AZC66" s="1251"/>
      <c r="AZD66" s="1251"/>
      <c r="AZE66" s="1251"/>
      <c r="AZF66" s="1251"/>
      <c r="AZG66" s="1251"/>
      <c r="AZH66" s="1251"/>
      <c r="AZI66" s="1251"/>
      <c r="AZJ66" s="1251"/>
      <c r="AZK66" s="1251"/>
      <c r="AZL66" s="1251"/>
      <c r="AZM66" s="1251"/>
      <c r="AZN66" s="1251"/>
      <c r="AZO66" s="1251"/>
      <c r="AZP66" s="1251"/>
      <c r="AZQ66" s="1251"/>
      <c r="AZR66" s="1251"/>
      <c r="AZS66" s="1251"/>
      <c r="AZT66" s="1251"/>
      <c r="AZU66" s="1251"/>
      <c r="AZV66" s="1251"/>
      <c r="AZW66" s="1251"/>
      <c r="AZX66" s="1251"/>
      <c r="AZY66" s="1251"/>
      <c r="AZZ66" s="1251"/>
      <c r="BAA66" s="1251"/>
      <c r="BAB66" s="1251"/>
      <c r="BAC66" s="1251"/>
      <c r="BAD66" s="1251"/>
      <c r="BAE66" s="1251"/>
      <c r="BAF66" s="1251"/>
      <c r="BAG66" s="1251"/>
      <c r="BAH66" s="1251"/>
      <c r="BAI66" s="1251"/>
      <c r="BAJ66" s="1251"/>
      <c r="BAK66" s="1251"/>
      <c r="BAL66" s="1251"/>
      <c r="BAM66" s="1251"/>
      <c r="BAN66" s="1251"/>
      <c r="BAO66" s="1251"/>
      <c r="BAP66" s="1251"/>
      <c r="BAQ66" s="1251"/>
      <c r="BAR66" s="1251"/>
      <c r="BAS66" s="1251"/>
      <c r="BAT66" s="1251"/>
      <c r="BAU66" s="1251"/>
      <c r="BAV66" s="1251"/>
      <c r="BAW66" s="1251"/>
      <c r="BAX66" s="1251"/>
      <c r="BAY66" s="1251"/>
      <c r="BAZ66" s="1251"/>
      <c r="BBA66" s="1251"/>
      <c r="BBB66" s="1251"/>
      <c r="BBC66" s="1251"/>
      <c r="BBD66" s="1251"/>
      <c r="BBE66" s="1251"/>
      <c r="BBF66" s="1251"/>
      <c r="BBG66" s="1251"/>
      <c r="BBH66" s="1251"/>
      <c r="BBI66" s="1251"/>
      <c r="BBJ66" s="1251"/>
      <c r="BBK66" s="1251"/>
      <c r="BBL66" s="1251"/>
      <c r="BBM66" s="1251"/>
      <c r="BBN66" s="1251"/>
      <c r="BBO66" s="1251"/>
      <c r="BBP66" s="1251"/>
      <c r="BBQ66" s="1251"/>
      <c r="BBR66" s="1251"/>
      <c r="BBS66" s="1251"/>
      <c r="BBT66" s="1251"/>
      <c r="BBU66" s="1251"/>
      <c r="BBV66" s="1251"/>
      <c r="BBW66" s="1251"/>
      <c r="BBX66" s="1251"/>
      <c r="BBY66" s="1251"/>
      <c r="BBZ66" s="1251"/>
      <c r="BCA66" s="1251"/>
      <c r="BCB66" s="1251"/>
      <c r="BCC66" s="1251"/>
      <c r="BCD66" s="1251"/>
      <c r="BCE66" s="1251"/>
      <c r="BCF66" s="1251"/>
      <c r="BCG66" s="1251"/>
      <c r="BCH66" s="1251"/>
      <c r="BCI66" s="1251"/>
      <c r="BCJ66" s="1251"/>
      <c r="BCK66" s="1251"/>
      <c r="BCL66" s="1251"/>
      <c r="BCM66" s="1251"/>
      <c r="BCN66" s="1251"/>
      <c r="BCO66" s="1251"/>
      <c r="BCP66" s="1251"/>
      <c r="BCQ66" s="1251"/>
      <c r="BCR66" s="1251"/>
      <c r="BCS66" s="1251"/>
      <c r="BCT66" s="1251"/>
      <c r="BCU66" s="1251"/>
      <c r="BCV66" s="1251"/>
      <c r="BCW66" s="1251"/>
      <c r="BCX66" s="1251"/>
      <c r="BCY66" s="1251"/>
      <c r="BCZ66" s="1251"/>
      <c r="BDA66" s="1251"/>
      <c r="BDB66" s="1251"/>
      <c r="BDC66" s="1251"/>
      <c r="BDD66" s="1251"/>
      <c r="BDE66" s="1251"/>
      <c r="BDF66" s="1251"/>
      <c r="BDG66" s="1251"/>
      <c r="BDH66" s="1251"/>
      <c r="BDI66" s="1251"/>
      <c r="BDJ66" s="1251"/>
      <c r="BDK66" s="1251"/>
      <c r="BDL66" s="1251"/>
      <c r="BDM66" s="1251"/>
      <c r="BDN66" s="1251"/>
      <c r="BDO66" s="1251"/>
      <c r="BDP66" s="1251"/>
      <c r="BDQ66" s="1251"/>
      <c r="BDR66" s="1251"/>
      <c r="BDS66" s="1251"/>
      <c r="BDT66" s="1251"/>
      <c r="BDU66" s="1251"/>
      <c r="BDV66" s="1251"/>
      <c r="BDW66" s="1251"/>
      <c r="BDX66" s="1251"/>
      <c r="BDY66" s="1251"/>
      <c r="BDZ66" s="1251"/>
      <c r="BEA66" s="1251"/>
      <c r="BEB66" s="1251"/>
      <c r="BEC66" s="1251"/>
      <c r="BED66" s="1251"/>
      <c r="BEE66" s="1251"/>
      <c r="BEF66" s="1251"/>
      <c r="BEG66" s="1251"/>
      <c r="BEH66" s="1251"/>
      <c r="BEI66" s="1251"/>
      <c r="BEJ66" s="1251"/>
      <c r="BEK66" s="1251"/>
      <c r="BEL66" s="1251"/>
      <c r="BEM66" s="1251"/>
      <c r="BEN66" s="1251"/>
      <c r="BEO66" s="1251"/>
      <c r="BEP66" s="1251"/>
      <c r="BEQ66" s="1251"/>
      <c r="BER66" s="1251"/>
      <c r="BES66" s="1251"/>
      <c r="BET66" s="1251"/>
      <c r="BEU66" s="1251"/>
      <c r="BEV66" s="1251"/>
      <c r="BEW66" s="1251"/>
      <c r="BEX66" s="1251"/>
      <c r="BEY66" s="1251"/>
      <c r="BEZ66" s="1251"/>
      <c r="BFA66" s="1251"/>
      <c r="BFB66" s="1251"/>
      <c r="BFC66" s="1251"/>
      <c r="BFD66" s="1251"/>
      <c r="BFE66" s="1251"/>
      <c r="BFF66" s="1251"/>
      <c r="BFG66" s="1251"/>
      <c r="BFH66" s="1251"/>
      <c r="BFI66" s="1251"/>
      <c r="BFJ66" s="1251"/>
      <c r="BFK66" s="1251"/>
      <c r="BFL66" s="1251"/>
      <c r="BFM66" s="1251"/>
      <c r="BFN66" s="1251"/>
      <c r="BFO66" s="1251"/>
      <c r="BFP66" s="1251"/>
      <c r="BFQ66" s="1251"/>
      <c r="BFR66" s="1251"/>
      <c r="BFS66" s="1251"/>
      <c r="BFT66" s="1251"/>
      <c r="BFU66" s="1251"/>
      <c r="BFV66" s="1251"/>
      <c r="BFW66" s="1251"/>
      <c r="BFX66" s="1251"/>
      <c r="BFY66" s="1251"/>
      <c r="BFZ66" s="1251"/>
      <c r="BGA66" s="1251"/>
      <c r="BGB66" s="1251"/>
      <c r="BGC66" s="1251"/>
      <c r="BGD66" s="1251"/>
      <c r="BGE66" s="1251"/>
      <c r="BGF66" s="1251"/>
      <c r="BGG66" s="1251"/>
      <c r="BGH66" s="1251"/>
      <c r="BGI66" s="1251"/>
      <c r="BGJ66" s="1251"/>
      <c r="BGK66" s="1251"/>
      <c r="BGL66" s="1251"/>
      <c r="BGM66" s="1251"/>
      <c r="BGN66" s="1251"/>
      <c r="BGO66" s="1251"/>
      <c r="BGP66" s="1251"/>
      <c r="BGQ66" s="1251"/>
      <c r="BGR66" s="1251"/>
      <c r="BGS66" s="1251"/>
      <c r="BGT66" s="1251"/>
      <c r="BGU66" s="1251"/>
      <c r="BGV66" s="1251"/>
      <c r="BGW66" s="1251"/>
      <c r="BGX66" s="1251"/>
      <c r="BGY66" s="1251"/>
      <c r="BGZ66" s="1251"/>
      <c r="BHA66" s="1251"/>
      <c r="BHB66" s="1251"/>
      <c r="BHC66" s="1251"/>
      <c r="BHD66" s="1251"/>
      <c r="BHE66" s="1251"/>
      <c r="BHF66" s="1251"/>
      <c r="BHG66" s="1251"/>
      <c r="BHH66" s="1251"/>
      <c r="BHI66" s="1251"/>
      <c r="BHJ66" s="1251"/>
      <c r="BHK66" s="1251"/>
      <c r="BHL66" s="1251"/>
      <c r="BHM66" s="1251"/>
      <c r="BHN66" s="1251"/>
      <c r="BHO66" s="1251"/>
      <c r="BHP66" s="1251"/>
      <c r="BHQ66" s="1251"/>
      <c r="BHR66" s="1251"/>
      <c r="BHS66" s="1251"/>
      <c r="BHT66" s="1251"/>
      <c r="BHU66" s="1251"/>
      <c r="BHV66" s="1251"/>
      <c r="BHW66" s="1251"/>
      <c r="BHX66" s="1251"/>
      <c r="BHY66" s="1251"/>
      <c r="BHZ66" s="1251"/>
      <c r="BIA66" s="1251"/>
      <c r="BIB66" s="1251"/>
      <c r="BIC66" s="1251"/>
      <c r="BID66" s="1251"/>
      <c r="BIE66" s="1251"/>
      <c r="BIF66" s="1251"/>
      <c r="BIG66" s="1251"/>
      <c r="BIH66" s="1251"/>
      <c r="BII66" s="1251"/>
      <c r="BIJ66" s="1251"/>
      <c r="BIK66" s="1251"/>
      <c r="BIL66" s="1251"/>
      <c r="BIM66" s="1251"/>
      <c r="BIN66" s="1251"/>
      <c r="BIO66" s="1251"/>
      <c r="BIP66" s="1251"/>
      <c r="BIQ66" s="1251"/>
      <c r="BIR66" s="1251"/>
      <c r="BIS66" s="1251"/>
      <c r="BIT66" s="1251"/>
      <c r="BIU66" s="1251"/>
      <c r="BIV66" s="1251"/>
      <c r="BIW66" s="1251"/>
      <c r="BIX66" s="1251"/>
      <c r="BIY66" s="1251"/>
      <c r="BIZ66" s="1251"/>
      <c r="BJA66" s="1251"/>
      <c r="BJB66" s="1251"/>
      <c r="BJC66" s="1251"/>
      <c r="BJD66" s="1251"/>
      <c r="BJE66" s="1251"/>
      <c r="BJF66" s="1251"/>
      <c r="BJG66" s="1251"/>
      <c r="BJH66" s="1251"/>
      <c r="BJI66" s="1251"/>
      <c r="BJJ66" s="1251"/>
      <c r="BJK66" s="1251"/>
      <c r="BJL66" s="1251"/>
      <c r="BJM66" s="1251"/>
      <c r="BJN66" s="1251"/>
      <c r="BJO66" s="1251"/>
      <c r="BJP66" s="1251"/>
      <c r="BJQ66" s="1251"/>
      <c r="BJR66" s="1251"/>
      <c r="BJS66" s="1251"/>
      <c r="BJT66" s="1251"/>
      <c r="BJU66" s="1251"/>
      <c r="BJV66" s="1251"/>
      <c r="BJW66" s="1251"/>
      <c r="BJX66" s="1251"/>
      <c r="BJY66" s="1251"/>
      <c r="BJZ66" s="1251"/>
      <c r="BKA66" s="1251"/>
      <c r="BKB66" s="1251"/>
      <c r="BKC66" s="1251"/>
      <c r="BKD66" s="1251"/>
      <c r="BKE66" s="1251"/>
      <c r="BKF66" s="1251"/>
      <c r="BKG66" s="1251"/>
      <c r="BKH66" s="1251"/>
      <c r="BKI66" s="1251"/>
      <c r="BKJ66" s="1251"/>
      <c r="BKK66" s="1251"/>
      <c r="BKL66" s="1251"/>
      <c r="BKM66" s="1251"/>
      <c r="BKN66" s="1251"/>
      <c r="BKO66" s="1251"/>
      <c r="BKP66" s="1251"/>
      <c r="BKQ66" s="1251"/>
      <c r="BKR66" s="1251"/>
      <c r="BKS66" s="1251"/>
      <c r="BKT66" s="1251"/>
      <c r="BKU66" s="1251"/>
      <c r="BKV66" s="1251"/>
      <c r="BKW66" s="1251"/>
      <c r="BKX66" s="1251"/>
      <c r="BKY66" s="1251"/>
      <c r="BKZ66" s="1251"/>
      <c r="BLA66" s="1251"/>
      <c r="BLB66" s="1251"/>
      <c r="BLC66" s="1251"/>
      <c r="BLD66" s="1251"/>
      <c r="BLE66" s="1251"/>
      <c r="BLF66" s="1251"/>
      <c r="BLG66" s="1251"/>
      <c r="BLH66" s="1251"/>
      <c r="BLI66" s="1251"/>
      <c r="BLJ66" s="1251"/>
      <c r="BLK66" s="1251"/>
      <c r="BLL66" s="1251"/>
      <c r="BLM66" s="1251"/>
      <c r="BLN66" s="1251"/>
      <c r="BLO66" s="1251"/>
      <c r="BLP66" s="1251"/>
      <c r="BLQ66" s="1251"/>
      <c r="BLR66" s="1251"/>
      <c r="BLS66" s="1251"/>
      <c r="BLT66" s="1251"/>
      <c r="BLU66" s="1251"/>
      <c r="BLV66" s="1251"/>
      <c r="BLW66" s="1251"/>
      <c r="BLX66" s="1251"/>
      <c r="BLY66" s="1251"/>
      <c r="BLZ66" s="1251"/>
      <c r="BMA66" s="1251"/>
      <c r="BMB66" s="1251"/>
      <c r="BMC66" s="1251"/>
      <c r="BMD66" s="1251"/>
      <c r="BME66" s="1251"/>
      <c r="BMF66" s="1251"/>
      <c r="BMG66" s="1251"/>
      <c r="BMH66" s="1251"/>
      <c r="BMI66" s="1251"/>
      <c r="BMJ66" s="1251"/>
      <c r="BMK66" s="1251"/>
      <c r="BML66" s="1251"/>
      <c r="BMM66" s="1251"/>
      <c r="BMN66" s="1251"/>
      <c r="BMO66" s="1251"/>
      <c r="BMP66" s="1251"/>
      <c r="BMQ66" s="1251"/>
      <c r="BMR66" s="1251"/>
      <c r="BMS66" s="1251"/>
      <c r="BMT66" s="1251"/>
      <c r="BMU66" s="1251"/>
      <c r="BMV66" s="1251"/>
      <c r="BMW66" s="1251"/>
      <c r="BMX66" s="1251"/>
      <c r="BMY66" s="1251"/>
      <c r="BMZ66" s="1251"/>
      <c r="BNA66" s="1251"/>
      <c r="BNB66" s="1251"/>
      <c r="BNC66" s="1251"/>
      <c r="BND66" s="1251"/>
      <c r="BNE66" s="1251"/>
      <c r="BNF66" s="1251"/>
      <c r="BNG66" s="1251"/>
      <c r="BNH66" s="1251"/>
      <c r="BNI66" s="1251"/>
      <c r="BNJ66" s="1251"/>
      <c r="BNK66" s="1251"/>
      <c r="BNL66" s="1251"/>
      <c r="BNM66" s="1251"/>
      <c r="BNN66" s="1251"/>
      <c r="BNO66" s="1251"/>
      <c r="BNP66" s="1251"/>
      <c r="BNQ66" s="1251"/>
      <c r="BNR66" s="1251"/>
      <c r="BNS66" s="1251"/>
      <c r="BNT66" s="1251"/>
      <c r="BNU66" s="1251"/>
      <c r="BNV66" s="1251"/>
      <c r="BNW66" s="1251"/>
      <c r="BNX66" s="1251"/>
      <c r="BNY66" s="1251"/>
      <c r="BNZ66" s="1251"/>
      <c r="BOA66" s="1251"/>
      <c r="BOB66" s="1251"/>
      <c r="BOC66" s="1251"/>
      <c r="BOD66" s="1251"/>
      <c r="BOE66" s="1251"/>
      <c r="BOF66" s="1251"/>
      <c r="BOG66" s="1251"/>
      <c r="BOH66" s="1251"/>
      <c r="BOI66" s="1251"/>
      <c r="BOJ66" s="1251"/>
      <c r="BOK66" s="1251"/>
      <c r="BOL66" s="1251"/>
      <c r="BOM66" s="1251"/>
      <c r="BON66" s="1251"/>
      <c r="BOO66" s="1251"/>
      <c r="BOP66" s="1251"/>
      <c r="BOQ66" s="1251"/>
      <c r="BOR66" s="1251"/>
      <c r="BOS66" s="1251"/>
      <c r="BOT66" s="1251"/>
      <c r="BOU66" s="1251"/>
      <c r="BOV66" s="1251"/>
      <c r="BOW66" s="1251"/>
      <c r="BOX66" s="1251"/>
      <c r="BOY66" s="1251"/>
      <c r="BOZ66" s="1251"/>
      <c r="BPA66" s="1251"/>
      <c r="BPB66" s="1251"/>
      <c r="BPC66" s="1251"/>
      <c r="BPD66" s="1251"/>
      <c r="BPE66" s="1251"/>
      <c r="BPF66" s="1251"/>
      <c r="BPG66" s="1251"/>
      <c r="BPH66" s="1251"/>
      <c r="BPI66" s="1251"/>
      <c r="BPJ66" s="1251"/>
      <c r="BPK66" s="1251"/>
      <c r="BPL66" s="1251"/>
      <c r="BPM66" s="1251"/>
      <c r="BPN66" s="1251"/>
      <c r="BPO66" s="1251"/>
      <c r="BPP66" s="1251"/>
      <c r="BPQ66" s="1251"/>
      <c r="BPR66" s="1251"/>
      <c r="BPS66" s="1251"/>
      <c r="BPT66" s="1251"/>
      <c r="BPU66" s="1251"/>
      <c r="BPV66" s="1251"/>
      <c r="BPW66" s="1251"/>
      <c r="BPX66" s="1251"/>
      <c r="BPY66" s="1251"/>
      <c r="BPZ66" s="1251"/>
      <c r="BQA66" s="1251"/>
      <c r="BQB66" s="1251"/>
      <c r="BQC66" s="1251"/>
      <c r="BQD66" s="1251"/>
      <c r="BQE66" s="1251"/>
      <c r="BQF66" s="1251"/>
      <c r="BQG66" s="1251"/>
      <c r="BQH66" s="1251"/>
      <c r="BQI66" s="1251"/>
      <c r="BQJ66" s="1251"/>
      <c r="BQK66" s="1251"/>
      <c r="BQL66" s="1251"/>
      <c r="BQM66" s="1251"/>
      <c r="BQN66" s="1251"/>
      <c r="BQO66" s="1251"/>
      <c r="BQP66" s="1251"/>
      <c r="BQQ66" s="1251"/>
      <c r="BQR66" s="1251"/>
      <c r="BQS66" s="1251"/>
      <c r="BQT66" s="1251"/>
      <c r="BQU66" s="1251"/>
      <c r="BQV66" s="1251"/>
      <c r="BQW66" s="1251"/>
      <c r="BQX66" s="1251"/>
      <c r="BQY66" s="1251"/>
      <c r="BQZ66" s="1251"/>
      <c r="BRA66" s="1251"/>
      <c r="BRB66" s="1251"/>
      <c r="BRC66" s="1251"/>
      <c r="BRD66" s="1251"/>
      <c r="BRE66" s="1251"/>
      <c r="BRF66" s="1251"/>
      <c r="BRG66" s="1251"/>
      <c r="BRH66" s="1251"/>
      <c r="BRI66" s="1251"/>
      <c r="BRJ66" s="1251"/>
      <c r="BRK66" s="1251"/>
      <c r="BRL66" s="1251"/>
      <c r="BRM66" s="1251"/>
      <c r="BRN66" s="1251"/>
      <c r="BRO66" s="1251"/>
      <c r="BRP66" s="1251"/>
      <c r="BRQ66" s="1251"/>
      <c r="BRR66" s="1251"/>
      <c r="BRS66" s="1251"/>
      <c r="BRT66" s="1251"/>
      <c r="BRU66" s="1251"/>
      <c r="BRV66" s="1251"/>
      <c r="BRW66" s="1251"/>
      <c r="BRX66" s="1251"/>
      <c r="BRY66" s="1251"/>
      <c r="BRZ66" s="1251"/>
      <c r="BSA66" s="1251"/>
      <c r="BSB66" s="1251"/>
      <c r="BSC66" s="1251"/>
      <c r="BSD66" s="1251"/>
      <c r="BSE66" s="1251"/>
      <c r="BSF66" s="1251"/>
      <c r="BSG66" s="1251"/>
      <c r="BSH66" s="1251"/>
      <c r="BSI66" s="1251"/>
      <c r="BSJ66" s="1251"/>
      <c r="BSK66" s="1251"/>
      <c r="BSL66" s="1251"/>
      <c r="BSM66" s="1251"/>
      <c r="BSN66" s="1251"/>
      <c r="BSO66" s="1251"/>
      <c r="BSP66" s="1251"/>
      <c r="BSQ66" s="1251"/>
      <c r="BSR66" s="1251"/>
      <c r="BSS66" s="1251"/>
      <c r="BST66" s="1251"/>
      <c r="BSU66" s="1251"/>
      <c r="BSV66" s="1251"/>
      <c r="BSW66" s="1251"/>
      <c r="BSX66" s="1251"/>
      <c r="BSY66" s="1251"/>
      <c r="BSZ66" s="1251"/>
      <c r="BTA66" s="1251"/>
      <c r="BTB66" s="1251"/>
      <c r="BTC66" s="1251"/>
      <c r="BTD66" s="1251"/>
      <c r="BTE66" s="1251"/>
      <c r="BTF66" s="1251"/>
      <c r="BTG66" s="1251"/>
      <c r="BTH66" s="1251"/>
      <c r="BTI66" s="1251"/>
    </row>
    <row r="67" spans="1:1881" s="1261" customFormat="1" ht="48.75" hidden="1" customHeight="1" thickBot="1" x14ac:dyDescent="0.35">
      <c r="A67" s="1248">
        <v>391</v>
      </c>
      <c r="B67" s="806" t="s">
        <v>69</v>
      </c>
      <c r="C67" s="806" t="s">
        <v>149</v>
      </c>
      <c r="D67" s="29" t="s">
        <v>147</v>
      </c>
      <c r="E67" s="1249" t="e">
        <f>HLOOKUP($D$2,'2020 Data(H)'!$C$1:$CZ$426,149,FALSE)</f>
        <v>#N/A</v>
      </c>
      <c r="F67" s="1263">
        <v>0</v>
      </c>
      <c r="G67" s="727">
        <f t="shared" si="1"/>
        <v>0</v>
      </c>
      <c r="H67" s="17"/>
      <c r="I67" s="760"/>
      <c r="J67" s="1252"/>
      <c r="K67" s="1251"/>
      <c r="L67" s="701"/>
      <c r="M67" s="1251"/>
      <c r="N67" s="1253"/>
      <c r="O67" s="1251"/>
      <c r="P67" s="1251"/>
      <c r="Q67" s="1251"/>
      <c r="R67" s="1251"/>
      <c r="S67" s="1251"/>
      <c r="T67" s="1251"/>
      <c r="U67" s="1251"/>
      <c r="V67" s="1251"/>
      <c r="W67" s="1251"/>
      <c r="X67" s="1251"/>
      <c r="Y67" s="1251"/>
      <c r="Z67" s="1248"/>
      <c r="AA67" s="1248"/>
      <c r="AB67" s="1248"/>
      <c r="AC67" s="1248"/>
      <c r="AD67" s="1248"/>
      <c r="AE67" s="1248"/>
      <c r="AF67" s="1248"/>
      <c r="AG67" s="1248"/>
      <c r="AH67" s="1248"/>
      <c r="AI67" s="1248"/>
      <c r="AJ67" s="1248"/>
      <c r="AK67" s="1248"/>
      <c r="AL67" s="1248"/>
      <c r="AM67" s="1248"/>
      <c r="AN67" s="1248"/>
      <c r="AO67" s="1248"/>
      <c r="AP67" s="1248"/>
      <c r="AQ67" s="1248"/>
      <c r="AR67" s="1248"/>
      <c r="AS67" s="1251"/>
      <c r="AT67" s="1251"/>
      <c r="AU67" s="1251"/>
      <c r="AV67" s="1251"/>
      <c r="AW67" s="1251"/>
      <c r="AX67" s="1251"/>
      <c r="AY67" s="1251"/>
      <c r="AZ67" s="1251"/>
      <c r="BA67" s="1251"/>
      <c r="BB67" s="1251"/>
      <c r="BC67" s="1251"/>
      <c r="BD67" s="1251"/>
      <c r="BE67" s="1251"/>
      <c r="BF67" s="1251"/>
      <c r="BG67" s="1251"/>
      <c r="BH67" s="1251"/>
      <c r="BI67" s="1251"/>
      <c r="BJ67" s="1251"/>
      <c r="BK67" s="1251"/>
      <c r="BL67" s="1251"/>
      <c r="BM67" s="1251"/>
      <c r="BN67" s="1251"/>
      <c r="BO67" s="1251"/>
      <c r="BP67" s="1251"/>
      <c r="BQ67" s="1251"/>
      <c r="BR67" s="1251"/>
      <c r="BS67" s="1251"/>
      <c r="BT67" s="1251"/>
      <c r="BU67" s="1251"/>
      <c r="BV67" s="1251"/>
      <c r="BW67" s="1251"/>
      <c r="BX67" s="1251"/>
      <c r="BY67" s="1251"/>
      <c r="BZ67" s="1251"/>
      <c r="CA67" s="1251"/>
      <c r="CB67" s="1251"/>
      <c r="CC67" s="1251"/>
      <c r="CD67" s="1251"/>
      <c r="CE67" s="1251"/>
      <c r="CF67" s="1251"/>
      <c r="CG67" s="1251"/>
      <c r="CH67" s="1251"/>
      <c r="CI67" s="1251"/>
      <c r="CJ67" s="1251"/>
      <c r="CK67" s="1251"/>
      <c r="CL67" s="1251"/>
      <c r="CM67" s="1251"/>
      <c r="CN67" s="1251"/>
      <c r="CO67" s="1251"/>
      <c r="CP67" s="1251"/>
      <c r="CQ67" s="1251"/>
      <c r="CR67" s="1251"/>
      <c r="CS67" s="1251"/>
      <c r="CT67" s="1251"/>
      <c r="CU67" s="1251"/>
      <c r="CV67" s="1251"/>
      <c r="CW67" s="1251"/>
      <c r="CX67" s="1251"/>
      <c r="CY67" s="1251"/>
      <c r="CZ67" s="1251"/>
      <c r="DA67" s="1251"/>
      <c r="DB67" s="1251"/>
      <c r="DC67" s="1251"/>
      <c r="DD67" s="1251"/>
      <c r="DE67" s="1251"/>
      <c r="DF67" s="1251"/>
      <c r="DG67" s="1251"/>
      <c r="DH67" s="1251"/>
      <c r="DI67" s="1251"/>
      <c r="DJ67" s="1251"/>
      <c r="DK67" s="1251"/>
      <c r="DL67" s="1251"/>
      <c r="DM67" s="1251"/>
      <c r="DN67" s="1251"/>
      <c r="DO67" s="1251"/>
      <c r="DP67" s="1251"/>
      <c r="DQ67" s="1251"/>
      <c r="DR67" s="1251"/>
      <c r="DS67" s="1251"/>
      <c r="DT67" s="1251"/>
      <c r="DU67" s="1251"/>
      <c r="DV67" s="1251"/>
      <c r="DW67" s="1251"/>
      <c r="DX67" s="1251"/>
      <c r="DY67" s="1251"/>
      <c r="DZ67" s="1251"/>
      <c r="EA67" s="1251"/>
      <c r="EB67" s="1251"/>
      <c r="EC67" s="1251"/>
      <c r="ED67" s="1251"/>
      <c r="EE67" s="1251"/>
      <c r="EF67" s="1251"/>
      <c r="EG67" s="1251"/>
      <c r="EH67" s="1251"/>
      <c r="EI67" s="1251"/>
      <c r="EJ67" s="1251"/>
      <c r="EK67" s="1251"/>
      <c r="EL67" s="1251"/>
      <c r="EM67" s="1251"/>
      <c r="EN67" s="1251"/>
      <c r="EO67" s="1251"/>
      <c r="EP67" s="1251"/>
      <c r="EQ67" s="1251"/>
      <c r="ER67" s="1251"/>
      <c r="ES67" s="1251"/>
      <c r="ET67" s="1251"/>
      <c r="EU67" s="1251"/>
      <c r="EV67" s="1251"/>
      <c r="EW67" s="1251"/>
      <c r="EX67" s="1251"/>
      <c r="EY67" s="1251"/>
      <c r="EZ67" s="1251"/>
      <c r="FA67" s="1251"/>
      <c r="FB67" s="1251"/>
      <c r="FC67" s="1251"/>
      <c r="FD67" s="1251"/>
      <c r="FE67" s="1251"/>
      <c r="FF67" s="1251"/>
      <c r="FG67" s="1251"/>
      <c r="FH67" s="1251"/>
      <c r="FI67" s="1251"/>
      <c r="FJ67" s="1251"/>
      <c r="FK67" s="1251"/>
      <c r="FL67" s="1251"/>
      <c r="FM67" s="1251"/>
      <c r="FN67" s="1251"/>
      <c r="FO67" s="1251"/>
      <c r="FP67" s="1251"/>
      <c r="FQ67" s="1251"/>
      <c r="FR67" s="1251"/>
      <c r="FS67" s="1251"/>
      <c r="FT67" s="1251"/>
      <c r="FU67" s="1251"/>
      <c r="FV67" s="1251"/>
      <c r="FW67" s="1251"/>
      <c r="FX67" s="1251"/>
      <c r="FY67" s="1251"/>
      <c r="FZ67" s="1251"/>
      <c r="GA67" s="1251"/>
      <c r="GB67" s="1251"/>
      <c r="GC67" s="1251"/>
      <c r="GD67" s="1251"/>
      <c r="GE67" s="1251"/>
      <c r="GF67" s="1251"/>
      <c r="GG67" s="1251"/>
      <c r="GH67" s="1251"/>
      <c r="GI67" s="1251"/>
      <c r="GJ67" s="1251"/>
      <c r="GK67" s="1251"/>
      <c r="GL67" s="1251"/>
      <c r="GM67" s="1251"/>
      <c r="GN67" s="1251"/>
      <c r="GO67" s="1251"/>
      <c r="GP67" s="1251"/>
      <c r="GQ67" s="1251"/>
      <c r="GR67" s="1251"/>
      <c r="GS67" s="1251"/>
      <c r="GT67" s="1251"/>
      <c r="GU67" s="1251"/>
      <c r="GV67" s="1251"/>
      <c r="GW67" s="1251"/>
      <c r="GX67" s="1251"/>
      <c r="GY67" s="1251"/>
      <c r="GZ67" s="1251"/>
      <c r="HA67" s="1251"/>
      <c r="HB67" s="1251"/>
      <c r="HC67" s="1251"/>
      <c r="HD67" s="1251"/>
      <c r="HE67" s="1251"/>
      <c r="HF67" s="1251"/>
      <c r="HG67" s="1251"/>
      <c r="HH67" s="1251"/>
      <c r="HI67" s="1251"/>
      <c r="HJ67" s="1251"/>
      <c r="HK67" s="1251"/>
      <c r="HL67" s="1251"/>
      <c r="HM67" s="1251"/>
      <c r="HN67" s="1251"/>
      <c r="HO67" s="1251"/>
      <c r="HP67" s="1251"/>
      <c r="HQ67" s="1251"/>
      <c r="HR67" s="1251"/>
      <c r="HS67" s="1251"/>
      <c r="HT67" s="1251"/>
      <c r="HU67" s="1251"/>
      <c r="HV67" s="1251"/>
      <c r="HW67" s="1251"/>
      <c r="HX67" s="1251"/>
      <c r="HY67" s="1251"/>
      <c r="HZ67" s="1251"/>
      <c r="IA67" s="1251"/>
      <c r="IB67" s="1251"/>
      <c r="IC67" s="1251"/>
      <c r="ID67" s="1251"/>
      <c r="IE67" s="1251"/>
      <c r="IF67" s="1251"/>
      <c r="IG67" s="1251"/>
      <c r="IH67" s="1251"/>
      <c r="II67" s="1251"/>
      <c r="IJ67" s="1251"/>
      <c r="IK67" s="1251"/>
      <c r="IL67" s="1251"/>
      <c r="IM67" s="1251"/>
      <c r="IN67" s="1251"/>
      <c r="IO67" s="1251"/>
      <c r="IP67" s="1251"/>
      <c r="IQ67" s="1251"/>
      <c r="IR67" s="1251"/>
      <c r="IS67" s="1251"/>
      <c r="IT67" s="1251"/>
      <c r="IU67" s="1251"/>
      <c r="IV67" s="1251"/>
      <c r="IW67" s="1251"/>
      <c r="IX67" s="1251"/>
      <c r="IY67" s="1251"/>
      <c r="IZ67" s="1251"/>
      <c r="JA67" s="1251"/>
      <c r="JB67" s="1251"/>
      <c r="JC67" s="1251"/>
      <c r="JD67" s="1251"/>
      <c r="JE67" s="1251"/>
      <c r="JF67" s="1251"/>
      <c r="JG67" s="1251"/>
      <c r="JH67" s="1251"/>
      <c r="JI67" s="1251"/>
      <c r="JJ67" s="1251"/>
      <c r="JK67" s="1251"/>
      <c r="JL67" s="1251"/>
      <c r="JM67" s="1251"/>
      <c r="JN67" s="1251"/>
      <c r="JO67" s="1251"/>
      <c r="JP67" s="1251"/>
      <c r="JQ67" s="1251"/>
      <c r="JR67" s="1251"/>
      <c r="JS67" s="1251"/>
      <c r="JT67" s="1251"/>
      <c r="JU67" s="1251"/>
      <c r="JV67" s="1251"/>
      <c r="JW67" s="1251"/>
      <c r="JX67" s="1251"/>
      <c r="JY67" s="1251"/>
      <c r="JZ67" s="1251"/>
      <c r="KA67" s="1251"/>
      <c r="KB67" s="1251"/>
      <c r="KC67" s="1251"/>
      <c r="KD67" s="1251"/>
      <c r="KE67" s="1251"/>
      <c r="KF67" s="1251"/>
      <c r="KG67" s="1251"/>
      <c r="KH67" s="1251"/>
      <c r="KI67" s="1251"/>
      <c r="KJ67" s="1251"/>
      <c r="KK67" s="1251"/>
      <c r="KL67" s="1251"/>
      <c r="KM67" s="1251"/>
      <c r="KN67" s="1251"/>
      <c r="KO67" s="1251"/>
      <c r="KP67" s="1251"/>
      <c r="KQ67" s="1251"/>
      <c r="KR67" s="1251"/>
      <c r="KS67" s="1251"/>
      <c r="KT67" s="1251"/>
      <c r="KU67" s="1251"/>
      <c r="KV67" s="1251"/>
      <c r="KW67" s="1251"/>
      <c r="KX67" s="1251"/>
      <c r="KY67" s="1251"/>
      <c r="KZ67" s="1251"/>
      <c r="LA67" s="1251"/>
      <c r="LB67" s="1251"/>
      <c r="LC67" s="1251"/>
      <c r="LD67" s="1251"/>
      <c r="LE67" s="1251"/>
      <c r="LF67" s="1251"/>
      <c r="LG67" s="1251"/>
      <c r="LH67" s="1251"/>
      <c r="LI67" s="1251"/>
      <c r="LJ67" s="1251"/>
      <c r="LK67" s="1251"/>
      <c r="LL67" s="1251"/>
      <c r="LM67" s="1251"/>
      <c r="LN67" s="1251"/>
      <c r="LO67" s="1251"/>
      <c r="LP67" s="1251"/>
      <c r="LQ67" s="1251"/>
      <c r="LR67" s="1251"/>
      <c r="LS67" s="1251"/>
      <c r="LT67" s="1251"/>
      <c r="LU67" s="1251"/>
      <c r="LV67" s="1251"/>
      <c r="LW67" s="1251"/>
      <c r="LX67" s="1251"/>
      <c r="LY67" s="1251"/>
      <c r="LZ67" s="1251"/>
      <c r="MA67" s="1251"/>
      <c r="MB67" s="1251"/>
      <c r="MC67" s="1251"/>
      <c r="MD67" s="1251"/>
      <c r="ME67" s="1251"/>
      <c r="MF67" s="1251"/>
      <c r="MG67" s="1251"/>
      <c r="MH67" s="1251"/>
      <c r="MI67" s="1251"/>
      <c r="MJ67" s="1251"/>
      <c r="MK67" s="1251"/>
      <c r="ML67" s="1251"/>
      <c r="MM67" s="1251"/>
      <c r="MN67" s="1251"/>
      <c r="MO67" s="1251"/>
      <c r="MP67" s="1251"/>
      <c r="MQ67" s="1251"/>
      <c r="MR67" s="1251"/>
      <c r="MS67" s="1251"/>
      <c r="MT67" s="1251"/>
      <c r="MU67" s="1251"/>
      <c r="MV67" s="1251"/>
      <c r="MW67" s="1251"/>
      <c r="MX67" s="1251"/>
      <c r="MY67" s="1251"/>
      <c r="MZ67" s="1251"/>
      <c r="NA67" s="1251"/>
      <c r="NB67" s="1251"/>
      <c r="NC67" s="1251"/>
      <c r="ND67" s="1251"/>
      <c r="NE67" s="1251"/>
      <c r="NF67" s="1251"/>
      <c r="NG67" s="1251"/>
      <c r="NH67" s="1251"/>
      <c r="NI67" s="1251"/>
      <c r="NJ67" s="1251"/>
      <c r="NK67" s="1251"/>
      <c r="NL67" s="1251"/>
      <c r="NM67" s="1251"/>
      <c r="NN67" s="1251"/>
      <c r="NO67" s="1251"/>
      <c r="NP67" s="1251"/>
      <c r="NQ67" s="1251"/>
      <c r="NR67" s="1251"/>
      <c r="NS67" s="1251"/>
      <c r="NT67" s="1251"/>
      <c r="NU67" s="1251"/>
      <c r="NV67" s="1251"/>
      <c r="NW67" s="1251"/>
      <c r="NX67" s="1251"/>
      <c r="NY67" s="1251"/>
      <c r="NZ67" s="1251"/>
      <c r="OA67" s="1251"/>
      <c r="OB67" s="1251"/>
      <c r="OC67" s="1251"/>
      <c r="OD67" s="1251"/>
      <c r="OE67" s="1251"/>
      <c r="OF67" s="1251"/>
      <c r="OG67" s="1251"/>
      <c r="OH67" s="1251"/>
      <c r="OI67" s="1251"/>
      <c r="OJ67" s="1251"/>
      <c r="OK67" s="1251"/>
      <c r="OL67" s="1251"/>
      <c r="OM67" s="1251"/>
      <c r="ON67" s="1251"/>
      <c r="OO67" s="1251"/>
      <c r="OP67" s="1251"/>
      <c r="OQ67" s="1251"/>
      <c r="OR67" s="1251"/>
      <c r="OS67" s="1251"/>
      <c r="OT67" s="1251"/>
      <c r="OU67" s="1251"/>
      <c r="OV67" s="1251"/>
      <c r="OW67" s="1251"/>
      <c r="OX67" s="1251"/>
      <c r="OY67" s="1251"/>
      <c r="OZ67" s="1251"/>
      <c r="PA67" s="1251"/>
      <c r="PB67" s="1251"/>
      <c r="PC67" s="1251"/>
      <c r="PD67" s="1251"/>
      <c r="PE67" s="1251"/>
      <c r="PF67" s="1251"/>
      <c r="PG67" s="1251"/>
      <c r="PH67" s="1251"/>
      <c r="PI67" s="1251"/>
      <c r="PJ67" s="1251"/>
      <c r="PK67" s="1251"/>
      <c r="PL67" s="1251"/>
      <c r="PM67" s="1251"/>
      <c r="PN67" s="1251"/>
      <c r="PO67" s="1251"/>
      <c r="PP67" s="1251"/>
      <c r="PQ67" s="1251"/>
      <c r="PR67" s="1251"/>
      <c r="PS67" s="1251"/>
      <c r="PT67" s="1251"/>
      <c r="PU67" s="1251"/>
      <c r="PV67" s="1251"/>
      <c r="PW67" s="1251"/>
      <c r="PX67" s="1251"/>
      <c r="PY67" s="1251"/>
      <c r="PZ67" s="1251"/>
      <c r="QA67" s="1251"/>
      <c r="QB67" s="1251"/>
      <c r="QC67" s="1251"/>
      <c r="QD67" s="1251"/>
      <c r="QE67" s="1251"/>
      <c r="QF67" s="1251"/>
      <c r="QG67" s="1251"/>
      <c r="QH67" s="1251"/>
      <c r="QI67" s="1251"/>
      <c r="QJ67" s="1251"/>
      <c r="QK67" s="1251"/>
      <c r="QL67" s="1251"/>
      <c r="QM67" s="1251"/>
      <c r="QN67" s="1251"/>
      <c r="QO67" s="1251"/>
      <c r="QP67" s="1251"/>
      <c r="QQ67" s="1251"/>
      <c r="QR67" s="1251"/>
      <c r="QS67" s="1251"/>
      <c r="QT67" s="1251"/>
      <c r="QU67" s="1251"/>
      <c r="QV67" s="1251"/>
      <c r="QW67" s="1251"/>
      <c r="QX67" s="1251"/>
      <c r="QY67" s="1251"/>
      <c r="QZ67" s="1251"/>
      <c r="RA67" s="1251"/>
      <c r="RB67" s="1251"/>
      <c r="RC67" s="1251"/>
      <c r="RD67" s="1251"/>
      <c r="RE67" s="1251"/>
      <c r="RF67" s="1251"/>
      <c r="RG67" s="1251"/>
      <c r="RH67" s="1251"/>
      <c r="RI67" s="1251"/>
      <c r="RJ67" s="1251"/>
      <c r="RK67" s="1251"/>
      <c r="RL67" s="1251"/>
      <c r="RM67" s="1251"/>
      <c r="RN67" s="1251"/>
      <c r="RO67" s="1251"/>
      <c r="RP67" s="1251"/>
      <c r="RQ67" s="1251"/>
      <c r="RR67" s="1251"/>
      <c r="RS67" s="1251"/>
      <c r="RT67" s="1251"/>
      <c r="RU67" s="1251"/>
      <c r="RV67" s="1251"/>
      <c r="RW67" s="1251"/>
      <c r="RX67" s="1251"/>
      <c r="RY67" s="1251"/>
      <c r="RZ67" s="1251"/>
      <c r="SA67" s="1251"/>
      <c r="SB67" s="1251"/>
      <c r="SC67" s="1251"/>
      <c r="SD67" s="1251"/>
      <c r="SE67" s="1251"/>
      <c r="SF67" s="1251"/>
      <c r="SG67" s="1251"/>
      <c r="SH67" s="1251"/>
      <c r="SI67" s="1251"/>
      <c r="SJ67" s="1251"/>
      <c r="SK67" s="1251"/>
      <c r="SL67" s="1251"/>
      <c r="SM67" s="1251"/>
      <c r="SN67" s="1251"/>
      <c r="SO67" s="1251"/>
      <c r="SP67" s="1251"/>
      <c r="SQ67" s="1251"/>
      <c r="SR67" s="1251"/>
      <c r="SS67" s="1251"/>
      <c r="ST67" s="1251"/>
      <c r="SU67" s="1251"/>
      <c r="SV67" s="1251"/>
      <c r="SW67" s="1251"/>
      <c r="SX67" s="1251"/>
      <c r="SY67" s="1251"/>
      <c r="SZ67" s="1251"/>
      <c r="TA67" s="1251"/>
      <c r="TB67" s="1251"/>
      <c r="TC67" s="1251"/>
      <c r="TD67" s="1251"/>
      <c r="TE67" s="1251"/>
      <c r="TF67" s="1251"/>
      <c r="TG67" s="1251"/>
      <c r="TH67" s="1251"/>
      <c r="TI67" s="1251"/>
      <c r="TJ67" s="1251"/>
      <c r="TK67" s="1251"/>
      <c r="TL67" s="1251"/>
      <c r="TM67" s="1251"/>
      <c r="TN67" s="1251"/>
      <c r="TO67" s="1251"/>
      <c r="TP67" s="1251"/>
      <c r="TQ67" s="1251"/>
      <c r="TR67" s="1251"/>
      <c r="TS67" s="1251"/>
      <c r="TT67" s="1251"/>
      <c r="TU67" s="1251"/>
      <c r="TV67" s="1251"/>
      <c r="TW67" s="1251"/>
      <c r="TX67" s="1251"/>
      <c r="TY67" s="1251"/>
      <c r="TZ67" s="1251"/>
      <c r="UA67" s="1251"/>
      <c r="UB67" s="1251"/>
      <c r="UC67" s="1251"/>
      <c r="UD67" s="1251"/>
      <c r="UE67" s="1251"/>
      <c r="UF67" s="1251"/>
      <c r="UG67" s="1251"/>
      <c r="UH67" s="1251"/>
      <c r="UI67" s="1251"/>
      <c r="UJ67" s="1251"/>
      <c r="UK67" s="1251"/>
      <c r="UL67" s="1251"/>
      <c r="UM67" s="1251"/>
      <c r="UN67" s="1251"/>
      <c r="UO67" s="1251"/>
      <c r="UP67" s="1251"/>
      <c r="UQ67" s="1251"/>
      <c r="UR67" s="1251"/>
      <c r="US67" s="1251"/>
      <c r="UT67" s="1251"/>
      <c r="UU67" s="1251"/>
      <c r="UV67" s="1251"/>
      <c r="UW67" s="1251"/>
      <c r="UX67" s="1251"/>
      <c r="UY67" s="1251"/>
      <c r="UZ67" s="1251"/>
      <c r="VA67" s="1251"/>
      <c r="VB67" s="1251"/>
      <c r="VC67" s="1251"/>
      <c r="VD67" s="1251"/>
      <c r="VE67" s="1251"/>
      <c r="VF67" s="1251"/>
      <c r="VG67" s="1251"/>
      <c r="VH67" s="1251"/>
      <c r="VI67" s="1251"/>
      <c r="VJ67" s="1251"/>
      <c r="VK67" s="1251"/>
      <c r="VL67" s="1251"/>
      <c r="VM67" s="1251"/>
      <c r="VN67" s="1251"/>
      <c r="VO67" s="1251"/>
      <c r="VP67" s="1251"/>
      <c r="VQ67" s="1251"/>
      <c r="VR67" s="1251"/>
      <c r="VS67" s="1251"/>
      <c r="VT67" s="1251"/>
      <c r="VU67" s="1251"/>
      <c r="VV67" s="1251"/>
      <c r="VW67" s="1251"/>
      <c r="VX67" s="1251"/>
      <c r="VY67" s="1251"/>
      <c r="VZ67" s="1251"/>
      <c r="WA67" s="1251"/>
      <c r="WB67" s="1251"/>
      <c r="WC67" s="1251"/>
      <c r="WD67" s="1251"/>
      <c r="WE67" s="1251"/>
      <c r="WF67" s="1251"/>
      <c r="WG67" s="1251"/>
      <c r="WH67" s="1251"/>
      <c r="WI67" s="1251"/>
      <c r="WJ67" s="1251"/>
      <c r="WK67" s="1251"/>
      <c r="WL67" s="1251"/>
      <c r="WM67" s="1251"/>
      <c r="WN67" s="1251"/>
      <c r="WO67" s="1251"/>
      <c r="WP67" s="1251"/>
      <c r="WQ67" s="1251"/>
      <c r="WR67" s="1251"/>
      <c r="WS67" s="1251"/>
      <c r="WT67" s="1251"/>
      <c r="WU67" s="1251"/>
      <c r="WV67" s="1251"/>
      <c r="WW67" s="1251"/>
      <c r="WX67" s="1251"/>
      <c r="WY67" s="1251"/>
      <c r="WZ67" s="1251"/>
      <c r="XA67" s="1251"/>
      <c r="XB67" s="1251"/>
      <c r="XC67" s="1251"/>
      <c r="XD67" s="1251"/>
      <c r="XE67" s="1251"/>
      <c r="XF67" s="1251"/>
      <c r="XG67" s="1251"/>
      <c r="XH67" s="1251"/>
      <c r="XI67" s="1251"/>
      <c r="XJ67" s="1251"/>
      <c r="XK67" s="1251"/>
      <c r="XL67" s="1251"/>
      <c r="XM67" s="1251"/>
      <c r="XN67" s="1251"/>
      <c r="XO67" s="1251"/>
      <c r="XP67" s="1251"/>
      <c r="XQ67" s="1251"/>
      <c r="XR67" s="1251"/>
      <c r="XS67" s="1251"/>
      <c r="XT67" s="1251"/>
      <c r="XU67" s="1251"/>
      <c r="XV67" s="1251"/>
      <c r="XW67" s="1251"/>
      <c r="XX67" s="1251"/>
      <c r="XY67" s="1251"/>
      <c r="XZ67" s="1251"/>
      <c r="YA67" s="1251"/>
      <c r="YB67" s="1251"/>
      <c r="YC67" s="1251"/>
      <c r="YD67" s="1251"/>
      <c r="YE67" s="1251"/>
      <c r="YF67" s="1251"/>
      <c r="YG67" s="1251"/>
      <c r="YH67" s="1251"/>
      <c r="YI67" s="1251"/>
      <c r="YJ67" s="1251"/>
      <c r="YK67" s="1251"/>
      <c r="YL67" s="1251"/>
      <c r="YM67" s="1251"/>
      <c r="YN67" s="1251"/>
      <c r="YO67" s="1251"/>
      <c r="YP67" s="1251"/>
      <c r="YQ67" s="1251"/>
      <c r="YR67" s="1251"/>
      <c r="YS67" s="1251"/>
      <c r="YT67" s="1251"/>
      <c r="YU67" s="1251"/>
      <c r="YV67" s="1251"/>
      <c r="YW67" s="1251"/>
      <c r="YX67" s="1251"/>
      <c r="YY67" s="1251"/>
      <c r="YZ67" s="1251"/>
      <c r="ZA67" s="1251"/>
      <c r="ZB67" s="1251"/>
      <c r="ZC67" s="1251"/>
      <c r="ZD67" s="1251"/>
      <c r="ZE67" s="1251"/>
      <c r="ZF67" s="1251"/>
      <c r="ZG67" s="1251"/>
      <c r="ZH67" s="1251"/>
      <c r="ZI67" s="1251"/>
      <c r="ZJ67" s="1251"/>
      <c r="ZK67" s="1251"/>
      <c r="ZL67" s="1251"/>
      <c r="ZM67" s="1251"/>
      <c r="ZN67" s="1251"/>
      <c r="ZO67" s="1251"/>
      <c r="ZP67" s="1251"/>
      <c r="ZQ67" s="1251"/>
      <c r="ZR67" s="1251"/>
      <c r="ZS67" s="1251"/>
      <c r="ZT67" s="1251"/>
      <c r="ZU67" s="1251"/>
      <c r="ZV67" s="1251"/>
      <c r="ZW67" s="1251"/>
      <c r="ZX67" s="1251"/>
      <c r="ZY67" s="1251"/>
      <c r="ZZ67" s="1251"/>
      <c r="AAA67" s="1251"/>
      <c r="AAB67" s="1251"/>
      <c r="AAC67" s="1251"/>
      <c r="AAD67" s="1251"/>
      <c r="AAE67" s="1251"/>
      <c r="AAF67" s="1251"/>
      <c r="AAG67" s="1251"/>
      <c r="AAH67" s="1251"/>
      <c r="AAI67" s="1251"/>
      <c r="AAJ67" s="1251"/>
      <c r="AAK67" s="1251"/>
      <c r="AAL67" s="1251"/>
      <c r="AAM67" s="1251"/>
      <c r="AAN67" s="1251"/>
      <c r="AAO67" s="1251"/>
      <c r="AAP67" s="1251"/>
      <c r="AAQ67" s="1251"/>
      <c r="AAR67" s="1251"/>
      <c r="AAS67" s="1251"/>
      <c r="AAT67" s="1251"/>
      <c r="AAU67" s="1251"/>
      <c r="AAV67" s="1251"/>
      <c r="AAW67" s="1251"/>
      <c r="AAX67" s="1251"/>
      <c r="AAY67" s="1251"/>
      <c r="AAZ67" s="1251"/>
      <c r="ABA67" s="1251"/>
      <c r="ABB67" s="1251"/>
      <c r="ABC67" s="1251"/>
      <c r="ABD67" s="1251"/>
      <c r="ABE67" s="1251"/>
      <c r="ABF67" s="1251"/>
      <c r="ABG67" s="1251"/>
      <c r="ABH67" s="1251"/>
      <c r="ABI67" s="1251"/>
      <c r="ABJ67" s="1251"/>
      <c r="ABK67" s="1251"/>
      <c r="ABL67" s="1251"/>
      <c r="ABM67" s="1251"/>
      <c r="ABN67" s="1251"/>
      <c r="ABO67" s="1251"/>
      <c r="ABP67" s="1251"/>
      <c r="ABQ67" s="1251"/>
      <c r="ABR67" s="1251"/>
      <c r="ABS67" s="1251"/>
      <c r="ABT67" s="1251"/>
      <c r="ABU67" s="1251"/>
      <c r="ABV67" s="1251"/>
      <c r="ABW67" s="1251"/>
      <c r="ABX67" s="1251"/>
      <c r="ABY67" s="1251"/>
      <c r="ABZ67" s="1251"/>
      <c r="ACA67" s="1251"/>
      <c r="ACB67" s="1251"/>
      <c r="ACC67" s="1251"/>
      <c r="ACD67" s="1251"/>
      <c r="ACE67" s="1251"/>
      <c r="ACF67" s="1251"/>
      <c r="ACG67" s="1251"/>
      <c r="ACH67" s="1251"/>
      <c r="ACI67" s="1251"/>
      <c r="ACJ67" s="1251"/>
      <c r="ACK67" s="1251"/>
      <c r="ACL67" s="1251"/>
      <c r="ACM67" s="1251"/>
      <c r="ACN67" s="1251"/>
      <c r="ACO67" s="1251"/>
      <c r="ACP67" s="1251"/>
      <c r="ACQ67" s="1251"/>
      <c r="ACR67" s="1251"/>
      <c r="ACS67" s="1251"/>
      <c r="ACT67" s="1251"/>
      <c r="ACU67" s="1251"/>
      <c r="ACV67" s="1251"/>
      <c r="ACW67" s="1251"/>
      <c r="ACX67" s="1251"/>
      <c r="ACY67" s="1251"/>
      <c r="ACZ67" s="1251"/>
      <c r="ADA67" s="1251"/>
      <c r="ADB67" s="1251"/>
      <c r="ADC67" s="1251"/>
      <c r="ADD67" s="1251"/>
      <c r="ADE67" s="1251"/>
      <c r="ADF67" s="1251"/>
      <c r="ADG67" s="1251"/>
      <c r="ADH67" s="1251"/>
      <c r="ADI67" s="1251"/>
      <c r="ADJ67" s="1251"/>
      <c r="ADK67" s="1251"/>
      <c r="ADL67" s="1251"/>
      <c r="ADM67" s="1251"/>
      <c r="ADN67" s="1251"/>
      <c r="ADO67" s="1251"/>
      <c r="ADP67" s="1251"/>
      <c r="ADQ67" s="1251"/>
      <c r="ADR67" s="1251"/>
      <c r="ADS67" s="1251"/>
      <c r="ADT67" s="1251"/>
      <c r="ADU67" s="1251"/>
      <c r="ADV67" s="1251"/>
      <c r="ADW67" s="1251"/>
      <c r="ADX67" s="1251"/>
      <c r="ADY67" s="1251"/>
      <c r="ADZ67" s="1251"/>
      <c r="AEA67" s="1251"/>
      <c r="AEB67" s="1251"/>
      <c r="AEC67" s="1251"/>
      <c r="AED67" s="1251"/>
      <c r="AEE67" s="1251"/>
      <c r="AEF67" s="1251"/>
      <c r="AEG67" s="1251"/>
      <c r="AEH67" s="1251"/>
      <c r="AEI67" s="1251"/>
      <c r="AEJ67" s="1251"/>
      <c r="AEK67" s="1251"/>
      <c r="AEL67" s="1251"/>
      <c r="AEM67" s="1251"/>
      <c r="AEN67" s="1251"/>
      <c r="AEO67" s="1251"/>
      <c r="AEP67" s="1251"/>
      <c r="AEQ67" s="1251"/>
      <c r="AER67" s="1251"/>
      <c r="AES67" s="1251"/>
      <c r="AET67" s="1251"/>
      <c r="AEU67" s="1251"/>
      <c r="AEV67" s="1251"/>
      <c r="AEW67" s="1251"/>
      <c r="AEX67" s="1251"/>
      <c r="AEY67" s="1251"/>
      <c r="AEZ67" s="1251"/>
      <c r="AFA67" s="1251"/>
      <c r="AFB67" s="1251"/>
      <c r="AFC67" s="1251"/>
      <c r="AFD67" s="1251"/>
      <c r="AFE67" s="1251"/>
      <c r="AFF67" s="1251"/>
      <c r="AFG67" s="1251"/>
      <c r="AFH67" s="1251"/>
      <c r="AFI67" s="1251"/>
      <c r="AFJ67" s="1251"/>
      <c r="AFK67" s="1251"/>
      <c r="AFL67" s="1251"/>
      <c r="AFM67" s="1251"/>
      <c r="AFN67" s="1251"/>
      <c r="AFO67" s="1251"/>
      <c r="AFP67" s="1251"/>
      <c r="AFQ67" s="1251"/>
      <c r="AFR67" s="1251"/>
      <c r="AFS67" s="1251"/>
      <c r="AFT67" s="1251"/>
      <c r="AFU67" s="1251"/>
      <c r="AFV67" s="1251"/>
      <c r="AFW67" s="1251"/>
      <c r="AFX67" s="1251"/>
      <c r="AFY67" s="1251"/>
      <c r="AFZ67" s="1251"/>
      <c r="AGA67" s="1251"/>
      <c r="AGB67" s="1251"/>
      <c r="AGC67" s="1251"/>
      <c r="AGD67" s="1251"/>
      <c r="AGE67" s="1251"/>
      <c r="AGF67" s="1251"/>
      <c r="AGG67" s="1251"/>
      <c r="AGH67" s="1251"/>
      <c r="AGI67" s="1251"/>
      <c r="AGJ67" s="1251"/>
      <c r="AGK67" s="1251"/>
      <c r="AGL67" s="1251"/>
      <c r="AGM67" s="1251"/>
      <c r="AGN67" s="1251"/>
      <c r="AGO67" s="1251"/>
      <c r="AGP67" s="1251"/>
      <c r="AGQ67" s="1251"/>
      <c r="AGR67" s="1251"/>
      <c r="AGS67" s="1251"/>
      <c r="AGT67" s="1251"/>
      <c r="AGU67" s="1251"/>
      <c r="AGV67" s="1251"/>
      <c r="AGW67" s="1251"/>
      <c r="AGX67" s="1251"/>
      <c r="AGY67" s="1251"/>
      <c r="AGZ67" s="1251"/>
      <c r="AHA67" s="1251"/>
      <c r="AHB67" s="1251"/>
      <c r="AHC67" s="1251"/>
      <c r="AHD67" s="1251"/>
      <c r="AHE67" s="1251"/>
      <c r="AHF67" s="1251"/>
      <c r="AHG67" s="1251"/>
      <c r="AHH67" s="1251"/>
      <c r="AHI67" s="1251"/>
      <c r="AHJ67" s="1251"/>
      <c r="AHK67" s="1251"/>
      <c r="AHL67" s="1251"/>
      <c r="AHM67" s="1251"/>
      <c r="AHN67" s="1251"/>
      <c r="AHO67" s="1251"/>
      <c r="AHP67" s="1251"/>
      <c r="AHQ67" s="1251"/>
      <c r="AHR67" s="1251"/>
      <c r="AHS67" s="1251"/>
      <c r="AHT67" s="1251"/>
      <c r="AHU67" s="1251"/>
      <c r="AHV67" s="1251"/>
      <c r="AHW67" s="1251"/>
      <c r="AHX67" s="1251"/>
      <c r="AHY67" s="1251"/>
      <c r="AHZ67" s="1251"/>
      <c r="AIA67" s="1251"/>
      <c r="AIB67" s="1251"/>
      <c r="AIC67" s="1251"/>
      <c r="AID67" s="1251"/>
      <c r="AIE67" s="1251"/>
      <c r="AIF67" s="1251"/>
      <c r="AIG67" s="1251"/>
      <c r="AIH67" s="1251"/>
      <c r="AII67" s="1251"/>
      <c r="AIJ67" s="1251"/>
      <c r="AIK67" s="1251"/>
      <c r="AIL67" s="1251"/>
      <c r="AIM67" s="1251"/>
      <c r="AIN67" s="1251"/>
      <c r="AIO67" s="1251"/>
      <c r="AIP67" s="1251"/>
      <c r="AIQ67" s="1251"/>
      <c r="AIR67" s="1251"/>
      <c r="AIS67" s="1251"/>
      <c r="AIT67" s="1251"/>
      <c r="AIU67" s="1251"/>
      <c r="AIV67" s="1251"/>
      <c r="AIW67" s="1251"/>
      <c r="AIX67" s="1251"/>
      <c r="AIY67" s="1251"/>
      <c r="AIZ67" s="1251"/>
      <c r="AJA67" s="1251"/>
      <c r="AJB67" s="1251"/>
      <c r="AJC67" s="1251"/>
      <c r="AJD67" s="1251"/>
      <c r="AJE67" s="1251"/>
      <c r="AJF67" s="1251"/>
      <c r="AJG67" s="1251"/>
      <c r="AJH67" s="1251"/>
      <c r="AJI67" s="1251"/>
      <c r="AJJ67" s="1251"/>
      <c r="AJK67" s="1251"/>
      <c r="AJL67" s="1251"/>
      <c r="AJM67" s="1251"/>
      <c r="AJN67" s="1251"/>
      <c r="AJO67" s="1251"/>
      <c r="AJP67" s="1251"/>
      <c r="AJQ67" s="1251"/>
      <c r="AJR67" s="1251"/>
      <c r="AJS67" s="1251"/>
      <c r="AJT67" s="1251"/>
      <c r="AJU67" s="1251"/>
      <c r="AJV67" s="1251"/>
      <c r="AJW67" s="1251"/>
      <c r="AJX67" s="1251"/>
      <c r="AJY67" s="1251"/>
      <c r="AJZ67" s="1251"/>
      <c r="AKA67" s="1251"/>
      <c r="AKB67" s="1251"/>
      <c r="AKC67" s="1251"/>
      <c r="AKD67" s="1251"/>
      <c r="AKE67" s="1251"/>
      <c r="AKF67" s="1251"/>
      <c r="AKG67" s="1251"/>
      <c r="AKH67" s="1251"/>
      <c r="AKI67" s="1251"/>
      <c r="AKJ67" s="1251"/>
      <c r="AKK67" s="1251"/>
      <c r="AKL67" s="1251"/>
      <c r="AKM67" s="1251"/>
      <c r="AKN67" s="1251"/>
      <c r="AKO67" s="1251"/>
      <c r="AKP67" s="1251"/>
      <c r="AKQ67" s="1251"/>
      <c r="AKR67" s="1251"/>
      <c r="AKS67" s="1251"/>
      <c r="AKT67" s="1251"/>
      <c r="AKU67" s="1251"/>
      <c r="AKV67" s="1251"/>
      <c r="AKW67" s="1251"/>
      <c r="AKX67" s="1251"/>
      <c r="AKY67" s="1251"/>
      <c r="AKZ67" s="1251"/>
      <c r="ALA67" s="1251"/>
      <c r="ALB67" s="1251"/>
      <c r="ALC67" s="1251"/>
      <c r="ALD67" s="1251"/>
      <c r="ALE67" s="1251"/>
      <c r="ALF67" s="1251"/>
      <c r="ALG67" s="1251"/>
      <c r="ALH67" s="1251"/>
      <c r="ALI67" s="1251"/>
      <c r="ALJ67" s="1251"/>
      <c r="ALK67" s="1251"/>
      <c r="ALL67" s="1251"/>
      <c r="ALM67" s="1251"/>
      <c r="ALN67" s="1251"/>
      <c r="ALO67" s="1251"/>
      <c r="ALP67" s="1251"/>
      <c r="ALQ67" s="1251"/>
      <c r="ALR67" s="1251"/>
      <c r="ALS67" s="1251"/>
      <c r="ALT67" s="1251"/>
      <c r="ALU67" s="1251"/>
      <c r="ALV67" s="1251"/>
      <c r="ALW67" s="1251"/>
      <c r="ALX67" s="1251"/>
      <c r="ALY67" s="1251"/>
      <c r="ALZ67" s="1251"/>
      <c r="AMA67" s="1251"/>
      <c r="AMB67" s="1251"/>
      <c r="AMC67" s="1251"/>
      <c r="AMD67" s="1251"/>
      <c r="AME67" s="1251"/>
      <c r="AMF67" s="1251"/>
      <c r="AMG67" s="1251"/>
      <c r="AMH67" s="1251"/>
      <c r="AMI67" s="1251"/>
      <c r="AMJ67" s="1251"/>
      <c r="AMK67" s="1251"/>
      <c r="AML67" s="1251"/>
      <c r="AMM67" s="1251"/>
      <c r="AMN67" s="1251"/>
      <c r="AMO67" s="1251"/>
      <c r="AMP67" s="1251"/>
      <c r="AMQ67" s="1251"/>
      <c r="AMR67" s="1251"/>
      <c r="AMS67" s="1251"/>
      <c r="AMT67" s="1251"/>
      <c r="AMU67" s="1251"/>
      <c r="AMV67" s="1251"/>
      <c r="AMW67" s="1251"/>
      <c r="AMX67" s="1251"/>
      <c r="AMY67" s="1251"/>
      <c r="AMZ67" s="1251"/>
      <c r="ANA67" s="1251"/>
      <c r="ANB67" s="1251"/>
      <c r="ANC67" s="1251"/>
      <c r="AND67" s="1251"/>
      <c r="ANE67" s="1251"/>
      <c r="ANF67" s="1251"/>
      <c r="ANG67" s="1251"/>
      <c r="ANH67" s="1251"/>
      <c r="ANI67" s="1251"/>
      <c r="ANJ67" s="1251"/>
      <c r="ANK67" s="1251"/>
      <c r="ANL67" s="1251"/>
      <c r="ANM67" s="1251"/>
      <c r="ANN67" s="1251"/>
      <c r="ANO67" s="1251"/>
      <c r="ANP67" s="1251"/>
      <c r="ANQ67" s="1251"/>
      <c r="ANR67" s="1251"/>
      <c r="ANS67" s="1251"/>
      <c r="ANT67" s="1251"/>
      <c r="ANU67" s="1251"/>
      <c r="ANV67" s="1251"/>
      <c r="ANW67" s="1251"/>
      <c r="ANX67" s="1251"/>
      <c r="ANY67" s="1251"/>
      <c r="ANZ67" s="1251"/>
      <c r="AOA67" s="1251"/>
      <c r="AOB67" s="1251"/>
      <c r="AOC67" s="1251"/>
      <c r="AOD67" s="1251"/>
      <c r="AOE67" s="1251"/>
      <c r="AOF67" s="1251"/>
      <c r="AOG67" s="1251"/>
      <c r="AOH67" s="1251"/>
      <c r="AOI67" s="1251"/>
      <c r="AOJ67" s="1251"/>
      <c r="AOK67" s="1251"/>
      <c r="AOL67" s="1251"/>
      <c r="AOM67" s="1251"/>
      <c r="AON67" s="1251"/>
      <c r="AOO67" s="1251"/>
      <c r="AOP67" s="1251"/>
      <c r="AOQ67" s="1251"/>
      <c r="AOR67" s="1251"/>
      <c r="AOS67" s="1251"/>
      <c r="AOT67" s="1251"/>
      <c r="AOU67" s="1251"/>
      <c r="AOV67" s="1251"/>
      <c r="AOW67" s="1251"/>
      <c r="AOX67" s="1251"/>
      <c r="AOY67" s="1251"/>
      <c r="AOZ67" s="1251"/>
      <c r="APA67" s="1251"/>
      <c r="APB67" s="1251"/>
      <c r="APC67" s="1251"/>
      <c r="APD67" s="1251"/>
      <c r="APE67" s="1251"/>
      <c r="APF67" s="1251"/>
      <c r="APG67" s="1251"/>
      <c r="APH67" s="1251"/>
      <c r="API67" s="1251"/>
      <c r="APJ67" s="1251"/>
      <c r="APK67" s="1251"/>
      <c r="APL67" s="1251"/>
      <c r="APM67" s="1251"/>
      <c r="APN67" s="1251"/>
      <c r="APO67" s="1251"/>
      <c r="APP67" s="1251"/>
      <c r="APQ67" s="1251"/>
      <c r="APR67" s="1251"/>
      <c r="APS67" s="1251"/>
      <c r="APT67" s="1251"/>
      <c r="APU67" s="1251"/>
      <c r="APV67" s="1251"/>
      <c r="APW67" s="1251"/>
      <c r="APX67" s="1251"/>
      <c r="APY67" s="1251"/>
      <c r="APZ67" s="1251"/>
      <c r="AQA67" s="1251"/>
      <c r="AQB67" s="1251"/>
      <c r="AQC67" s="1251"/>
      <c r="AQD67" s="1251"/>
      <c r="AQE67" s="1251"/>
      <c r="AQF67" s="1251"/>
      <c r="AQG67" s="1251"/>
      <c r="AQH67" s="1251"/>
      <c r="AQI67" s="1251"/>
      <c r="AQJ67" s="1251"/>
      <c r="AQK67" s="1251"/>
      <c r="AQL67" s="1251"/>
      <c r="AQM67" s="1251"/>
      <c r="AQN67" s="1251"/>
      <c r="AQO67" s="1251"/>
      <c r="AQP67" s="1251"/>
      <c r="AQQ67" s="1251"/>
      <c r="AQR67" s="1251"/>
      <c r="AQS67" s="1251"/>
      <c r="AQT67" s="1251"/>
      <c r="AQU67" s="1251"/>
      <c r="AQV67" s="1251"/>
      <c r="AQW67" s="1251"/>
      <c r="AQX67" s="1251"/>
      <c r="AQY67" s="1251"/>
      <c r="AQZ67" s="1251"/>
      <c r="ARA67" s="1251"/>
      <c r="ARB67" s="1251"/>
      <c r="ARC67" s="1251"/>
      <c r="ARD67" s="1251"/>
      <c r="ARE67" s="1251"/>
      <c r="ARF67" s="1251"/>
      <c r="ARG67" s="1251"/>
      <c r="ARH67" s="1251"/>
      <c r="ARI67" s="1251"/>
      <c r="ARJ67" s="1251"/>
      <c r="ARK67" s="1251"/>
      <c r="ARL67" s="1251"/>
      <c r="ARM67" s="1251"/>
      <c r="ARN67" s="1251"/>
      <c r="ARO67" s="1251"/>
      <c r="ARP67" s="1251"/>
      <c r="ARQ67" s="1251"/>
      <c r="ARR67" s="1251"/>
      <c r="ARS67" s="1251"/>
      <c r="ART67" s="1251"/>
      <c r="ARU67" s="1251"/>
      <c r="ARV67" s="1251"/>
      <c r="ARW67" s="1251"/>
      <c r="ARX67" s="1251"/>
      <c r="ARY67" s="1251"/>
      <c r="ARZ67" s="1251"/>
      <c r="ASA67" s="1251"/>
      <c r="ASB67" s="1251"/>
      <c r="ASC67" s="1251"/>
      <c r="ASD67" s="1251"/>
      <c r="ASE67" s="1251"/>
      <c r="ASF67" s="1251"/>
      <c r="ASG67" s="1251"/>
      <c r="ASH67" s="1251"/>
      <c r="ASI67" s="1251"/>
      <c r="ASJ67" s="1251"/>
      <c r="ASK67" s="1251"/>
      <c r="ASL67" s="1251"/>
      <c r="ASM67" s="1251"/>
      <c r="ASN67" s="1251"/>
      <c r="ASO67" s="1251"/>
      <c r="ASP67" s="1251"/>
      <c r="ASQ67" s="1251"/>
      <c r="ASR67" s="1251"/>
      <c r="ASS67" s="1251"/>
      <c r="AST67" s="1251"/>
      <c r="ASU67" s="1251"/>
      <c r="ASV67" s="1251"/>
      <c r="ASW67" s="1251"/>
      <c r="ASX67" s="1251"/>
      <c r="ASY67" s="1251"/>
      <c r="ASZ67" s="1251"/>
      <c r="ATA67" s="1251"/>
      <c r="ATB67" s="1251"/>
      <c r="ATC67" s="1251"/>
      <c r="ATD67" s="1251"/>
      <c r="ATE67" s="1251"/>
      <c r="ATF67" s="1251"/>
      <c r="ATG67" s="1251"/>
      <c r="ATH67" s="1251"/>
      <c r="ATI67" s="1251"/>
      <c r="ATJ67" s="1251"/>
      <c r="ATK67" s="1251"/>
      <c r="ATL67" s="1251"/>
      <c r="ATM67" s="1251"/>
      <c r="ATN67" s="1251"/>
      <c r="ATO67" s="1251"/>
      <c r="ATP67" s="1251"/>
      <c r="ATQ67" s="1251"/>
      <c r="ATR67" s="1251"/>
      <c r="ATS67" s="1251"/>
      <c r="ATT67" s="1251"/>
      <c r="ATU67" s="1251"/>
      <c r="ATV67" s="1251"/>
      <c r="ATW67" s="1251"/>
      <c r="ATX67" s="1251"/>
      <c r="ATY67" s="1251"/>
      <c r="ATZ67" s="1251"/>
      <c r="AUA67" s="1251"/>
      <c r="AUB67" s="1251"/>
      <c r="AUC67" s="1251"/>
      <c r="AUD67" s="1251"/>
      <c r="AUE67" s="1251"/>
      <c r="AUF67" s="1251"/>
      <c r="AUG67" s="1251"/>
      <c r="AUH67" s="1251"/>
      <c r="AUI67" s="1251"/>
      <c r="AUJ67" s="1251"/>
      <c r="AUK67" s="1251"/>
      <c r="AUL67" s="1251"/>
      <c r="AUM67" s="1251"/>
      <c r="AUN67" s="1251"/>
      <c r="AUO67" s="1251"/>
      <c r="AUP67" s="1251"/>
      <c r="AUQ67" s="1251"/>
      <c r="AUR67" s="1251"/>
      <c r="AUS67" s="1251"/>
      <c r="AUT67" s="1251"/>
      <c r="AUU67" s="1251"/>
      <c r="AUV67" s="1251"/>
      <c r="AUW67" s="1251"/>
      <c r="AUX67" s="1251"/>
      <c r="AUY67" s="1251"/>
      <c r="AUZ67" s="1251"/>
      <c r="AVA67" s="1251"/>
      <c r="AVB67" s="1251"/>
      <c r="AVC67" s="1251"/>
      <c r="AVD67" s="1251"/>
      <c r="AVE67" s="1251"/>
      <c r="AVF67" s="1251"/>
      <c r="AVG67" s="1251"/>
      <c r="AVH67" s="1251"/>
      <c r="AVI67" s="1251"/>
      <c r="AVJ67" s="1251"/>
      <c r="AVK67" s="1251"/>
      <c r="AVL67" s="1251"/>
      <c r="AVM67" s="1251"/>
      <c r="AVN67" s="1251"/>
      <c r="AVO67" s="1251"/>
      <c r="AVP67" s="1251"/>
      <c r="AVQ67" s="1251"/>
      <c r="AVR67" s="1251"/>
      <c r="AVS67" s="1251"/>
      <c r="AVT67" s="1251"/>
      <c r="AVU67" s="1251"/>
      <c r="AVV67" s="1251"/>
      <c r="AVW67" s="1251"/>
      <c r="AVX67" s="1251"/>
      <c r="AVY67" s="1251"/>
      <c r="AVZ67" s="1251"/>
      <c r="AWA67" s="1251"/>
      <c r="AWB67" s="1251"/>
      <c r="AWC67" s="1251"/>
      <c r="AWD67" s="1251"/>
      <c r="AWE67" s="1251"/>
      <c r="AWF67" s="1251"/>
      <c r="AWG67" s="1251"/>
      <c r="AWH67" s="1251"/>
      <c r="AWI67" s="1251"/>
      <c r="AWJ67" s="1251"/>
      <c r="AWK67" s="1251"/>
      <c r="AWL67" s="1251"/>
      <c r="AWM67" s="1251"/>
      <c r="AWN67" s="1251"/>
      <c r="AWO67" s="1251"/>
      <c r="AWP67" s="1251"/>
      <c r="AWQ67" s="1251"/>
      <c r="AWR67" s="1251"/>
      <c r="AWS67" s="1251"/>
      <c r="AWT67" s="1251"/>
      <c r="AWU67" s="1251"/>
      <c r="AWV67" s="1251"/>
      <c r="AWW67" s="1251"/>
      <c r="AWX67" s="1251"/>
      <c r="AWY67" s="1251"/>
      <c r="AWZ67" s="1251"/>
      <c r="AXA67" s="1251"/>
      <c r="AXB67" s="1251"/>
      <c r="AXC67" s="1251"/>
      <c r="AXD67" s="1251"/>
      <c r="AXE67" s="1251"/>
      <c r="AXF67" s="1251"/>
      <c r="AXG67" s="1251"/>
      <c r="AXH67" s="1251"/>
      <c r="AXI67" s="1251"/>
      <c r="AXJ67" s="1251"/>
      <c r="AXK67" s="1251"/>
      <c r="AXL67" s="1251"/>
      <c r="AXM67" s="1251"/>
      <c r="AXN67" s="1251"/>
      <c r="AXO67" s="1251"/>
      <c r="AXP67" s="1251"/>
      <c r="AXQ67" s="1251"/>
      <c r="AXR67" s="1251"/>
      <c r="AXS67" s="1251"/>
      <c r="AXT67" s="1251"/>
      <c r="AXU67" s="1251"/>
      <c r="AXV67" s="1251"/>
      <c r="AXW67" s="1251"/>
      <c r="AXX67" s="1251"/>
      <c r="AXY67" s="1251"/>
      <c r="AXZ67" s="1251"/>
      <c r="AYA67" s="1251"/>
      <c r="AYB67" s="1251"/>
      <c r="AYC67" s="1251"/>
      <c r="AYD67" s="1251"/>
      <c r="AYE67" s="1251"/>
      <c r="AYF67" s="1251"/>
      <c r="AYG67" s="1251"/>
      <c r="AYH67" s="1251"/>
      <c r="AYI67" s="1251"/>
      <c r="AYJ67" s="1251"/>
      <c r="AYK67" s="1251"/>
      <c r="AYL67" s="1251"/>
      <c r="AYM67" s="1251"/>
      <c r="AYN67" s="1251"/>
      <c r="AYO67" s="1251"/>
      <c r="AYP67" s="1251"/>
      <c r="AYQ67" s="1251"/>
      <c r="AYR67" s="1251"/>
      <c r="AYS67" s="1251"/>
      <c r="AYT67" s="1251"/>
      <c r="AYU67" s="1251"/>
      <c r="AYV67" s="1251"/>
      <c r="AYW67" s="1251"/>
      <c r="AYX67" s="1251"/>
      <c r="AYY67" s="1251"/>
      <c r="AYZ67" s="1251"/>
      <c r="AZA67" s="1251"/>
      <c r="AZB67" s="1251"/>
      <c r="AZC67" s="1251"/>
      <c r="AZD67" s="1251"/>
      <c r="AZE67" s="1251"/>
      <c r="AZF67" s="1251"/>
      <c r="AZG67" s="1251"/>
      <c r="AZH67" s="1251"/>
      <c r="AZI67" s="1251"/>
      <c r="AZJ67" s="1251"/>
      <c r="AZK67" s="1251"/>
      <c r="AZL67" s="1251"/>
      <c r="AZM67" s="1251"/>
      <c r="AZN67" s="1251"/>
      <c r="AZO67" s="1251"/>
      <c r="AZP67" s="1251"/>
      <c r="AZQ67" s="1251"/>
      <c r="AZR67" s="1251"/>
      <c r="AZS67" s="1251"/>
      <c r="AZT67" s="1251"/>
      <c r="AZU67" s="1251"/>
      <c r="AZV67" s="1251"/>
      <c r="AZW67" s="1251"/>
      <c r="AZX67" s="1251"/>
      <c r="AZY67" s="1251"/>
      <c r="AZZ67" s="1251"/>
      <c r="BAA67" s="1251"/>
      <c r="BAB67" s="1251"/>
      <c r="BAC67" s="1251"/>
      <c r="BAD67" s="1251"/>
      <c r="BAE67" s="1251"/>
      <c r="BAF67" s="1251"/>
      <c r="BAG67" s="1251"/>
      <c r="BAH67" s="1251"/>
      <c r="BAI67" s="1251"/>
      <c r="BAJ67" s="1251"/>
      <c r="BAK67" s="1251"/>
      <c r="BAL67" s="1251"/>
      <c r="BAM67" s="1251"/>
      <c r="BAN67" s="1251"/>
      <c r="BAO67" s="1251"/>
      <c r="BAP67" s="1251"/>
      <c r="BAQ67" s="1251"/>
      <c r="BAR67" s="1251"/>
      <c r="BAS67" s="1251"/>
      <c r="BAT67" s="1251"/>
      <c r="BAU67" s="1251"/>
      <c r="BAV67" s="1251"/>
      <c r="BAW67" s="1251"/>
      <c r="BAX67" s="1251"/>
      <c r="BAY67" s="1251"/>
      <c r="BAZ67" s="1251"/>
      <c r="BBA67" s="1251"/>
      <c r="BBB67" s="1251"/>
      <c r="BBC67" s="1251"/>
      <c r="BBD67" s="1251"/>
      <c r="BBE67" s="1251"/>
      <c r="BBF67" s="1251"/>
      <c r="BBG67" s="1251"/>
      <c r="BBH67" s="1251"/>
      <c r="BBI67" s="1251"/>
      <c r="BBJ67" s="1251"/>
      <c r="BBK67" s="1251"/>
      <c r="BBL67" s="1251"/>
      <c r="BBM67" s="1251"/>
      <c r="BBN67" s="1251"/>
      <c r="BBO67" s="1251"/>
      <c r="BBP67" s="1251"/>
      <c r="BBQ67" s="1251"/>
      <c r="BBR67" s="1251"/>
      <c r="BBS67" s="1251"/>
      <c r="BBT67" s="1251"/>
      <c r="BBU67" s="1251"/>
      <c r="BBV67" s="1251"/>
      <c r="BBW67" s="1251"/>
      <c r="BBX67" s="1251"/>
      <c r="BBY67" s="1251"/>
      <c r="BBZ67" s="1251"/>
      <c r="BCA67" s="1251"/>
      <c r="BCB67" s="1251"/>
      <c r="BCC67" s="1251"/>
      <c r="BCD67" s="1251"/>
      <c r="BCE67" s="1251"/>
      <c r="BCF67" s="1251"/>
      <c r="BCG67" s="1251"/>
      <c r="BCH67" s="1251"/>
      <c r="BCI67" s="1251"/>
      <c r="BCJ67" s="1251"/>
      <c r="BCK67" s="1251"/>
      <c r="BCL67" s="1251"/>
      <c r="BCM67" s="1251"/>
      <c r="BCN67" s="1251"/>
      <c r="BCO67" s="1251"/>
      <c r="BCP67" s="1251"/>
      <c r="BCQ67" s="1251"/>
      <c r="BCR67" s="1251"/>
      <c r="BCS67" s="1251"/>
      <c r="BCT67" s="1251"/>
      <c r="BCU67" s="1251"/>
      <c r="BCV67" s="1251"/>
      <c r="BCW67" s="1251"/>
      <c r="BCX67" s="1251"/>
      <c r="BCY67" s="1251"/>
      <c r="BCZ67" s="1251"/>
      <c r="BDA67" s="1251"/>
      <c r="BDB67" s="1251"/>
      <c r="BDC67" s="1251"/>
      <c r="BDD67" s="1251"/>
      <c r="BDE67" s="1251"/>
      <c r="BDF67" s="1251"/>
      <c r="BDG67" s="1251"/>
      <c r="BDH67" s="1251"/>
      <c r="BDI67" s="1251"/>
      <c r="BDJ67" s="1251"/>
      <c r="BDK67" s="1251"/>
      <c r="BDL67" s="1251"/>
      <c r="BDM67" s="1251"/>
      <c r="BDN67" s="1251"/>
      <c r="BDO67" s="1251"/>
      <c r="BDP67" s="1251"/>
      <c r="BDQ67" s="1251"/>
      <c r="BDR67" s="1251"/>
      <c r="BDS67" s="1251"/>
      <c r="BDT67" s="1251"/>
      <c r="BDU67" s="1251"/>
      <c r="BDV67" s="1251"/>
      <c r="BDW67" s="1251"/>
      <c r="BDX67" s="1251"/>
      <c r="BDY67" s="1251"/>
      <c r="BDZ67" s="1251"/>
      <c r="BEA67" s="1251"/>
      <c r="BEB67" s="1251"/>
      <c r="BEC67" s="1251"/>
      <c r="BED67" s="1251"/>
      <c r="BEE67" s="1251"/>
      <c r="BEF67" s="1251"/>
      <c r="BEG67" s="1251"/>
      <c r="BEH67" s="1251"/>
      <c r="BEI67" s="1251"/>
      <c r="BEJ67" s="1251"/>
      <c r="BEK67" s="1251"/>
      <c r="BEL67" s="1251"/>
      <c r="BEM67" s="1251"/>
      <c r="BEN67" s="1251"/>
      <c r="BEO67" s="1251"/>
      <c r="BEP67" s="1251"/>
      <c r="BEQ67" s="1251"/>
      <c r="BER67" s="1251"/>
      <c r="BES67" s="1251"/>
      <c r="BET67" s="1251"/>
      <c r="BEU67" s="1251"/>
      <c r="BEV67" s="1251"/>
      <c r="BEW67" s="1251"/>
      <c r="BEX67" s="1251"/>
      <c r="BEY67" s="1251"/>
      <c r="BEZ67" s="1251"/>
      <c r="BFA67" s="1251"/>
      <c r="BFB67" s="1251"/>
      <c r="BFC67" s="1251"/>
      <c r="BFD67" s="1251"/>
      <c r="BFE67" s="1251"/>
      <c r="BFF67" s="1251"/>
      <c r="BFG67" s="1251"/>
      <c r="BFH67" s="1251"/>
      <c r="BFI67" s="1251"/>
      <c r="BFJ67" s="1251"/>
      <c r="BFK67" s="1251"/>
      <c r="BFL67" s="1251"/>
      <c r="BFM67" s="1251"/>
      <c r="BFN67" s="1251"/>
      <c r="BFO67" s="1251"/>
      <c r="BFP67" s="1251"/>
      <c r="BFQ67" s="1251"/>
      <c r="BFR67" s="1251"/>
      <c r="BFS67" s="1251"/>
      <c r="BFT67" s="1251"/>
      <c r="BFU67" s="1251"/>
      <c r="BFV67" s="1251"/>
      <c r="BFW67" s="1251"/>
      <c r="BFX67" s="1251"/>
      <c r="BFY67" s="1251"/>
      <c r="BFZ67" s="1251"/>
      <c r="BGA67" s="1251"/>
      <c r="BGB67" s="1251"/>
      <c r="BGC67" s="1251"/>
      <c r="BGD67" s="1251"/>
      <c r="BGE67" s="1251"/>
      <c r="BGF67" s="1251"/>
      <c r="BGG67" s="1251"/>
      <c r="BGH67" s="1251"/>
      <c r="BGI67" s="1251"/>
      <c r="BGJ67" s="1251"/>
      <c r="BGK67" s="1251"/>
      <c r="BGL67" s="1251"/>
      <c r="BGM67" s="1251"/>
      <c r="BGN67" s="1251"/>
      <c r="BGO67" s="1251"/>
      <c r="BGP67" s="1251"/>
      <c r="BGQ67" s="1251"/>
      <c r="BGR67" s="1251"/>
      <c r="BGS67" s="1251"/>
      <c r="BGT67" s="1251"/>
      <c r="BGU67" s="1251"/>
      <c r="BGV67" s="1251"/>
      <c r="BGW67" s="1251"/>
      <c r="BGX67" s="1251"/>
      <c r="BGY67" s="1251"/>
      <c r="BGZ67" s="1251"/>
      <c r="BHA67" s="1251"/>
      <c r="BHB67" s="1251"/>
      <c r="BHC67" s="1251"/>
      <c r="BHD67" s="1251"/>
      <c r="BHE67" s="1251"/>
      <c r="BHF67" s="1251"/>
      <c r="BHG67" s="1251"/>
      <c r="BHH67" s="1251"/>
      <c r="BHI67" s="1251"/>
      <c r="BHJ67" s="1251"/>
      <c r="BHK67" s="1251"/>
      <c r="BHL67" s="1251"/>
      <c r="BHM67" s="1251"/>
      <c r="BHN67" s="1251"/>
      <c r="BHO67" s="1251"/>
      <c r="BHP67" s="1251"/>
      <c r="BHQ67" s="1251"/>
      <c r="BHR67" s="1251"/>
      <c r="BHS67" s="1251"/>
      <c r="BHT67" s="1251"/>
      <c r="BHU67" s="1251"/>
      <c r="BHV67" s="1251"/>
      <c r="BHW67" s="1251"/>
      <c r="BHX67" s="1251"/>
      <c r="BHY67" s="1251"/>
      <c r="BHZ67" s="1251"/>
      <c r="BIA67" s="1251"/>
      <c r="BIB67" s="1251"/>
      <c r="BIC67" s="1251"/>
      <c r="BID67" s="1251"/>
      <c r="BIE67" s="1251"/>
      <c r="BIF67" s="1251"/>
      <c r="BIG67" s="1251"/>
      <c r="BIH67" s="1251"/>
      <c r="BII67" s="1251"/>
      <c r="BIJ67" s="1251"/>
      <c r="BIK67" s="1251"/>
      <c r="BIL67" s="1251"/>
      <c r="BIM67" s="1251"/>
      <c r="BIN67" s="1251"/>
      <c r="BIO67" s="1251"/>
      <c r="BIP67" s="1251"/>
      <c r="BIQ67" s="1251"/>
      <c r="BIR67" s="1251"/>
      <c r="BIS67" s="1251"/>
      <c r="BIT67" s="1251"/>
      <c r="BIU67" s="1251"/>
      <c r="BIV67" s="1251"/>
      <c r="BIW67" s="1251"/>
      <c r="BIX67" s="1251"/>
      <c r="BIY67" s="1251"/>
      <c r="BIZ67" s="1251"/>
      <c r="BJA67" s="1251"/>
      <c r="BJB67" s="1251"/>
      <c r="BJC67" s="1251"/>
      <c r="BJD67" s="1251"/>
      <c r="BJE67" s="1251"/>
      <c r="BJF67" s="1251"/>
      <c r="BJG67" s="1251"/>
      <c r="BJH67" s="1251"/>
      <c r="BJI67" s="1251"/>
      <c r="BJJ67" s="1251"/>
      <c r="BJK67" s="1251"/>
      <c r="BJL67" s="1251"/>
      <c r="BJM67" s="1251"/>
      <c r="BJN67" s="1251"/>
      <c r="BJO67" s="1251"/>
      <c r="BJP67" s="1251"/>
      <c r="BJQ67" s="1251"/>
      <c r="BJR67" s="1251"/>
      <c r="BJS67" s="1251"/>
      <c r="BJT67" s="1251"/>
      <c r="BJU67" s="1251"/>
      <c r="BJV67" s="1251"/>
      <c r="BJW67" s="1251"/>
      <c r="BJX67" s="1251"/>
      <c r="BJY67" s="1251"/>
      <c r="BJZ67" s="1251"/>
      <c r="BKA67" s="1251"/>
      <c r="BKB67" s="1251"/>
      <c r="BKC67" s="1251"/>
      <c r="BKD67" s="1251"/>
      <c r="BKE67" s="1251"/>
      <c r="BKF67" s="1251"/>
      <c r="BKG67" s="1251"/>
      <c r="BKH67" s="1251"/>
      <c r="BKI67" s="1251"/>
      <c r="BKJ67" s="1251"/>
      <c r="BKK67" s="1251"/>
      <c r="BKL67" s="1251"/>
      <c r="BKM67" s="1251"/>
      <c r="BKN67" s="1251"/>
      <c r="BKO67" s="1251"/>
      <c r="BKP67" s="1251"/>
      <c r="BKQ67" s="1251"/>
      <c r="BKR67" s="1251"/>
      <c r="BKS67" s="1251"/>
      <c r="BKT67" s="1251"/>
      <c r="BKU67" s="1251"/>
      <c r="BKV67" s="1251"/>
      <c r="BKW67" s="1251"/>
      <c r="BKX67" s="1251"/>
      <c r="BKY67" s="1251"/>
      <c r="BKZ67" s="1251"/>
      <c r="BLA67" s="1251"/>
      <c r="BLB67" s="1251"/>
      <c r="BLC67" s="1251"/>
      <c r="BLD67" s="1251"/>
      <c r="BLE67" s="1251"/>
      <c r="BLF67" s="1251"/>
      <c r="BLG67" s="1251"/>
      <c r="BLH67" s="1251"/>
      <c r="BLI67" s="1251"/>
      <c r="BLJ67" s="1251"/>
      <c r="BLK67" s="1251"/>
      <c r="BLL67" s="1251"/>
      <c r="BLM67" s="1251"/>
      <c r="BLN67" s="1251"/>
      <c r="BLO67" s="1251"/>
      <c r="BLP67" s="1251"/>
      <c r="BLQ67" s="1251"/>
      <c r="BLR67" s="1251"/>
      <c r="BLS67" s="1251"/>
      <c r="BLT67" s="1251"/>
      <c r="BLU67" s="1251"/>
      <c r="BLV67" s="1251"/>
      <c r="BLW67" s="1251"/>
      <c r="BLX67" s="1251"/>
      <c r="BLY67" s="1251"/>
      <c r="BLZ67" s="1251"/>
      <c r="BMA67" s="1251"/>
      <c r="BMB67" s="1251"/>
      <c r="BMC67" s="1251"/>
      <c r="BMD67" s="1251"/>
      <c r="BME67" s="1251"/>
      <c r="BMF67" s="1251"/>
      <c r="BMG67" s="1251"/>
      <c r="BMH67" s="1251"/>
      <c r="BMI67" s="1251"/>
      <c r="BMJ67" s="1251"/>
      <c r="BMK67" s="1251"/>
      <c r="BML67" s="1251"/>
      <c r="BMM67" s="1251"/>
      <c r="BMN67" s="1251"/>
      <c r="BMO67" s="1251"/>
      <c r="BMP67" s="1251"/>
      <c r="BMQ67" s="1251"/>
      <c r="BMR67" s="1251"/>
      <c r="BMS67" s="1251"/>
      <c r="BMT67" s="1251"/>
      <c r="BMU67" s="1251"/>
      <c r="BMV67" s="1251"/>
      <c r="BMW67" s="1251"/>
      <c r="BMX67" s="1251"/>
      <c r="BMY67" s="1251"/>
      <c r="BMZ67" s="1251"/>
      <c r="BNA67" s="1251"/>
      <c r="BNB67" s="1251"/>
      <c r="BNC67" s="1251"/>
      <c r="BND67" s="1251"/>
      <c r="BNE67" s="1251"/>
      <c r="BNF67" s="1251"/>
      <c r="BNG67" s="1251"/>
      <c r="BNH67" s="1251"/>
      <c r="BNI67" s="1251"/>
      <c r="BNJ67" s="1251"/>
      <c r="BNK67" s="1251"/>
      <c r="BNL67" s="1251"/>
      <c r="BNM67" s="1251"/>
      <c r="BNN67" s="1251"/>
      <c r="BNO67" s="1251"/>
      <c r="BNP67" s="1251"/>
      <c r="BNQ67" s="1251"/>
      <c r="BNR67" s="1251"/>
      <c r="BNS67" s="1251"/>
      <c r="BNT67" s="1251"/>
      <c r="BNU67" s="1251"/>
      <c r="BNV67" s="1251"/>
      <c r="BNW67" s="1251"/>
      <c r="BNX67" s="1251"/>
      <c r="BNY67" s="1251"/>
      <c r="BNZ67" s="1251"/>
      <c r="BOA67" s="1251"/>
      <c r="BOB67" s="1251"/>
      <c r="BOC67" s="1251"/>
      <c r="BOD67" s="1251"/>
      <c r="BOE67" s="1251"/>
      <c r="BOF67" s="1251"/>
      <c r="BOG67" s="1251"/>
      <c r="BOH67" s="1251"/>
      <c r="BOI67" s="1251"/>
      <c r="BOJ67" s="1251"/>
      <c r="BOK67" s="1251"/>
      <c r="BOL67" s="1251"/>
      <c r="BOM67" s="1251"/>
      <c r="BON67" s="1251"/>
      <c r="BOO67" s="1251"/>
      <c r="BOP67" s="1251"/>
      <c r="BOQ67" s="1251"/>
      <c r="BOR67" s="1251"/>
      <c r="BOS67" s="1251"/>
      <c r="BOT67" s="1251"/>
      <c r="BOU67" s="1251"/>
      <c r="BOV67" s="1251"/>
      <c r="BOW67" s="1251"/>
      <c r="BOX67" s="1251"/>
      <c r="BOY67" s="1251"/>
      <c r="BOZ67" s="1251"/>
      <c r="BPA67" s="1251"/>
      <c r="BPB67" s="1251"/>
      <c r="BPC67" s="1251"/>
      <c r="BPD67" s="1251"/>
      <c r="BPE67" s="1251"/>
      <c r="BPF67" s="1251"/>
      <c r="BPG67" s="1251"/>
      <c r="BPH67" s="1251"/>
      <c r="BPI67" s="1251"/>
      <c r="BPJ67" s="1251"/>
      <c r="BPK67" s="1251"/>
      <c r="BPL67" s="1251"/>
      <c r="BPM67" s="1251"/>
      <c r="BPN67" s="1251"/>
      <c r="BPO67" s="1251"/>
      <c r="BPP67" s="1251"/>
      <c r="BPQ67" s="1251"/>
      <c r="BPR67" s="1251"/>
      <c r="BPS67" s="1251"/>
      <c r="BPT67" s="1251"/>
      <c r="BPU67" s="1251"/>
      <c r="BPV67" s="1251"/>
      <c r="BPW67" s="1251"/>
      <c r="BPX67" s="1251"/>
      <c r="BPY67" s="1251"/>
      <c r="BPZ67" s="1251"/>
      <c r="BQA67" s="1251"/>
      <c r="BQB67" s="1251"/>
      <c r="BQC67" s="1251"/>
      <c r="BQD67" s="1251"/>
      <c r="BQE67" s="1251"/>
      <c r="BQF67" s="1251"/>
      <c r="BQG67" s="1251"/>
      <c r="BQH67" s="1251"/>
      <c r="BQI67" s="1251"/>
      <c r="BQJ67" s="1251"/>
      <c r="BQK67" s="1251"/>
      <c r="BQL67" s="1251"/>
      <c r="BQM67" s="1251"/>
      <c r="BQN67" s="1251"/>
      <c r="BQO67" s="1251"/>
      <c r="BQP67" s="1251"/>
      <c r="BQQ67" s="1251"/>
      <c r="BQR67" s="1251"/>
      <c r="BQS67" s="1251"/>
      <c r="BQT67" s="1251"/>
      <c r="BQU67" s="1251"/>
      <c r="BQV67" s="1251"/>
      <c r="BQW67" s="1251"/>
      <c r="BQX67" s="1251"/>
      <c r="BQY67" s="1251"/>
      <c r="BQZ67" s="1251"/>
      <c r="BRA67" s="1251"/>
      <c r="BRB67" s="1251"/>
      <c r="BRC67" s="1251"/>
      <c r="BRD67" s="1251"/>
      <c r="BRE67" s="1251"/>
      <c r="BRF67" s="1251"/>
      <c r="BRG67" s="1251"/>
      <c r="BRH67" s="1251"/>
      <c r="BRI67" s="1251"/>
      <c r="BRJ67" s="1251"/>
      <c r="BRK67" s="1251"/>
      <c r="BRL67" s="1251"/>
      <c r="BRM67" s="1251"/>
      <c r="BRN67" s="1251"/>
      <c r="BRO67" s="1251"/>
      <c r="BRP67" s="1251"/>
      <c r="BRQ67" s="1251"/>
      <c r="BRR67" s="1251"/>
      <c r="BRS67" s="1251"/>
      <c r="BRT67" s="1251"/>
      <c r="BRU67" s="1251"/>
      <c r="BRV67" s="1251"/>
      <c r="BRW67" s="1251"/>
      <c r="BRX67" s="1251"/>
      <c r="BRY67" s="1251"/>
      <c r="BRZ67" s="1251"/>
      <c r="BSA67" s="1251"/>
      <c r="BSB67" s="1251"/>
      <c r="BSC67" s="1251"/>
      <c r="BSD67" s="1251"/>
      <c r="BSE67" s="1251"/>
      <c r="BSF67" s="1251"/>
      <c r="BSG67" s="1251"/>
      <c r="BSH67" s="1251"/>
      <c r="BSI67" s="1251"/>
      <c r="BSJ67" s="1251"/>
      <c r="BSK67" s="1251"/>
      <c r="BSL67" s="1251"/>
      <c r="BSM67" s="1251"/>
      <c r="BSN67" s="1251"/>
      <c r="BSO67" s="1251"/>
      <c r="BSP67" s="1251"/>
      <c r="BSQ67" s="1251"/>
      <c r="BSR67" s="1251"/>
      <c r="BSS67" s="1251"/>
      <c r="BST67" s="1251"/>
      <c r="BSU67" s="1251"/>
      <c r="BSV67" s="1251"/>
      <c r="BSW67" s="1251"/>
      <c r="BSX67" s="1251"/>
      <c r="BSY67" s="1251"/>
      <c r="BSZ67" s="1251"/>
      <c r="BTA67" s="1251"/>
      <c r="BTB67" s="1251"/>
      <c r="BTC67" s="1251"/>
      <c r="BTD67" s="1251"/>
      <c r="BTE67" s="1251"/>
      <c r="BTF67" s="1251"/>
      <c r="BTG67" s="1251"/>
      <c r="BTH67" s="1251"/>
      <c r="BTI67" s="1251"/>
    </row>
    <row r="68" spans="1:1881" s="1261" customFormat="1" ht="51.75" hidden="1" customHeight="1" thickBot="1" x14ac:dyDescent="0.35">
      <c r="A68" s="1248">
        <v>7</v>
      </c>
      <c r="B68" s="806" t="s">
        <v>69</v>
      </c>
      <c r="C68" s="806" t="s">
        <v>149</v>
      </c>
      <c r="D68" s="29" t="s">
        <v>148</v>
      </c>
      <c r="E68" s="1249" t="e">
        <f>HLOOKUP($D$2,'2020 Data(H)'!$C$1:$CZ$426,6,FALSE)</f>
        <v>#N/A</v>
      </c>
      <c r="F68" s="1263">
        <v>0</v>
      </c>
      <c r="G68" s="727">
        <f t="shared" si="1"/>
        <v>0</v>
      </c>
      <c r="H68" s="17"/>
      <c r="I68" s="760"/>
      <c r="J68" s="1252"/>
      <c r="K68" s="1251"/>
      <c r="L68" s="701"/>
      <c r="M68" s="1251"/>
      <c r="N68" s="1253"/>
      <c r="O68" s="1251"/>
      <c r="P68" s="1251"/>
      <c r="Q68" s="1251"/>
      <c r="R68" s="1251"/>
      <c r="S68" s="1251"/>
      <c r="T68" s="1251"/>
      <c r="U68" s="1251"/>
      <c r="V68" s="1251"/>
      <c r="W68" s="1251"/>
      <c r="X68" s="1251"/>
      <c r="Y68" s="1251"/>
      <c r="Z68" s="1248"/>
      <c r="AA68" s="1248"/>
      <c r="AB68" s="1248"/>
      <c r="AC68" s="1248"/>
      <c r="AD68" s="1248"/>
      <c r="AE68" s="1248"/>
      <c r="AF68" s="1248"/>
      <c r="AG68" s="1248"/>
      <c r="AH68" s="1248"/>
      <c r="AI68" s="1248"/>
      <c r="AJ68" s="1248"/>
      <c r="AK68" s="1248"/>
      <c r="AL68" s="1248"/>
      <c r="AM68" s="1248"/>
      <c r="AN68" s="1248"/>
      <c r="AO68" s="1248"/>
      <c r="AP68" s="1248"/>
      <c r="AQ68" s="1248"/>
      <c r="AR68" s="1248"/>
      <c r="AS68" s="1251"/>
      <c r="AT68" s="1251"/>
      <c r="AU68" s="1251"/>
      <c r="AV68" s="1251"/>
      <c r="AW68" s="1251"/>
      <c r="AX68" s="1251"/>
      <c r="AY68" s="1251"/>
      <c r="AZ68" s="1251"/>
      <c r="BA68" s="1251"/>
      <c r="BB68" s="1251"/>
      <c r="BC68" s="1251"/>
      <c r="BD68" s="1251"/>
      <c r="BE68" s="1251"/>
      <c r="BF68" s="1251"/>
      <c r="BG68" s="1251"/>
      <c r="BH68" s="1251"/>
      <c r="BI68" s="1251"/>
      <c r="BJ68" s="1251"/>
      <c r="BK68" s="1251"/>
      <c r="BL68" s="1251"/>
      <c r="BM68" s="1251"/>
      <c r="BN68" s="1251"/>
      <c r="BO68" s="1251"/>
      <c r="BP68" s="1251"/>
      <c r="BQ68" s="1251"/>
      <c r="BR68" s="1251"/>
      <c r="BS68" s="1251"/>
      <c r="BT68" s="1251"/>
      <c r="BU68" s="1251"/>
      <c r="BV68" s="1251"/>
      <c r="BW68" s="1251"/>
      <c r="BX68" s="1251"/>
      <c r="BY68" s="1251"/>
      <c r="BZ68" s="1251"/>
      <c r="CA68" s="1251"/>
      <c r="CB68" s="1251"/>
      <c r="CC68" s="1251"/>
      <c r="CD68" s="1251"/>
      <c r="CE68" s="1251"/>
      <c r="CF68" s="1251"/>
      <c r="CG68" s="1251"/>
      <c r="CH68" s="1251"/>
      <c r="CI68" s="1251"/>
      <c r="CJ68" s="1251"/>
      <c r="CK68" s="1251"/>
      <c r="CL68" s="1251"/>
      <c r="CM68" s="1251"/>
      <c r="CN68" s="1251"/>
      <c r="CO68" s="1251"/>
      <c r="CP68" s="1251"/>
      <c r="CQ68" s="1251"/>
      <c r="CR68" s="1251"/>
      <c r="CS68" s="1251"/>
      <c r="CT68" s="1251"/>
      <c r="CU68" s="1251"/>
      <c r="CV68" s="1251"/>
      <c r="CW68" s="1251"/>
      <c r="CX68" s="1251"/>
      <c r="CY68" s="1251"/>
      <c r="CZ68" s="1251"/>
      <c r="DA68" s="1251"/>
      <c r="DB68" s="1251"/>
      <c r="DC68" s="1251"/>
      <c r="DD68" s="1251"/>
      <c r="DE68" s="1251"/>
      <c r="DF68" s="1251"/>
      <c r="DG68" s="1251"/>
      <c r="DH68" s="1251"/>
      <c r="DI68" s="1251"/>
      <c r="DJ68" s="1251"/>
      <c r="DK68" s="1251"/>
      <c r="DL68" s="1251"/>
      <c r="DM68" s="1251"/>
      <c r="DN68" s="1251"/>
      <c r="DO68" s="1251"/>
      <c r="DP68" s="1251"/>
      <c r="DQ68" s="1251"/>
      <c r="DR68" s="1251"/>
      <c r="DS68" s="1251"/>
      <c r="DT68" s="1251"/>
      <c r="DU68" s="1251"/>
      <c r="DV68" s="1251"/>
      <c r="DW68" s="1251"/>
      <c r="DX68" s="1251"/>
      <c r="DY68" s="1251"/>
      <c r="DZ68" s="1251"/>
      <c r="EA68" s="1251"/>
      <c r="EB68" s="1251"/>
      <c r="EC68" s="1251"/>
      <c r="ED68" s="1251"/>
      <c r="EE68" s="1251"/>
      <c r="EF68" s="1251"/>
      <c r="EG68" s="1251"/>
      <c r="EH68" s="1251"/>
      <c r="EI68" s="1251"/>
      <c r="EJ68" s="1251"/>
      <c r="EK68" s="1251"/>
      <c r="EL68" s="1251"/>
      <c r="EM68" s="1251"/>
      <c r="EN68" s="1251"/>
      <c r="EO68" s="1251"/>
      <c r="EP68" s="1251"/>
      <c r="EQ68" s="1251"/>
      <c r="ER68" s="1251"/>
      <c r="ES68" s="1251"/>
      <c r="ET68" s="1251"/>
      <c r="EU68" s="1251"/>
      <c r="EV68" s="1251"/>
      <c r="EW68" s="1251"/>
      <c r="EX68" s="1251"/>
      <c r="EY68" s="1251"/>
      <c r="EZ68" s="1251"/>
      <c r="FA68" s="1251"/>
      <c r="FB68" s="1251"/>
      <c r="FC68" s="1251"/>
      <c r="FD68" s="1251"/>
      <c r="FE68" s="1251"/>
      <c r="FF68" s="1251"/>
      <c r="FG68" s="1251"/>
      <c r="FH68" s="1251"/>
      <c r="FI68" s="1251"/>
      <c r="FJ68" s="1251"/>
      <c r="FK68" s="1251"/>
      <c r="FL68" s="1251"/>
      <c r="FM68" s="1251"/>
      <c r="FN68" s="1251"/>
      <c r="FO68" s="1251"/>
      <c r="FP68" s="1251"/>
      <c r="FQ68" s="1251"/>
      <c r="FR68" s="1251"/>
      <c r="FS68" s="1251"/>
      <c r="FT68" s="1251"/>
      <c r="FU68" s="1251"/>
      <c r="FV68" s="1251"/>
      <c r="FW68" s="1251"/>
      <c r="FX68" s="1251"/>
      <c r="FY68" s="1251"/>
      <c r="FZ68" s="1251"/>
      <c r="GA68" s="1251"/>
      <c r="GB68" s="1251"/>
      <c r="GC68" s="1251"/>
      <c r="GD68" s="1251"/>
      <c r="GE68" s="1251"/>
      <c r="GF68" s="1251"/>
      <c r="GG68" s="1251"/>
      <c r="GH68" s="1251"/>
      <c r="GI68" s="1251"/>
      <c r="GJ68" s="1251"/>
      <c r="GK68" s="1251"/>
      <c r="GL68" s="1251"/>
      <c r="GM68" s="1251"/>
      <c r="GN68" s="1251"/>
      <c r="GO68" s="1251"/>
      <c r="GP68" s="1251"/>
      <c r="GQ68" s="1251"/>
      <c r="GR68" s="1251"/>
      <c r="GS68" s="1251"/>
      <c r="GT68" s="1251"/>
      <c r="GU68" s="1251"/>
      <c r="GV68" s="1251"/>
      <c r="GW68" s="1251"/>
      <c r="GX68" s="1251"/>
      <c r="GY68" s="1251"/>
      <c r="GZ68" s="1251"/>
      <c r="HA68" s="1251"/>
      <c r="HB68" s="1251"/>
      <c r="HC68" s="1251"/>
      <c r="HD68" s="1251"/>
      <c r="HE68" s="1251"/>
      <c r="HF68" s="1251"/>
      <c r="HG68" s="1251"/>
      <c r="HH68" s="1251"/>
      <c r="HI68" s="1251"/>
      <c r="HJ68" s="1251"/>
      <c r="HK68" s="1251"/>
      <c r="HL68" s="1251"/>
      <c r="HM68" s="1251"/>
      <c r="HN68" s="1251"/>
      <c r="HO68" s="1251"/>
      <c r="HP68" s="1251"/>
      <c r="HQ68" s="1251"/>
      <c r="HR68" s="1251"/>
      <c r="HS68" s="1251"/>
      <c r="HT68" s="1251"/>
      <c r="HU68" s="1251"/>
      <c r="HV68" s="1251"/>
      <c r="HW68" s="1251"/>
      <c r="HX68" s="1251"/>
      <c r="HY68" s="1251"/>
      <c r="HZ68" s="1251"/>
      <c r="IA68" s="1251"/>
      <c r="IB68" s="1251"/>
      <c r="IC68" s="1251"/>
      <c r="ID68" s="1251"/>
      <c r="IE68" s="1251"/>
      <c r="IF68" s="1251"/>
      <c r="IG68" s="1251"/>
      <c r="IH68" s="1251"/>
      <c r="II68" s="1251"/>
      <c r="IJ68" s="1251"/>
      <c r="IK68" s="1251"/>
      <c r="IL68" s="1251"/>
      <c r="IM68" s="1251"/>
      <c r="IN68" s="1251"/>
      <c r="IO68" s="1251"/>
      <c r="IP68" s="1251"/>
      <c r="IQ68" s="1251"/>
      <c r="IR68" s="1251"/>
      <c r="IS68" s="1251"/>
      <c r="IT68" s="1251"/>
      <c r="IU68" s="1251"/>
      <c r="IV68" s="1251"/>
      <c r="IW68" s="1251"/>
      <c r="IX68" s="1251"/>
      <c r="IY68" s="1251"/>
      <c r="IZ68" s="1251"/>
      <c r="JA68" s="1251"/>
      <c r="JB68" s="1251"/>
      <c r="JC68" s="1251"/>
      <c r="JD68" s="1251"/>
      <c r="JE68" s="1251"/>
      <c r="JF68" s="1251"/>
      <c r="JG68" s="1251"/>
      <c r="JH68" s="1251"/>
      <c r="JI68" s="1251"/>
      <c r="JJ68" s="1251"/>
      <c r="JK68" s="1251"/>
      <c r="JL68" s="1251"/>
      <c r="JM68" s="1251"/>
      <c r="JN68" s="1251"/>
      <c r="JO68" s="1251"/>
      <c r="JP68" s="1251"/>
      <c r="JQ68" s="1251"/>
      <c r="JR68" s="1251"/>
      <c r="JS68" s="1251"/>
      <c r="JT68" s="1251"/>
      <c r="JU68" s="1251"/>
      <c r="JV68" s="1251"/>
      <c r="JW68" s="1251"/>
      <c r="JX68" s="1251"/>
      <c r="JY68" s="1251"/>
      <c r="JZ68" s="1251"/>
      <c r="KA68" s="1251"/>
      <c r="KB68" s="1251"/>
      <c r="KC68" s="1251"/>
      <c r="KD68" s="1251"/>
      <c r="KE68" s="1251"/>
      <c r="KF68" s="1251"/>
      <c r="KG68" s="1251"/>
      <c r="KH68" s="1251"/>
      <c r="KI68" s="1251"/>
      <c r="KJ68" s="1251"/>
      <c r="KK68" s="1251"/>
      <c r="KL68" s="1251"/>
      <c r="KM68" s="1251"/>
      <c r="KN68" s="1251"/>
      <c r="KO68" s="1251"/>
      <c r="KP68" s="1251"/>
      <c r="KQ68" s="1251"/>
      <c r="KR68" s="1251"/>
      <c r="KS68" s="1251"/>
      <c r="KT68" s="1251"/>
      <c r="KU68" s="1251"/>
      <c r="KV68" s="1251"/>
      <c r="KW68" s="1251"/>
      <c r="KX68" s="1251"/>
      <c r="KY68" s="1251"/>
      <c r="KZ68" s="1251"/>
      <c r="LA68" s="1251"/>
      <c r="LB68" s="1251"/>
      <c r="LC68" s="1251"/>
      <c r="LD68" s="1251"/>
      <c r="LE68" s="1251"/>
      <c r="LF68" s="1251"/>
      <c r="LG68" s="1251"/>
      <c r="LH68" s="1251"/>
      <c r="LI68" s="1251"/>
      <c r="LJ68" s="1251"/>
      <c r="LK68" s="1251"/>
      <c r="LL68" s="1251"/>
      <c r="LM68" s="1251"/>
      <c r="LN68" s="1251"/>
      <c r="LO68" s="1251"/>
      <c r="LP68" s="1251"/>
      <c r="LQ68" s="1251"/>
      <c r="LR68" s="1251"/>
      <c r="LS68" s="1251"/>
      <c r="LT68" s="1251"/>
      <c r="LU68" s="1251"/>
      <c r="LV68" s="1251"/>
      <c r="LW68" s="1251"/>
      <c r="LX68" s="1251"/>
      <c r="LY68" s="1251"/>
      <c r="LZ68" s="1251"/>
      <c r="MA68" s="1251"/>
      <c r="MB68" s="1251"/>
      <c r="MC68" s="1251"/>
      <c r="MD68" s="1251"/>
      <c r="ME68" s="1251"/>
      <c r="MF68" s="1251"/>
      <c r="MG68" s="1251"/>
      <c r="MH68" s="1251"/>
      <c r="MI68" s="1251"/>
      <c r="MJ68" s="1251"/>
      <c r="MK68" s="1251"/>
      <c r="ML68" s="1251"/>
      <c r="MM68" s="1251"/>
      <c r="MN68" s="1251"/>
      <c r="MO68" s="1251"/>
      <c r="MP68" s="1251"/>
      <c r="MQ68" s="1251"/>
      <c r="MR68" s="1251"/>
      <c r="MS68" s="1251"/>
      <c r="MT68" s="1251"/>
      <c r="MU68" s="1251"/>
      <c r="MV68" s="1251"/>
      <c r="MW68" s="1251"/>
      <c r="MX68" s="1251"/>
      <c r="MY68" s="1251"/>
      <c r="MZ68" s="1251"/>
      <c r="NA68" s="1251"/>
      <c r="NB68" s="1251"/>
      <c r="NC68" s="1251"/>
      <c r="ND68" s="1251"/>
      <c r="NE68" s="1251"/>
      <c r="NF68" s="1251"/>
      <c r="NG68" s="1251"/>
      <c r="NH68" s="1251"/>
      <c r="NI68" s="1251"/>
      <c r="NJ68" s="1251"/>
      <c r="NK68" s="1251"/>
      <c r="NL68" s="1251"/>
      <c r="NM68" s="1251"/>
      <c r="NN68" s="1251"/>
      <c r="NO68" s="1251"/>
      <c r="NP68" s="1251"/>
      <c r="NQ68" s="1251"/>
      <c r="NR68" s="1251"/>
      <c r="NS68" s="1251"/>
      <c r="NT68" s="1251"/>
      <c r="NU68" s="1251"/>
      <c r="NV68" s="1251"/>
      <c r="NW68" s="1251"/>
      <c r="NX68" s="1251"/>
      <c r="NY68" s="1251"/>
      <c r="NZ68" s="1251"/>
      <c r="OA68" s="1251"/>
      <c r="OB68" s="1251"/>
      <c r="OC68" s="1251"/>
      <c r="OD68" s="1251"/>
      <c r="OE68" s="1251"/>
      <c r="OF68" s="1251"/>
      <c r="OG68" s="1251"/>
      <c r="OH68" s="1251"/>
      <c r="OI68" s="1251"/>
      <c r="OJ68" s="1251"/>
      <c r="OK68" s="1251"/>
      <c r="OL68" s="1251"/>
      <c r="OM68" s="1251"/>
      <c r="ON68" s="1251"/>
      <c r="OO68" s="1251"/>
      <c r="OP68" s="1251"/>
      <c r="OQ68" s="1251"/>
      <c r="OR68" s="1251"/>
      <c r="OS68" s="1251"/>
      <c r="OT68" s="1251"/>
      <c r="OU68" s="1251"/>
      <c r="OV68" s="1251"/>
      <c r="OW68" s="1251"/>
      <c r="OX68" s="1251"/>
      <c r="OY68" s="1251"/>
      <c r="OZ68" s="1251"/>
      <c r="PA68" s="1251"/>
      <c r="PB68" s="1251"/>
      <c r="PC68" s="1251"/>
      <c r="PD68" s="1251"/>
      <c r="PE68" s="1251"/>
      <c r="PF68" s="1251"/>
      <c r="PG68" s="1251"/>
      <c r="PH68" s="1251"/>
      <c r="PI68" s="1251"/>
      <c r="PJ68" s="1251"/>
      <c r="PK68" s="1251"/>
      <c r="PL68" s="1251"/>
      <c r="PM68" s="1251"/>
      <c r="PN68" s="1251"/>
      <c r="PO68" s="1251"/>
      <c r="PP68" s="1251"/>
      <c r="PQ68" s="1251"/>
      <c r="PR68" s="1251"/>
      <c r="PS68" s="1251"/>
      <c r="PT68" s="1251"/>
      <c r="PU68" s="1251"/>
      <c r="PV68" s="1251"/>
      <c r="PW68" s="1251"/>
      <c r="PX68" s="1251"/>
      <c r="PY68" s="1251"/>
      <c r="PZ68" s="1251"/>
      <c r="QA68" s="1251"/>
      <c r="QB68" s="1251"/>
      <c r="QC68" s="1251"/>
      <c r="QD68" s="1251"/>
      <c r="QE68" s="1251"/>
      <c r="QF68" s="1251"/>
      <c r="QG68" s="1251"/>
      <c r="QH68" s="1251"/>
      <c r="QI68" s="1251"/>
      <c r="QJ68" s="1251"/>
      <c r="QK68" s="1251"/>
      <c r="QL68" s="1251"/>
      <c r="QM68" s="1251"/>
      <c r="QN68" s="1251"/>
      <c r="QO68" s="1251"/>
      <c r="QP68" s="1251"/>
      <c r="QQ68" s="1251"/>
      <c r="QR68" s="1251"/>
      <c r="QS68" s="1251"/>
      <c r="QT68" s="1251"/>
      <c r="QU68" s="1251"/>
      <c r="QV68" s="1251"/>
      <c r="QW68" s="1251"/>
      <c r="QX68" s="1251"/>
      <c r="QY68" s="1251"/>
      <c r="QZ68" s="1251"/>
      <c r="RA68" s="1251"/>
      <c r="RB68" s="1251"/>
      <c r="RC68" s="1251"/>
      <c r="RD68" s="1251"/>
      <c r="RE68" s="1251"/>
      <c r="RF68" s="1251"/>
      <c r="RG68" s="1251"/>
      <c r="RH68" s="1251"/>
      <c r="RI68" s="1251"/>
      <c r="RJ68" s="1251"/>
      <c r="RK68" s="1251"/>
      <c r="RL68" s="1251"/>
      <c r="RM68" s="1251"/>
      <c r="RN68" s="1251"/>
      <c r="RO68" s="1251"/>
      <c r="RP68" s="1251"/>
      <c r="RQ68" s="1251"/>
      <c r="RR68" s="1251"/>
      <c r="RS68" s="1251"/>
      <c r="RT68" s="1251"/>
      <c r="RU68" s="1251"/>
      <c r="RV68" s="1251"/>
      <c r="RW68" s="1251"/>
      <c r="RX68" s="1251"/>
      <c r="RY68" s="1251"/>
      <c r="RZ68" s="1251"/>
      <c r="SA68" s="1251"/>
      <c r="SB68" s="1251"/>
      <c r="SC68" s="1251"/>
      <c r="SD68" s="1251"/>
      <c r="SE68" s="1251"/>
      <c r="SF68" s="1251"/>
      <c r="SG68" s="1251"/>
      <c r="SH68" s="1251"/>
      <c r="SI68" s="1251"/>
      <c r="SJ68" s="1251"/>
      <c r="SK68" s="1251"/>
      <c r="SL68" s="1251"/>
      <c r="SM68" s="1251"/>
      <c r="SN68" s="1251"/>
      <c r="SO68" s="1251"/>
      <c r="SP68" s="1251"/>
      <c r="SQ68" s="1251"/>
      <c r="SR68" s="1251"/>
      <c r="SS68" s="1251"/>
      <c r="ST68" s="1251"/>
      <c r="SU68" s="1251"/>
      <c r="SV68" s="1251"/>
      <c r="SW68" s="1251"/>
      <c r="SX68" s="1251"/>
      <c r="SY68" s="1251"/>
      <c r="SZ68" s="1251"/>
      <c r="TA68" s="1251"/>
      <c r="TB68" s="1251"/>
      <c r="TC68" s="1251"/>
      <c r="TD68" s="1251"/>
      <c r="TE68" s="1251"/>
      <c r="TF68" s="1251"/>
      <c r="TG68" s="1251"/>
      <c r="TH68" s="1251"/>
      <c r="TI68" s="1251"/>
      <c r="TJ68" s="1251"/>
      <c r="TK68" s="1251"/>
      <c r="TL68" s="1251"/>
      <c r="TM68" s="1251"/>
      <c r="TN68" s="1251"/>
      <c r="TO68" s="1251"/>
      <c r="TP68" s="1251"/>
      <c r="TQ68" s="1251"/>
      <c r="TR68" s="1251"/>
      <c r="TS68" s="1251"/>
      <c r="TT68" s="1251"/>
      <c r="TU68" s="1251"/>
      <c r="TV68" s="1251"/>
      <c r="TW68" s="1251"/>
      <c r="TX68" s="1251"/>
      <c r="TY68" s="1251"/>
      <c r="TZ68" s="1251"/>
      <c r="UA68" s="1251"/>
      <c r="UB68" s="1251"/>
      <c r="UC68" s="1251"/>
      <c r="UD68" s="1251"/>
      <c r="UE68" s="1251"/>
      <c r="UF68" s="1251"/>
      <c r="UG68" s="1251"/>
      <c r="UH68" s="1251"/>
      <c r="UI68" s="1251"/>
      <c r="UJ68" s="1251"/>
      <c r="UK68" s="1251"/>
      <c r="UL68" s="1251"/>
      <c r="UM68" s="1251"/>
      <c r="UN68" s="1251"/>
      <c r="UO68" s="1251"/>
      <c r="UP68" s="1251"/>
      <c r="UQ68" s="1251"/>
      <c r="UR68" s="1251"/>
      <c r="US68" s="1251"/>
      <c r="UT68" s="1251"/>
      <c r="UU68" s="1251"/>
      <c r="UV68" s="1251"/>
      <c r="UW68" s="1251"/>
      <c r="UX68" s="1251"/>
      <c r="UY68" s="1251"/>
      <c r="UZ68" s="1251"/>
      <c r="VA68" s="1251"/>
      <c r="VB68" s="1251"/>
      <c r="VC68" s="1251"/>
      <c r="VD68" s="1251"/>
      <c r="VE68" s="1251"/>
      <c r="VF68" s="1251"/>
      <c r="VG68" s="1251"/>
      <c r="VH68" s="1251"/>
      <c r="VI68" s="1251"/>
      <c r="VJ68" s="1251"/>
      <c r="VK68" s="1251"/>
      <c r="VL68" s="1251"/>
      <c r="VM68" s="1251"/>
      <c r="VN68" s="1251"/>
      <c r="VO68" s="1251"/>
      <c r="VP68" s="1251"/>
      <c r="VQ68" s="1251"/>
      <c r="VR68" s="1251"/>
      <c r="VS68" s="1251"/>
      <c r="VT68" s="1251"/>
      <c r="VU68" s="1251"/>
      <c r="VV68" s="1251"/>
      <c r="VW68" s="1251"/>
      <c r="VX68" s="1251"/>
      <c r="VY68" s="1251"/>
      <c r="VZ68" s="1251"/>
      <c r="WA68" s="1251"/>
      <c r="WB68" s="1251"/>
      <c r="WC68" s="1251"/>
      <c r="WD68" s="1251"/>
      <c r="WE68" s="1251"/>
      <c r="WF68" s="1251"/>
      <c r="WG68" s="1251"/>
      <c r="WH68" s="1251"/>
      <c r="WI68" s="1251"/>
      <c r="WJ68" s="1251"/>
      <c r="WK68" s="1251"/>
      <c r="WL68" s="1251"/>
      <c r="WM68" s="1251"/>
      <c r="WN68" s="1251"/>
      <c r="WO68" s="1251"/>
      <c r="WP68" s="1251"/>
      <c r="WQ68" s="1251"/>
      <c r="WR68" s="1251"/>
      <c r="WS68" s="1251"/>
      <c r="WT68" s="1251"/>
      <c r="WU68" s="1251"/>
      <c r="WV68" s="1251"/>
      <c r="WW68" s="1251"/>
      <c r="WX68" s="1251"/>
      <c r="WY68" s="1251"/>
      <c r="WZ68" s="1251"/>
      <c r="XA68" s="1251"/>
      <c r="XB68" s="1251"/>
      <c r="XC68" s="1251"/>
      <c r="XD68" s="1251"/>
      <c r="XE68" s="1251"/>
      <c r="XF68" s="1251"/>
      <c r="XG68" s="1251"/>
      <c r="XH68" s="1251"/>
      <c r="XI68" s="1251"/>
      <c r="XJ68" s="1251"/>
      <c r="XK68" s="1251"/>
      <c r="XL68" s="1251"/>
      <c r="XM68" s="1251"/>
      <c r="XN68" s="1251"/>
      <c r="XO68" s="1251"/>
      <c r="XP68" s="1251"/>
      <c r="XQ68" s="1251"/>
      <c r="XR68" s="1251"/>
      <c r="XS68" s="1251"/>
      <c r="XT68" s="1251"/>
      <c r="XU68" s="1251"/>
      <c r="XV68" s="1251"/>
      <c r="XW68" s="1251"/>
      <c r="XX68" s="1251"/>
      <c r="XY68" s="1251"/>
      <c r="XZ68" s="1251"/>
      <c r="YA68" s="1251"/>
      <c r="YB68" s="1251"/>
      <c r="YC68" s="1251"/>
      <c r="YD68" s="1251"/>
      <c r="YE68" s="1251"/>
      <c r="YF68" s="1251"/>
      <c r="YG68" s="1251"/>
      <c r="YH68" s="1251"/>
      <c r="YI68" s="1251"/>
      <c r="YJ68" s="1251"/>
      <c r="YK68" s="1251"/>
      <c r="YL68" s="1251"/>
      <c r="YM68" s="1251"/>
      <c r="YN68" s="1251"/>
      <c r="YO68" s="1251"/>
      <c r="YP68" s="1251"/>
      <c r="YQ68" s="1251"/>
      <c r="YR68" s="1251"/>
      <c r="YS68" s="1251"/>
      <c r="YT68" s="1251"/>
      <c r="YU68" s="1251"/>
      <c r="YV68" s="1251"/>
      <c r="YW68" s="1251"/>
      <c r="YX68" s="1251"/>
      <c r="YY68" s="1251"/>
      <c r="YZ68" s="1251"/>
      <c r="ZA68" s="1251"/>
      <c r="ZB68" s="1251"/>
      <c r="ZC68" s="1251"/>
      <c r="ZD68" s="1251"/>
      <c r="ZE68" s="1251"/>
      <c r="ZF68" s="1251"/>
      <c r="ZG68" s="1251"/>
      <c r="ZH68" s="1251"/>
      <c r="ZI68" s="1251"/>
      <c r="ZJ68" s="1251"/>
      <c r="ZK68" s="1251"/>
      <c r="ZL68" s="1251"/>
      <c r="ZM68" s="1251"/>
      <c r="ZN68" s="1251"/>
      <c r="ZO68" s="1251"/>
      <c r="ZP68" s="1251"/>
      <c r="ZQ68" s="1251"/>
      <c r="ZR68" s="1251"/>
      <c r="ZS68" s="1251"/>
      <c r="ZT68" s="1251"/>
      <c r="ZU68" s="1251"/>
      <c r="ZV68" s="1251"/>
      <c r="ZW68" s="1251"/>
      <c r="ZX68" s="1251"/>
      <c r="ZY68" s="1251"/>
      <c r="ZZ68" s="1251"/>
      <c r="AAA68" s="1251"/>
      <c r="AAB68" s="1251"/>
      <c r="AAC68" s="1251"/>
      <c r="AAD68" s="1251"/>
      <c r="AAE68" s="1251"/>
      <c r="AAF68" s="1251"/>
      <c r="AAG68" s="1251"/>
      <c r="AAH68" s="1251"/>
      <c r="AAI68" s="1251"/>
      <c r="AAJ68" s="1251"/>
      <c r="AAK68" s="1251"/>
      <c r="AAL68" s="1251"/>
      <c r="AAM68" s="1251"/>
      <c r="AAN68" s="1251"/>
      <c r="AAO68" s="1251"/>
      <c r="AAP68" s="1251"/>
      <c r="AAQ68" s="1251"/>
      <c r="AAR68" s="1251"/>
      <c r="AAS68" s="1251"/>
      <c r="AAT68" s="1251"/>
      <c r="AAU68" s="1251"/>
      <c r="AAV68" s="1251"/>
      <c r="AAW68" s="1251"/>
      <c r="AAX68" s="1251"/>
      <c r="AAY68" s="1251"/>
      <c r="AAZ68" s="1251"/>
      <c r="ABA68" s="1251"/>
      <c r="ABB68" s="1251"/>
      <c r="ABC68" s="1251"/>
      <c r="ABD68" s="1251"/>
      <c r="ABE68" s="1251"/>
      <c r="ABF68" s="1251"/>
      <c r="ABG68" s="1251"/>
      <c r="ABH68" s="1251"/>
      <c r="ABI68" s="1251"/>
      <c r="ABJ68" s="1251"/>
      <c r="ABK68" s="1251"/>
      <c r="ABL68" s="1251"/>
      <c r="ABM68" s="1251"/>
      <c r="ABN68" s="1251"/>
      <c r="ABO68" s="1251"/>
      <c r="ABP68" s="1251"/>
      <c r="ABQ68" s="1251"/>
      <c r="ABR68" s="1251"/>
      <c r="ABS68" s="1251"/>
      <c r="ABT68" s="1251"/>
      <c r="ABU68" s="1251"/>
      <c r="ABV68" s="1251"/>
      <c r="ABW68" s="1251"/>
      <c r="ABX68" s="1251"/>
      <c r="ABY68" s="1251"/>
      <c r="ABZ68" s="1251"/>
      <c r="ACA68" s="1251"/>
      <c r="ACB68" s="1251"/>
      <c r="ACC68" s="1251"/>
      <c r="ACD68" s="1251"/>
      <c r="ACE68" s="1251"/>
      <c r="ACF68" s="1251"/>
      <c r="ACG68" s="1251"/>
      <c r="ACH68" s="1251"/>
      <c r="ACI68" s="1251"/>
      <c r="ACJ68" s="1251"/>
      <c r="ACK68" s="1251"/>
      <c r="ACL68" s="1251"/>
      <c r="ACM68" s="1251"/>
      <c r="ACN68" s="1251"/>
      <c r="ACO68" s="1251"/>
      <c r="ACP68" s="1251"/>
      <c r="ACQ68" s="1251"/>
      <c r="ACR68" s="1251"/>
      <c r="ACS68" s="1251"/>
      <c r="ACT68" s="1251"/>
      <c r="ACU68" s="1251"/>
      <c r="ACV68" s="1251"/>
      <c r="ACW68" s="1251"/>
      <c r="ACX68" s="1251"/>
      <c r="ACY68" s="1251"/>
      <c r="ACZ68" s="1251"/>
      <c r="ADA68" s="1251"/>
      <c r="ADB68" s="1251"/>
      <c r="ADC68" s="1251"/>
      <c r="ADD68" s="1251"/>
      <c r="ADE68" s="1251"/>
      <c r="ADF68" s="1251"/>
      <c r="ADG68" s="1251"/>
      <c r="ADH68" s="1251"/>
      <c r="ADI68" s="1251"/>
      <c r="ADJ68" s="1251"/>
      <c r="ADK68" s="1251"/>
      <c r="ADL68" s="1251"/>
      <c r="ADM68" s="1251"/>
      <c r="ADN68" s="1251"/>
      <c r="ADO68" s="1251"/>
      <c r="ADP68" s="1251"/>
      <c r="ADQ68" s="1251"/>
      <c r="ADR68" s="1251"/>
      <c r="ADS68" s="1251"/>
      <c r="ADT68" s="1251"/>
      <c r="ADU68" s="1251"/>
      <c r="ADV68" s="1251"/>
      <c r="ADW68" s="1251"/>
      <c r="ADX68" s="1251"/>
      <c r="ADY68" s="1251"/>
      <c r="ADZ68" s="1251"/>
      <c r="AEA68" s="1251"/>
      <c r="AEB68" s="1251"/>
      <c r="AEC68" s="1251"/>
      <c r="AED68" s="1251"/>
      <c r="AEE68" s="1251"/>
      <c r="AEF68" s="1251"/>
      <c r="AEG68" s="1251"/>
      <c r="AEH68" s="1251"/>
      <c r="AEI68" s="1251"/>
      <c r="AEJ68" s="1251"/>
      <c r="AEK68" s="1251"/>
      <c r="AEL68" s="1251"/>
      <c r="AEM68" s="1251"/>
      <c r="AEN68" s="1251"/>
      <c r="AEO68" s="1251"/>
      <c r="AEP68" s="1251"/>
      <c r="AEQ68" s="1251"/>
      <c r="AER68" s="1251"/>
      <c r="AES68" s="1251"/>
      <c r="AET68" s="1251"/>
      <c r="AEU68" s="1251"/>
      <c r="AEV68" s="1251"/>
      <c r="AEW68" s="1251"/>
      <c r="AEX68" s="1251"/>
      <c r="AEY68" s="1251"/>
      <c r="AEZ68" s="1251"/>
      <c r="AFA68" s="1251"/>
      <c r="AFB68" s="1251"/>
      <c r="AFC68" s="1251"/>
      <c r="AFD68" s="1251"/>
      <c r="AFE68" s="1251"/>
      <c r="AFF68" s="1251"/>
      <c r="AFG68" s="1251"/>
      <c r="AFH68" s="1251"/>
      <c r="AFI68" s="1251"/>
      <c r="AFJ68" s="1251"/>
      <c r="AFK68" s="1251"/>
      <c r="AFL68" s="1251"/>
      <c r="AFM68" s="1251"/>
      <c r="AFN68" s="1251"/>
      <c r="AFO68" s="1251"/>
      <c r="AFP68" s="1251"/>
      <c r="AFQ68" s="1251"/>
      <c r="AFR68" s="1251"/>
      <c r="AFS68" s="1251"/>
      <c r="AFT68" s="1251"/>
      <c r="AFU68" s="1251"/>
      <c r="AFV68" s="1251"/>
      <c r="AFW68" s="1251"/>
      <c r="AFX68" s="1251"/>
      <c r="AFY68" s="1251"/>
      <c r="AFZ68" s="1251"/>
      <c r="AGA68" s="1251"/>
      <c r="AGB68" s="1251"/>
      <c r="AGC68" s="1251"/>
      <c r="AGD68" s="1251"/>
      <c r="AGE68" s="1251"/>
      <c r="AGF68" s="1251"/>
      <c r="AGG68" s="1251"/>
      <c r="AGH68" s="1251"/>
      <c r="AGI68" s="1251"/>
      <c r="AGJ68" s="1251"/>
      <c r="AGK68" s="1251"/>
      <c r="AGL68" s="1251"/>
      <c r="AGM68" s="1251"/>
      <c r="AGN68" s="1251"/>
      <c r="AGO68" s="1251"/>
      <c r="AGP68" s="1251"/>
      <c r="AGQ68" s="1251"/>
      <c r="AGR68" s="1251"/>
      <c r="AGS68" s="1251"/>
      <c r="AGT68" s="1251"/>
      <c r="AGU68" s="1251"/>
      <c r="AGV68" s="1251"/>
      <c r="AGW68" s="1251"/>
      <c r="AGX68" s="1251"/>
      <c r="AGY68" s="1251"/>
      <c r="AGZ68" s="1251"/>
      <c r="AHA68" s="1251"/>
      <c r="AHB68" s="1251"/>
      <c r="AHC68" s="1251"/>
      <c r="AHD68" s="1251"/>
      <c r="AHE68" s="1251"/>
      <c r="AHF68" s="1251"/>
      <c r="AHG68" s="1251"/>
      <c r="AHH68" s="1251"/>
      <c r="AHI68" s="1251"/>
      <c r="AHJ68" s="1251"/>
      <c r="AHK68" s="1251"/>
      <c r="AHL68" s="1251"/>
      <c r="AHM68" s="1251"/>
      <c r="AHN68" s="1251"/>
      <c r="AHO68" s="1251"/>
      <c r="AHP68" s="1251"/>
      <c r="AHQ68" s="1251"/>
      <c r="AHR68" s="1251"/>
      <c r="AHS68" s="1251"/>
      <c r="AHT68" s="1251"/>
      <c r="AHU68" s="1251"/>
      <c r="AHV68" s="1251"/>
      <c r="AHW68" s="1251"/>
      <c r="AHX68" s="1251"/>
      <c r="AHY68" s="1251"/>
      <c r="AHZ68" s="1251"/>
      <c r="AIA68" s="1251"/>
      <c r="AIB68" s="1251"/>
      <c r="AIC68" s="1251"/>
      <c r="AID68" s="1251"/>
      <c r="AIE68" s="1251"/>
      <c r="AIF68" s="1251"/>
      <c r="AIG68" s="1251"/>
      <c r="AIH68" s="1251"/>
      <c r="AII68" s="1251"/>
      <c r="AIJ68" s="1251"/>
      <c r="AIK68" s="1251"/>
      <c r="AIL68" s="1251"/>
      <c r="AIM68" s="1251"/>
      <c r="AIN68" s="1251"/>
      <c r="AIO68" s="1251"/>
      <c r="AIP68" s="1251"/>
      <c r="AIQ68" s="1251"/>
      <c r="AIR68" s="1251"/>
      <c r="AIS68" s="1251"/>
      <c r="AIT68" s="1251"/>
      <c r="AIU68" s="1251"/>
      <c r="AIV68" s="1251"/>
      <c r="AIW68" s="1251"/>
      <c r="AIX68" s="1251"/>
      <c r="AIY68" s="1251"/>
      <c r="AIZ68" s="1251"/>
      <c r="AJA68" s="1251"/>
      <c r="AJB68" s="1251"/>
      <c r="AJC68" s="1251"/>
      <c r="AJD68" s="1251"/>
      <c r="AJE68" s="1251"/>
      <c r="AJF68" s="1251"/>
      <c r="AJG68" s="1251"/>
      <c r="AJH68" s="1251"/>
      <c r="AJI68" s="1251"/>
      <c r="AJJ68" s="1251"/>
      <c r="AJK68" s="1251"/>
      <c r="AJL68" s="1251"/>
      <c r="AJM68" s="1251"/>
      <c r="AJN68" s="1251"/>
      <c r="AJO68" s="1251"/>
      <c r="AJP68" s="1251"/>
      <c r="AJQ68" s="1251"/>
      <c r="AJR68" s="1251"/>
      <c r="AJS68" s="1251"/>
      <c r="AJT68" s="1251"/>
      <c r="AJU68" s="1251"/>
      <c r="AJV68" s="1251"/>
      <c r="AJW68" s="1251"/>
      <c r="AJX68" s="1251"/>
      <c r="AJY68" s="1251"/>
      <c r="AJZ68" s="1251"/>
      <c r="AKA68" s="1251"/>
      <c r="AKB68" s="1251"/>
      <c r="AKC68" s="1251"/>
      <c r="AKD68" s="1251"/>
      <c r="AKE68" s="1251"/>
      <c r="AKF68" s="1251"/>
      <c r="AKG68" s="1251"/>
      <c r="AKH68" s="1251"/>
      <c r="AKI68" s="1251"/>
      <c r="AKJ68" s="1251"/>
      <c r="AKK68" s="1251"/>
      <c r="AKL68" s="1251"/>
      <c r="AKM68" s="1251"/>
      <c r="AKN68" s="1251"/>
      <c r="AKO68" s="1251"/>
      <c r="AKP68" s="1251"/>
      <c r="AKQ68" s="1251"/>
      <c r="AKR68" s="1251"/>
      <c r="AKS68" s="1251"/>
      <c r="AKT68" s="1251"/>
      <c r="AKU68" s="1251"/>
      <c r="AKV68" s="1251"/>
      <c r="AKW68" s="1251"/>
      <c r="AKX68" s="1251"/>
      <c r="AKY68" s="1251"/>
      <c r="AKZ68" s="1251"/>
      <c r="ALA68" s="1251"/>
      <c r="ALB68" s="1251"/>
      <c r="ALC68" s="1251"/>
      <c r="ALD68" s="1251"/>
      <c r="ALE68" s="1251"/>
      <c r="ALF68" s="1251"/>
      <c r="ALG68" s="1251"/>
      <c r="ALH68" s="1251"/>
      <c r="ALI68" s="1251"/>
      <c r="ALJ68" s="1251"/>
      <c r="ALK68" s="1251"/>
      <c r="ALL68" s="1251"/>
      <c r="ALM68" s="1251"/>
      <c r="ALN68" s="1251"/>
      <c r="ALO68" s="1251"/>
      <c r="ALP68" s="1251"/>
      <c r="ALQ68" s="1251"/>
      <c r="ALR68" s="1251"/>
      <c r="ALS68" s="1251"/>
      <c r="ALT68" s="1251"/>
      <c r="ALU68" s="1251"/>
      <c r="ALV68" s="1251"/>
      <c r="ALW68" s="1251"/>
      <c r="ALX68" s="1251"/>
      <c r="ALY68" s="1251"/>
      <c r="ALZ68" s="1251"/>
      <c r="AMA68" s="1251"/>
      <c r="AMB68" s="1251"/>
      <c r="AMC68" s="1251"/>
      <c r="AMD68" s="1251"/>
      <c r="AME68" s="1251"/>
      <c r="AMF68" s="1251"/>
      <c r="AMG68" s="1251"/>
      <c r="AMH68" s="1251"/>
      <c r="AMI68" s="1251"/>
      <c r="AMJ68" s="1251"/>
      <c r="AMK68" s="1251"/>
      <c r="AML68" s="1251"/>
      <c r="AMM68" s="1251"/>
      <c r="AMN68" s="1251"/>
      <c r="AMO68" s="1251"/>
      <c r="AMP68" s="1251"/>
      <c r="AMQ68" s="1251"/>
      <c r="AMR68" s="1251"/>
      <c r="AMS68" s="1251"/>
      <c r="AMT68" s="1251"/>
      <c r="AMU68" s="1251"/>
      <c r="AMV68" s="1251"/>
      <c r="AMW68" s="1251"/>
      <c r="AMX68" s="1251"/>
      <c r="AMY68" s="1251"/>
      <c r="AMZ68" s="1251"/>
      <c r="ANA68" s="1251"/>
      <c r="ANB68" s="1251"/>
      <c r="ANC68" s="1251"/>
      <c r="AND68" s="1251"/>
      <c r="ANE68" s="1251"/>
      <c r="ANF68" s="1251"/>
      <c r="ANG68" s="1251"/>
      <c r="ANH68" s="1251"/>
      <c r="ANI68" s="1251"/>
      <c r="ANJ68" s="1251"/>
      <c r="ANK68" s="1251"/>
      <c r="ANL68" s="1251"/>
      <c r="ANM68" s="1251"/>
      <c r="ANN68" s="1251"/>
      <c r="ANO68" s="1251"/>
      <c r="ANP68" s="1251"/>
      <c r="ANQ68" s="1251"/>
      <c r="ANR68" s="1251"/>
      <c r="ANS68" s="1251"/>
      <c r="ANT68" s="1251"/>
      <c r="ANU68" s="1251"/>
      <c r="ANV68" s="1251"/>
      <c r="ANW68" s="1251"/>
      <c r="ANX68" s="1251"/>
      <c r="ANY68" s="1251"/>
      <c r="ANZ68" s="1251"/>
      <c r="AOA68" s="1251"/>
      <c r="AOB68" s="1251"/>
      <c r="AOC68" s="1251"/>
      <c r="AOD68" s="1251"/>
      <c r="AOE68" s="1251"/>
      <c r="AOF68" s="1251"/>
      <c r="AOG68" s="1251"/>
      <c r="AOH68" s="1251"/>
      <c r="AOI68" s="1251"/>
      <c r="AOJ68" s="1251"/>
      <c r="AOK68" s="1251"/>
      <c r="AOL68" s="1251"/>
      <c r="AOM68" s="1251"/>
      <c r="AON68" s="1251"/>
      <c r="AOO68" s="1251"/>
      <c r="AOP68" s="1251"/>
      <c r="AOQ68" s="1251"/>
      <c r="AOR68" s="1251"/>
      <c r="AOS68" s="1251"/>
      <c r="AOT68" s="1251"/>
      <c r="AOU68" s="1251"/>
      <c r="AOV68" s="1251"/>
      <c r="AOW68" s="1251"/>
      <c r="AOX68" s="1251"/>
      <c r="AOY68" s="1251"/>
      <c r="AOZ68" s="1251"/>
      <c r="APA68" s="1251"/>
      <c r="APB68" s="1251"/>
      <c r="APC68" s="1251"/>
      <c r="APD68" s="1251"/>
      <c r="APE68" s="1251"/>
      <c r="APF68" s="1251"/>
      <c r="APG68" s="1251"/>
      <c r="APH68" s="1251"/>
      <c r="API68" s="1251"/>
      <c r="APJ68" s="1251"/>
      <c r="APK68" s="1251"/>
      <c r="APL68" s="1251"/>
      <c r="APM68" s="1251"/>
      <c r="APN68" s="1251"/>
      <c r="APO68" s="1251"/>
      <c r="APP68" s="1251"/>
      <c r="APQ68" s="1251"/>
      <c r="APR68" s="1251"/>
      <c r="APS68" s="1251"/>
      <c r="APT68" s="1251"/>
      <c r="APU68" s="1251"/>
      <c r="APV68" s="1251"/>
      <c r="APW68" s="1251"/>
      <c r="APX68" s="1251"/>
      <c r="APY68" s="1251"/>
      <c r="APZ68" s="1251"/>
      <c r="AQA68" s="1251"/>
      <c r="AQB68" s="1251"/>
      <c r="AQC68" s="1251"/>
      <c r="AQD68" s="1251"/>
      <c r="AQE68" s="1251"/>
      <c r="AQF68" s="1251"/>
      <c r="AQG68" s="1251"/>
      <c r="AQH68" s="1251"/>
      <c r="AQI68" s="1251"/>
      <c r="AQJ68" s="1251"/>
      <c r="AQK68" s="1251"/>
      <c r="AQL68" s="1251"/>
      <c r="AQM68" s="1251"/>
      <c r="AQN68" s="1251"/>
      <c r="AQO68" s="1251"/>
      <c r="AQP68" s="1251"/>
      <c r="AQQ68" s="1251"/>
      <c r="AQR68" s="1251"/>
      <c r="AQS68" s="1251"/>
      <c r="AQT68" s="1251"/>
      <c r="AQU68" s="1251"/>
      <c r="AQV68" s="1251"/>
      <c r="AQW68" s="1251"/>
      <c r="AQX68" s="1251"/>
      <c r="AQY68" s="1251"/>
      <c r="AQZ68" s="1251"/>
      <c r="ARA68" s="1251"/>
      <c r="ARB68" s="1251"/>
      <c r="ARC68" s="1251"/>
      <c r="ARD68" s="1251"/>
      <c r="ARE68" s="1251"/>
      <c r="ARF68" s="1251"/>
      <c r="ARG68" s="1251"/>
      <c r="ARH68" s="1251"/>
      <c r="ARI68" s="1251"/>
      <c r="ARJ68" s="1251"/>
      <c r="ARK68" s="1251"/>
      <c r="ARL68" s="1251"/>
      <c r="ARM68" s="1251"/>
      <c r="ARN68" s="1251"/>
      <c r="ARO68" s="1251"/>
      <c r="ARP68" s="1251"/>
      <c r="ARQ68" s="1251"/>
      <c r="ARR68" s="1251"/>
      <c r="ARS68" s="1251"/>
      <c r="ART68" s="1251"/>
      <c r="ARU68" s="1251"/>
      <c r="ARV68" s="1251"/>
      <c r="ARW68" s="1251"/>
      <c r="ARX68" s="1251"/>
      <c r="ARY68" s="1251"/>
      <c r="ARZ68" s="1251"/>
      <c r="ASA68" s="1251"/>
      <c r="ASB68" s="1251"/>
      <c r="ASC68" s="1251"/>
      <c r="ASD68" s="1251"/>
      <c r="ASE68" s="1251"/>
      <c r="ASF68" s="1251"/>
      <c r="ASG68" s="1251"/>
      <c r="ASH68" s="1251"/>
      <c r="ASI68" s="1251"/>
      <c r="ASJ68" s="1251"/>
      <c r="ASK68" s="1251"/>
      <c r="ASL68" s="1251"/>
      <c r="ASM68" s="1251"/>
      <c r="ASN68" s="1251"/>
      <c r="ASO68" s="1251"/>
      <c r="ASP68" s="1251"/>
      <c r="ASQ68" s="1251"/>
      <c r="ASR68" s="1251"/>
      <c r="ASS68" s="1251"/>
      <c r="AST68" s="1251"/>
      <c r="ASU68" s="1251"/>
      <c r="ASV68" s="1251"/>
      <c r="ASW68" s="1251"/>
      <c r="ASX68" s="1251"/>
      <c r="ASY68" s="1251"/>
      <c r="ASZ68" s="1251"/>
      <c r="ATA68" s="1251"/>
      <c r="ATB68" s="1251"/>
      <c r="ATC68" s="1251"/>
      <c r="ATD68" s="1251"/>
      <c r="ATE68" s="1251"/>
      <c r="ATF68" s="1251"/>
      <c r="ATG68" s="1251"/>
      <c r="ATH68" s="1251"/>
      <c r="ATI68" s="1251"/>
      <c r="ATJ68" s="1251"/>
      <c r="ATK68" s="1251"/>
      <c r="ATL68" s="1251"/>
      <c r="ATM68" s="1251"/>
      <c r="ATN68" s="1251"/>
      <c r="ATO68" s="1251"/>
      <c r="ATP68" s="1251"/>
      <c r="ATQ68" s="1251"/>
      <c r="ATR68" s="1251"/>
      <c r="ATS68" s="1251"/>
      <c r="ATT68" s="1251"/>
      <c r="ATU68" s="1251"/>
      <c r="ATV68" s="1251"/>
      <c r="ATW68" s="1251"/>
      <c r="ATX68" s="1251"/>
      <c r="ATY68" s="1251"/>
      <c r="ATZ68" s="1251"/>
      <c r="AUA68" s="1251"/>
      <c r="AUB68" s="1251"/>
      <c r="AUC68" s="1251"/>
      <c r="AUD68" s="1251"/>
      <c r="AUE68" s="1251"/>
      <c r="AUF68" s="1251"/>
      <c r="AUG68" s="1251"/>
      <c r="AUH68" s="1251"/>
      <c r="AUI68" s="1251"/>
      <c r="AUJ68" s="1251"/>
      <c r="AUK68" s="1251"/>
      <c r="AUL68" s="1251"/>
      <c r="AUM68" s="1251"/>
      <c r="AUN68" s="1251"/>
      <c r="AUO68" s="1251"/>
      <c r="AUP68" s="1251"/>
      <c r="AUQ68" s="1251"/>
      <c r="AUR68" s="1251"/>
      <c r="AUS68" s="1251"/>
      <c r="AUT68" s="1251"/>
      <c r="AUU68" s="1251"/>
      <c r="AUV68" s="1251"/>
      <c r="AUW68" s="1251"/>
      <c r="AUX68" s="1251"/>
      <c r="AUY68" s="1251"/>
      <c r="AUZ68" s="1251"/>
      <c r="AVA68" s="1251"/>
      <c r="AVB68" s="1251"/>
      <c r="AVC68" s="1251"/>
      <c r="AVD68" s="1251"/>
      <c r="AVE68" s="1251"/>
      <c r="AVF68" s="1251"/>
      <c r="AVG68" s="1251"/>
      <c r="AVH68" s="1251"/>
      <c r="AVI68" s="1251"/>
      <c r="AVJ68" s="1251"/>
      <c r="AVK68" s="1251"/>
      <c r="AVL68" s="1251"/>
      <c r="AVM68" s="1251"/>
      <c r="AVN68" s="1251"/>
      <c r="AVO68" s="1251"/>
      <c r="AVP68" s="1251"/>
      <c r="AVQ68" s="1251"/>
      <c r="AVR68" s="1251"/>
      <c r="AVS68" s="1251"/>
      <c r="AVT68" s="1251"/>
      <c r="AVU68" s="1251"/>
      <c r="AVV68" s="1251"/>
      <c r="AVW68" s="1251"/>
      <c r="AVX68" s="1251"/>
      <c r="AVY68" s="1251"/>
      <c r="AVZ68" s="1251"/>
      <c r="AWA68" s="1251"/>
      <c r="AWB68" s="1251"/>
      <c r="AWC68" s="1251"/>
      <c r="AWD68" s="1251"/>
      <c r="AWE68" s="1251"/>
      <c r="AWF68" s="1251"/>
      <c r="AWG68" s="1251"/>
      <c r="AWH68" s="1251"/>
      <c r="AWI68" s="1251"/>
      <c r="AWJ68" s="1251"/>
      <c r="AWK68" s="1251"/>
      <c r="AWL68" s="1251"/>
      <c r="AWM68" s="1251"/>
      <c r="AWN68" s="1251"/>
      <c r="AWO68" s="1251"/>
      <c r="AWP68" s="1251"/>
      <c r="AWQ68" s="1251"/>
      <c r="AWR68" s="1251"/>
      <c r="AWS68" s="1251"/>
      <c r="AWT68" s="1251"/>
      <c r="AWU68" s="1251"/>
      <c r="AWV68" s="1251"/>
      <c r="AWW68" s="1251"/>
      <c r="AWX68" s="1251"/>
      <c r="AWY68" s="1251"/>
      <c r="AWZ68" s="1251"/>
      <c r="AXA68" s="1251"/>
      <c r="AXB68" s="1251"/>
      <c r="AXC68" s="1251"/>
      <c r="AXD68" s="1251"/>
      <c r="AXE68" s="1251"/>
      <c r="AXF68" s="1251"/>
      <c r="AXG68" s="1251"/>
      <c r="AXH68" s="1251"/>
      <c r="AXI68" s="1251"/>
      <c r="AXJ68" s="1251"/>
      <c r="AXK68" s="1251"/>
      <c r="AXL68" s="1251"/>
      <c r="AXM68" s="1251"/>
      <c r="AXN68" s="1251"/>
      <c r="AXO68" s="1251"/>
      <c r="AXP68" s="1251"/>
      <c r="AXQ68" s="1251"/>
      <c r="AXR68" s="1251"/>
      <c r="AXS68" s="1251"/>
      <c r="AXT68" s="1251"/>
      <c r="AXU68" s="1251"/>
      <c r="AXV68" s="1251"/>
      <c r="AXW68" s="1251"/>
      <c r="AXX68" s="1251"/>
      <c r="AXY68" s="1251"/>
      <c r="AXZ68" s="1251"/>
      <c r="AYA68" s="1251"/>
      <c r="AYB68" s="1251"/>
      <c r="AYC68" s="1251"/>
      <c r="AYD68" s="1251"/>
      <c r="AYE68" s="1251"/>
      <c r="AYF68" s="1251"/>
      <c r="AYG68" s="1251"/>
      <c r="AYH68" s="1251"/>
      <c r="AYI68" s="1251"/>
      <c r="AYJ68" s="1251"/>
      <c r="AYK68" s="1251"/>
      <c r="AYL68" s="1251"/>
      <c r="AYM68" s="1251"/>
      <c r="AYN68" s="1251"/>
      <c r="AYO68" s="1251"/>
      <c r="AYP68" s="1251"/>
      <c r="AYQ68" s="1251"/>
      <c r="AYR68" s="1251"/>
      <c r="AYS68" s="1251"/>
      <c r="AYT68" s="1251"/>
      <c r="AYU68" s="1251"/>
      <c r="AYV68" s="1251"/>
      <c r="AYW68" s="1251"/>
      <c r="AYX68" s="1251"/>
      <c r="AYY68" s="1251"/>
      <c r="AYZ68" s="1251"/>
      <c r="AZA68" s="1251"/>
      <c r="AZB68" s="1251"/>
      <c r="AZC68" s="1251"/>
      <c r="AZD68" s="1251"/>
      <c r="AZE68" s="1251"/>
      <c r="AZF68" s="1251"/>
      <c r="AZG68" s="1251"/>
      <c r="AZH68" s="1251"/>
      <c r="AZI68" s="1251"/>
      <c r="AZJ68" s="1251"/>
      <c r="AZK68" s="1251"/>
      <c r="AZL68" s="1251"/>
      <c r="AZM68" s="1251"/>
      <c r="AZN68" s="1251"/>
      <c r="AZO68" s="1251"/>
      <c r="AZP68" s="1251"/>
      <c r="AZQ68" s="1251"/>
      <c r="AZR68" s="1251"/>
      <c r="AZS68" s="1251"/>
      <c r="AZT68" s="1251"/>
      <c r="AZU68" s="1251"/>
      <c r="AZV68" s="1251"/>
      <c r="AZW68" s="1251"/>
      <c r="AZX68" s="1251"/>
      <c r="AZY68" s="1251"/>
      <c r="AZZ68" s="1251"/>
      <c r="BAA68" s="1251"/>
      <c r="BAB68" s="1251"/>
      <c r="BAC68" s="1251"/>
      <c r="BAD68" s="1251"/>
      <c r="BAE68" s="1251"/>
      <c r="BAF68" s="1251"/>
      <c r="BAG68" s="1251"/>
      <c r="BAH68" s="1251"/>
      <c r="BAI68" s="1251"/>
      <c r="BAJ68" s="1251"/>
      <c r="BAK68" s="1251"/>
      <c r="BAL68" s="1251"/>
      <c r="BAM68" s="1251"/>
      <c r="BAN68" s="1251"/>
      <c r="BAO68" s="1251"/>
      <c r="BAP68" s="1251"/>
      <c r="BAQ68" s="1251"/>
      <c r="BAR68" s="1251"/>
      <c r="BAS68" s="1251"/>
      <c r="BAT68" s="1251"/>
      <c r="BAU68" s="1251"/>
      <c r="BAV68" s="1251"/>
      <c r="BAW68" s="1251"/>
      <c r="BAX68" s="1251"/>
      <c r="BAY68" s="1251"/>
      <c r="BAZ68" s="1251"/>
      <c r="BBA68" s="1251"/>
      <c r="BBB68" s="1251"/>
      <c r="BBC68" s="1251"/>
      <c r="BBD68" s="1251"/>
      <c r="BBE68" s="1251"/>
      <c r="BBF68" s="1251"/>
      <c r="BBG68" s="1251"/>
      <c r="BBH68" s="1251"/>
      <c r="BBI68" s="1251"/>
      <c r="BBJ68" s="1251"/>
      <c r="BBK68" s="1251"/>
      <c r="BBL68" s="1251"/>
      <c r="BBM68" s="1251"/>
      <c r="BBN68" s="1251"/>
      <c r="BBO68" s="1251"/>
      <c r="BBP68" s="1251"/>
      <c r="BBQ68" s="1251"/>
      <c r="BBR68" s="1251"/>
      <c r="BBS68" s="1251"/>
      <c r="BBT68" s="1251"/>
      <c r="BBU68" s="1251"/>
      <c r="BBV68" s="1251"/>
      <c r="BBW68" s="1251"/>
      <c r="BBX68" s="1251"/>
      <c r="BBY68" s="1251"/>
      <c r="BBZ68" s="1251"/>
      <c r="BCA68" s="1251"/>
      <c r="BCB68" s="1251"/>
      <c r="BCC68" s="1251"/>
      <c r="BCD68" s="1251"/>
      <c r="BCE68" s="1251"/>
      <c r="BCF68" s="1251"/>
      <c r="BCG68" s="1251"/>
      <c r="BCH68" s="1251"/>
      <c r="BCI68" s="1251"/>
      <c r="BCJ68" s="1251"/>
      <c r="BCK68" s="1251"/>
      <c r="BCL68" s="1251"/>
      <c r="BCM68" s="1251"/>
      <c r="BCN68" s="1251"/>
      <c r="BCO68" s="1251"/>
      <c r="BCP68" s="1251"/>
      <c r="BCQ68" s="1251"/>
      <c r="BCR68" s="1251"/>
      <c r="BCS68" s="1251"/>
      <c r="BCT68" s="1251"/>
      <c r="BCU68" s="1251"/>
      <c r="BCV68" s="1251"/>
      <c r="BCW68" s="1251"/>
      <c r="BCX68" s="1251"/>
      <c r="BCY68" s="1251"/>
      <c r="BCZ68" s="1251"/>
      <c r="BDA68" s="1251"/>
      <c r="BDB68" s="1251"/>
      <c r="BDC68" s="1251"/>
      <c r="BDD68" s="1251"/>
      <c r="BDE68" s="1251"/>
      <c r="BDF68" s="1251"/>
      <c r="BDG68" s="1251"/>
      <c r="BDH68" s="1251"/>
      <c r="BDI68" s="1251"/>
      <c r="BDJ68" s="1251"/>
      <c r="BDK68" s="1251"/>
      <c r="BDL68" s="1251"/>
      <c r="BDM68" s="1251"/>
      <c r="BDN68" s="1251"/>
      <c r="BDO68" s="1251"/>
      <c r="BDP68" s="1251"/>
      <c r="BDQ68" s="1251"/>
      <c r="BDR68" s="1251"/>
      <c r="BDS68" s="1251"/>
      <c r="BDT68" s="1251"/>
      <c r="BDU68" s="1251"/>
      <c r="BDV68" s="1251"/>
      <c r="BDW68" s="1251"/>
      <c r="BDX68" s="1251"/>
      <c r="BDY68" s="1251"/>
      <c r="BDZ68" s="1251"/>
      <c r="BEA68" s="1251"/>
      <c r="BEB68" s="1251"/>
      <c r="BEC68" s="1251"/>
      <c r="BED68" s="1251"/>
      <c r="BEE68" s="1251"/>
      <c r="BEF68" s="1251"/>
      <c r="BEG68" s="1251"/>
      <c r="BEH68" s="1251"/>
      <c r="BEI68" s="1251"/>
      <c r="BEJ68" s="1251"/>
      <c r="BEK68" s="1251"/>
      <c r="BEL68" s="1251"/>
      <c r="BEM68" s="1251"/>
      <c r="BEN68" s="1251"/>
      <c r="BEO68" s="1251"/>
      <c r="BEP68" s="1251"/>
      <c r="BEQ68" s="1251"/>
      <c r="BER68" s="1251"/>
      <c r="BES68" s="1251"/>
      <c r="BET68" s="1251"/>
      <c r="BEU68" s="1251"/>
      <c r="BEV68" s="1251"/>
      <c r="BEW68" s="1251"/>
      <c r="BEX68" s="1251"/>
      <c r="BEY68" s="1251"/>
      <c r="BEZ68" s="1251"/>
      <c r="BFA68" s="1251"/>
      <c r="BFB68" s="1251"/>
      <c r="BFC68" s="1251"/>
      <c r="BFD68" s="1251"/>
      <c r="BFE68" s="1251"/>
      <c r="BFF68" s="1251"/>
      <c r="BFG68" s="1251"/>
      <c r="BFH68" s="1251"/>
      <c r="BFI68" s="1251"/>
      <c r="BFJ68" s="1251"/>
      <c r="BFK68" s="1251"/>
      <c r="BFL68" s="1251"/>
      <c r="BFM68" s="1251"/>
      <c r="BFN68" s="1251"/>
      <c r="BFO68" s="1251"/>
      <c r="BFP68" s="1251"/>
      <c r="BFQ68" s="1251"/>
      <c r="BFR68" s="1251"/>
      <c r="BFS68" s="1251"/>
      <c r="BFT68" s="1251"/>
      <c r="BFU68" s="1251"/>
      <c r="BFV68" s="1251"/>
      <c r="BFW68" s="1251"/>
      <c r="BFX68" s="1251"/>
      <c r="BFY68" s="1251"/>
      <c r="BFZ68" s="1251"/>
      <c r="BGA68" s="1251"/>
      <c r="BGB68" s="1251"/>
      <c r="BGC68" s="1251"/>
      <c r="BGD68" s="1251"/>
      <c r="BGE68" s="1251"/>
      <c r="BGF68" s="1251"/>
      <c r="BGG68" s="1251"/>
      <c r="BGH68" s="1251"/>
      <c r="BGI68" s="1251"/>
      <c r="BGJ68" s="1251"/>
      <c r="BGK68" s="1251"/>
      <c r="BGL68" s="1251"/>
      <c r="BGM68" s="1251"/>
      <c r="BGN68" s="1251"/>
      <c r="BGO68" s="1251"/>
      <c r="BGP68" s="1251"/>
      <c r="BGQ68" s="1251"/>
      <c r="BGR68" s="1251"/>
      <c r="BGS68" s="1251"/>
      <c r="BGT68" s="1251"/>
      <c r="BGU68" s="1251"/>
      <c r="BGV68" s="1251"/>
      <c r="BGW68" s="1251"/>
      <c r="BGX68" s="1251"/>
      <c r="BGY68" s="1251"/>
      <c r="BGZ68" s="1251"/>
      <c r="BHA68" s="1251"/>
      <c r="BHB68" s="1251"/>
      <c r="BHC68" s="1251"/>
      <c r="BHD68" s="1251"/>
      <c r="BHE68" s="1251"/>
      <c r="BHF68" s="1251"/>
      <c r="BHG68" s="1251"/>
      <c r="BHH68" s="1251"/>
      <c r="BHI68" s="1251"/>
      <c r="BHJ68" s="1251"/>
      <c r="BHK68" s="1251"/>
      <c r="BHL68" s="1251"/>
      <c r="BHM68" s="1251"/>
      <c r="BHN68" s="1251"/>
      <c r="BHO68" s="1251"/>
      <c r="BHP68" s="1251"/>
      <c r="BHQ68" s="1251"/>
      <c r="BHR68" s="1251"/>
      <c r="BHS68" s="1251"/>
      <c r="BHT68" s="1251"/>
      <c r="BHU68" s="1251"/>
      <c r="BHV68" s="1251"/>
      <c r="BHW68" s="1251"/>
      <c r="BHX68" s="1251"/>
      <c r="BHY68" s="1251"/>
      <c r="BHZ68" s="1251"/>
      <c r="BIA68" s="1251"/>
      <c r="BIB68" s="1251"/>
      <c r="BIC68" s="1251"/>
      <c r="BID68" s="1251"/>
      <c r="BIE68" s="1251"/>
      <c r="BIF68" s="1251"/>
      <c r="BIG68" s="1251"/>
      <c r="BIH68" s="1251"/>
      <c r="BII68" s="1251"/>
      <c r="BIJ68" s="1251"/>
      <c r="BIK68" s="1251"/>
      <c r="BIL68" s="1251"/>
      <c r="BIM68" s="1251"/>
      <c r="BIN68" s="1251"/>
      <c r="BIO68" s="1251"/>
      <c r="BIP68" s="1251"/>
      <c r="BIQ68" s="1251"/>
      <c r="BIR68" s="1251"/>
      <c r="BIS68" s="1251"/>
      <c r="BIT68" s="1251"/>
      <c r="BIU68" s="1251"/>
      <c r="BIV68" s="1251"/>
      <c r="BIW68" s="1251"/>
      <c r="BIX68" s="1251"/>
      <c r="BIY68" s="1251"/>
      <c r="BIZ68" s="1251"/>
      <c r="BJA68" s="1251"/>
      <c r="BJB68" s="1251"/>
      <c r="BJC68" s="1251"/>
      <c r="BJD68" s="1251"/>
      <c r="BJE68" s="1251"/>
      <c r="BJF68" s="1251"/>
      <c r="BJG68" s="1251"/>
      <c r="BJH68" s="1251"/>
      <c r="BJI68" s="1251"/>
      <c r="BJJ68" s="1251"/>
      <c r="BJK68" s="1251"/>
      <c r="BJL68" s="1251"/>
      <c r="BJM68" s="1251"/>
      <c r="BJN68" s="1251"/>
      <c r="BJO68" s="1251"/>
      <c r="BJP68" s="1251"/>
      <c r="BJQ68" s="1251"/>
      <c r="BJR68" s="1251"/>
      <c r="BJS68" s="1251"/>
      <c r="BJT68" s="1251"/>
      <c r="BJU68" s="1251"/>
      <c r="BJV68" s="1251"/>
      <c r="BJW68" s="1251"/>
      <c r="BJX68" s="1251"/>
      <c r="BJY68" s="1251"/>
      <c r="BJZ68" s="1251"/>
      <c r="BKA68" s="1251"/>
      <c r="BKB68" s="1251"/>
      <c r="BKC68" s="1251"/>
      <c r="BKD68" s="1251"/>
      <c r="BKE68" s="1251"/>
      <c r="BKF68" s="1251"/>
      <c r="BKG68" s="1251"/>
      <c r="BKH68" s="1251"/>
      <c r="BKI68" s="1251"/>
      <c r="BKJ68" s="1251"/>
      <c r="BKK68" s="1251"/>
      <c r="BKL68" s="1251"/>
      <c r="BKM68" s="1251"/>
      <c r="BKN68" s="1251"/>
      <c r="BKO68" s="1251"/>
      <c r="BKP68" s="1251"/>
      <c r="BKQ68" s="1251"/>
      <c r="BKR68" s="1251"/>
      <c r="BKS68" s="1251"/>
      <c r="BKT68" s="1251"/>
      <c r="BKU68" s="1251"/>
      <c r="BKV68" s="1251"/>
      <c r="BKW68" s="1251"/>
      <c r="BKX68" s="1251"/>
      <c r="BKY68" s="1251"/>
      <c r="BKZ68" s="1251"/>
      <c r="BLA68" s="1251"/>
      <c r="BLB68" s="1251"/>
      <c r="BLC68" s="1251"/>
      <c r="BLD68" s="1251"/>
      <c r="BLE68" s="1251"/>
      <c r="BLF68" s="1251"/>
      <c r="BLG68" s="1251"/>
      <c r="BLH68" s="1251"/>
      <c r="BLI68" s="1251"/>
      <c r="BLJ68" s="1251"/>
      <c r="BLK68" s="1251"/>
      <c r="BLL68" s="1251"/>
      <c r="BLM68" s="1251"/>
      <c r="BLN68" s="1251"/>
      <c r="BLO68" s="1251"/>
      <c r="BLP68" s="1251"/>
      <c r="BLQ68" s="1251"/>
      <c r="BLR68" s="1251"/>
      <c r="BLS68" s="1251"/>
      <c r="BLT68" s="1251"/>
      <c r="BLU68" s="1251"/>
      <c r="BLV68" s="1251"/>
      <c r="BLW68" s="1251"/>
      <c r="BLX68" s="1251"/>
      <c r="BLY68" s="1251"/>
      <c r="BLZ68" s="1251"/>
      <c r="BMA68" s="1251"/>
      <c r="BMB68" s="1251"/>
      <c r="BMC68" s="1251"/>
      <c r="BMD68" s="1251"/>
      <c r="BME68" s="1251"/>
      <c r="BMF68" s="1251"/>
      <c r="BMG68" s="1251"/>
      <c r="BMH68" s="1251"/>
      <c r="BMI68" s="1251"/>
      <c r="BMJ68" s="1251"/>
      <c r="BMK68" s="1251"/>
      <c r="BML68" s="1251"/>
      <c r="BMM68" s="1251"/>
      <c r="BMN68" s="1251"/>
      <c r="BMO68" s="1251"/>
      <c r="BMP68" s="1251"/>
      <c r="BMQ68" s="1251"/>
      <c r="BMR68" s="1251"/>
      <c r="BMS68" s="1251"/>
      <c r="BMT68" s="1251"/>
      <c r="BMU68" s="1251"/>
      <c r="BMV68" s="1251"/>
      <c r="BMW68" s="1251"/>
      <c r="BMX68" s="1251"/>
      <c r="BMY68" s="1251"/>
      <c r="BMZ68" s="1251"/>
      <c r="BNA68" s="1251"/>
      <c r="BNB68" s="1251"/>
      <c r="BNC68" s="1251"/>
      <c r="BND68" s="1251"/>
      <c r="BNE68" s="1251"/>
      <c r="BNF68" s="1251"/>
      <c r="BNG68" s="1251"/>
      <c r="BNH68" s="1251"/>
      <c r="BNI68" s="1251"/>
      <c r="BNJ68" s="1251"/>
      <c r="BNK68" s="1251"/>
      <c r="BNL68" s="1251"/>
      <c r="BNM68" s="1251"/>
      <c r="BNN68" s="1251"/>
      <c r="BNO68" s="1251"/>
      <c r="BNP68" s="1251"/>
      <c r="BNQ68" s="1251"/>
      <c r="BNR68" s="1251"/>
      <c r="BNS68" s="1251"/>
      <c r="BNT68" s="1251"/>
      <c r="BNU68" s="1251"/>
      <c r="BNV68" s="1251"/>
      <c r="BNW68" s="1251"/>
      <c r="BNX68" s="1251"/>
      <c r="BNY68" s="1251"/>
      <c r="BNZ68" s="1251"/>
      <c r="BOA68" s="1251"/>
      <c r="BOB68" s="1251"/>
      <c r="BOC68" s="1251"/>
      <c r="BOD68" s="1251"/>
      <c r="BOE68" s="1251"/>
      <c r="BOF68" s="1251"/>
      <c r="BOG68" s="1251"/>
      <c r="BOH68" s="1251"/>
      <c r="BOI68" s="1251"/>
      <c r="BOJ68" s="1251"/>
      <c r="BOK68" s="1251"/>
      <c r="BOL68" s="1251"/>
      <c r="BOM68" s="1251"/>
      <c r="BON68" s="1251"/>
      <c r="BOO68" s="1251"/>
      <c r="BOP68" s="1251"/>
      <c r="BOQ68" s="1251"/>
      <c r="BOR68" s="1251"/>
      <c r="BOS68" s="1251"/>
      <c r="BOT68" s="1251"/>
      <c r="BOU68" s="1251"/>
      <c r="BOV68" s="1251"/>
      <c r="BOW68" s="1251"/>
      <c r="BOX68" s="1251"/>
      <c r="BOY68" s="1251"/>
      <c r="BOZ68" s="1251"/>
      <c r="BPA68" s="1251"/>
      <c r="BPB68" s="1251"/>
      <c r="BPC68" s="1251"/>
      <c r="BPD68" s="1251"/>
      <c r="BPE68" s="1251"/>
      <c r="BPF68" s="1251"/>
      <c r="BPG68" s="1251"/>
      <c r="BPH68" s="1251"/>
      <c r="BPI68" s="1251"/>
      <c r="BPJ68" s="1251"/>
      <c r="BPK68" s="1251"/>
      <c r="BPL68" s="1251"/>
      <c r="BPM68" s="1251"/>
      <c r="BPN68" s="1251"/>
      <c r="BPO68" s="1251"/>
      <c r="BPP68" s="1251"/>
      <c r="BPQ68" s="1251"/>
      <c r="BPR68" s="1251"/>
      <c r="BPS68" s="1251"/>
      <c r="BPT68" s="1251"/>
      <c r="BPU68" s="1251"/>
      <c r="BPV68" s="1251"/>
      <c r="BPW68" s="1251"/>
      <c r="BPX68" s="1251"/>
      <c r="BPY68" s="1251"/>
      <c r="BPZ68" s="1251"/>
      <c r="BQA68" s="1251"/>
      <c r="BQB68" s="1251"/>
      <c r="BQC68" s="1251"/>
      <c r="BQD68" s="1251"/>
      <c r="BQE68" s="1251"/>
      <c r="BQF68" s="1251"/>
      <c r="BQG68" s="1251"/>
      <c r="BQH68" s="1251"/>
      <c r="BQI68" s="1251"/>
      <c r="BQJ68" s="1251"/>
      <c r="BQK68" s="1251"/>
      <c r="BQL68" s="1251"/>
      <c r="BQM68" s="1251"/>
      <c r="BQN68" s="1251"/>
      <c r="BQO68" s="1251"/>
      <c r="BQP68" s="1251"/>
      <c r="BQQ68" s="1251"/>
      <c r="BQR68" s="1251"/>
      <c r="BQS68" s="1251"/>
      <c r="BQT68" s="1251"/>
      <c r="BQU68" s="1251"/>
      <c r="BQV68" s="1251"/>
      <c r="BQW68" s="1251"/>
      <c r="BQX68" s="1251"/>
      <c r="BQY68" s="1251"/>
      <c r="BQZ68" s="1251"/>
      <c r="BRA68" s="1251"/>
      <c r="BRB68" s="1251"/>
      <c r="BRC68" s="1251"/>
      <c r="BRD68" s="1251"/>
      <c r="BRE68" s="1251"/>
      <c r="BRF68" s="1251"/>
      <c r="BRG68" s="1251"/>
      <c r="BRH68" s="1251"/>
      <c r="BRI68" s="1251"/>
      <c r="BRJ68" s="1251"/>
      <c r="BRK68" s="1251"/>
      <c r="BRL68" s="1251"/>
      <c r="BRM68" s="1251"/>
      <c r="BRN68" s="1251"/>
      <c r="BRO68" s="1251"/>
      <c r="BRP68" s="1251"/>
      <c r="BRQ68" s="1251"/>
      <c r="BRR68" s="1251"/>
      <c r="BRS68" s="1251"/>
      <c r="BRT68" s="1251"/>
      <c r="BRU68" s="1251"/>
      <c r="BRV68" s="1251"/>
      <c r="BRW68" s="1251"/>
      <c r="BRX68" s="1251"/>
      <c r="BRY68" s="1251"/>
      <c r="BRZ68" s="1251"/>
      <c r="BSA68" s="1251"/>
      <c r="BSB68" s="1251"/>
      <c r="BSC68" s="1251"/>
      <c r="BSD68" s="1251"/>
      <c r="BSE68" s="1251"/>
      <c r="BSF68" s="1251"/>
      <c r="BSG68" s="1251"/>
      <c r="BSH68" s="1251"/>
      <c r="BSI68" s="1251"/>
      <c r="BSJ68" s="1251"/>
      <c r="BSK68" s="1251"/>
      <c r="BSL68" s="1251"/>
      <c r="BSM68" s="1251"/>
      <c r="BSN68" s="1251"/>
      <c r="BSO68" s="1251"/>
      <c r="BSP68" s="1251"/>
      <c r="BSQ68" s="1251"/>
      <c r="BSR68" s="1251"/>
      <c r="BSS68" s="1251"/>
      <c r="BST68" s="1251"/>
      <c r="BSU68" s="1251"/>
      <c r="BSV68" s="1251"/>
      <c r="BSW68" s="1251"/>
      <c r="BSX68" s="1251"/>
      <c r="BSY68" s="1251"/>
      <c r="BSZ68" s="1251"/>
      <c r="BTA68" s="1251"/>
      <c r="BTB68" s="1251"/>
      <c r="BTC68" s="1251"/>
      <c r="BTD68" s="1251"/>
      <c r="BTE68" s="1251"/>
      <c r="BTF68" s="1251"/>
      <c r="BTG68" s="1251"/>
      <c r="BTH68" s="1251"/>
      <c r="BTI68" s="1251"/>
    </row>
    <row r="69" spans="1:1881" s="1261" customFormat="1" ht="78.75" hidden="1" customHeight="1" thickBot="1" x14ac:dyDescent="0.35">
      <c r="A69" s="1248">
        <v>11</v>
      </c>
      <c r="B69" s="806" t="s">
        <v>69</v>
      </c>
      <c r="C69" s="806" t="s">
        <v>149</v>
      </c>
      <c r="D69" s="24" t="s">
        <v>1367</v>
      </c>
      <c r="E69" s="1249" t="e">
        <f>HLOOKUP($D$2,'2020 Data(H)'!$C$1:$CZ$426,8,FALSE)</f>
        <v>#N/A</v>
      </c>
      <c r="F69" s="1263">
        <v>0</v>
      </c>
      <c r="G69" s="727">
        <f t="shared" si="1"/>
        <v>0</v>
      </c>
      <c r="H69" s="17"/>
      <c r="I69" s="760"/>
      <c r="J69" s="1252"/>
      <c r="K69" s="1251"/>
      <c r="L69" s="701"/>
      <c r="M69" s="1251"/>
      <c r="N69" s="1253"/>
      <c r="O69" s="1251"/>
      <c r="P69" s="1251"/>
      <c r="Q69" s="1251"/>
      <c r="R69" s="1251"/>
      <c r="S69" s="1251"/>
      <c r="T69" s="1251"/>
      <c r="U69" s="1251"/>
      <c r="V69" s="1251"/>
      <c r="W69" s="1251"/>
      <c r="X69" s="1251"/>
      <c r="Y69" s="1251"/>
      <c r="Z69" s="1248"/>
      <c r="AA69" s="1248"/>
      <c r="AB69" s="1248"/>
      <c r="AC69" s="1248"/>
      <c r="AD69" s="1248"/>
      <c r="AE69" s="1248"/>
      <c r="AF69" s="1248"/>
      <c r="AG69" s="1248"/>
      <c r="AH69" s="1248"/>
      <c r="AI69" s="1248"/>
      <c r="AJ69" s="1248"/>
      <c r="AK69" s="1248"/>
      <c r="AL69" s="1248"/>
      <c r="AM69" s="1248"/>
      <c r="AN69" s="1248"/>
      <c r="AO69" s="1248"/>
      <c r="AP69" s="1248"/>
      <c r="AQ69" s="1248"/>
      <c r="AR69" s="1248"/>
      <c r="AS69" s="1251"/>
      <c r="AT69" s="1251"/>
      <c r="AU69" s="1251"/>
      <c r="AV69" s="1251"/>
      <c r="AW69" s="1251"/>
      <c r="AX69" s="1251"/>
      <c r="AY69" s="1251"/>
      <c r="AZ69" s="1251"/>
      <c r="BA69" s="1251"/>
      <c r="BB69" s="1251"/>
      <c r="BC69" s="1251"/>
      <c r="BD69" s="1251"/>
      <c r="BE69" s="1251"/>
      <c r="BF69" s="1251"/>
      <c r="BG69" s="1251"/>
      <c r="BH69" s="1251"/>
      <c r="BI69" s="1251"/>
      <c r="BJ69" s="1251"/>
      <c r="BK69" s="1251"/>
      <c r="BL69" s="1251"/>
      <c r="BM69" s="1251"/>
      <c r="BN69" s="1251"/>
      <c r="BO69" s="1251"/>
      <c r="BP69" s="1251"/>
      <c r="BQ69" s="1251"/>
      <c r="BR69" s="1251"/>
      <c r="BS69" s="1251"/>
      <c r="BT69" s="1251"/>
      <c r="BU69" s="1251"/>
      <c r="BV69" s="1251"/>
      <c r="BW69" s="1251"/>
      <c r="BX69" s="1251"/>
      <c r="BY69" s="1251"/>
      <c r="BZ69" s="1251"/>
      <c r="CA69" s="1251"/>
      <c r="CB69" s="1251"/>
      <c r="CC69" s="1251"/>
      <c r="CD69" s="1251"/>
      <c r="CE69" s="1251"/>
      <c r="CF69" s="1251"/>
      <c r="CG69" s="1251"/>
      <c r="CH69" s="1251"/>
      <c r="CI69" s="1251"/>
      <c r="CJ69" s="1251"/>
      <c r="CK69" s="1251"/>
      <c r="CL69" s="1251"/>
      <c r="CM69" s="1251"/>
      <c r="CN69" s="1251"/>
      <c r="CO69" s="1251"/>
      <c r="CP69" s="1251"/>
      <c r="CQ69" s="1251"/>
      <c r="CR69" s="1251"/>
      <c r="CS69" s="1251"/>
      <c r="CT69" s="1251"/>
      <c r="CU69" s="1251"/>
      <c r="CV69" s="1251"/>
      <c r="CW69" s="1251"/>
      <c r="CX69" s="1251"/>
      <c r="CY69" s="1251"/>
      <c r="CZ69" s="1251"/>
      <c r="DA69" s="1251"/>
      <c r="DB69" s="1251"/>
      <c r="DC69" s="1251"/>
      <c r="DD69" s="1251"/>
      <c r="DE69" s="1251"/>
      <c r="DF69" s="1251"/>
      <c r="DG69" s="1251"/>
      <c r="DH69" s="1251"/>
      <c r="DI69" s="1251"/>
      <c r="DJ69" s="1251"/>
      <c r="DK69" s="1251"/>
      <c r="DL69" s="1251"/>
      <c r="DM69" s="1251"/>
      <c r="DN69" s="1251"/>
      <c r="DO69" s="1251"/>
      <c r="DP69" s="1251"/>
      <c r="DQ69" s="1251"/>
      <c r="DR69" s="1251"/>
      <c r="DS69" s="1251"/>
      <c r="DT69" s="1251"/>
      <c r="DU69" s="1251"/>
      <c r="DV69" s="1251"/>
      <c r="DW69" s="1251"/>
      <c r="DX69" s="1251"/>
      <c r="DY69" s="1251"/>
      <c r="DZ69" s="1251"/>
      <c r="EA69" s="1251"/>
      <c r="EB69" s="1251"/>
      <c r="EC69" s="1251"/>
      <c r="ED69" s="1251"/>
      <c r="EE69" s="1251"/>
      <c r="EF69" s="1251"/>
      <c r="EG69" s="1251"/>
      <c r="EH69" s="1251"/>
      <c r="EI69" s="1251"/>
      <c r="EJ69" s="1251"/>
      <c r="EK69" s="1251"/>
      <c r="EL69" s="1251"/>
      <c r="EM69" s="1251"/>
      <c r="EN69" s="1251"/>
      <c r="EO69" s="1251"/>
      <c r="EP69" s="1251"/>
      <c r="EQ69" s="1251"/>
      <c r="ER69" s="1251"/>
      <c r="ES69" s="1251"/>
      <c r="ET69" s="1251"/>
      <c r="EU69" s="1251"/>
      <c r="EV69" s="1251"/>
      <c r="EW69" s="1251"/>
      <c r="EX69" s="1251"/>
      <c r="EY69" s="1251"/>
      <c r="EZ69" s="1251"/>
      <c r="FA69" s="1251"/>
      <c r="FB69" s="1251"/>
      <c r="FC69" s="1251"/>
      <c r="FD69" s="1251"/>
      <c r="FE69" s="1251"/>
      <c r="FF69" s="1251"/>
      <c r="FG69" s="1251"/>
      <c r="FH69" s="1251"/>
      <c r="FI69" s="1251"/>
      <c r="FJ69" s="1251"/>
      <c r="FK69" s="1251"/>
      <c r="FL69" s="1251"/>
      <c r="FM69" s="1251"/>
      <c r="FN69" s="1251"/>
      <c r="FO69" s="1251"/>
      <c r="FP69" s="1251"/>
      <c r="FQ69" s="1251"/>
      <c r="FR69" s="1251"/>
      <c r="FS69" s="1251"/>
      <c r="FT69" s="1251"/>
      <c r="FU69" s="1251"/>
      <c r="FV69" s="1251"/>
      <c r="FW69" s="1251"/>
      <c r="FX69" s="1251"/>
      <c r="FY69" s="1251"/>
      <c r="FZ69" s="1251"/>
      <c r="GA69" s="1251"/>
      <c r="GB69" s="1251"/>
      <c r="GC69" s="1251"/>
      <c r="GD69" s="1251"/>
      <c r="GE69" s="1251"/>
      <c r="GF69" s="1251"/>
      <c r="GG69" s="1251"/>
      <c r="GH69" s="1251"/>
      <c r="GI69" s="1251"/>
      <c r="GJ69" s="1251"/>
      <c r="GK69" s="1251"/>
      <c r="GL69" s="1251"/>
      <c r="GM69" s="1251"/>
      <c r="GN69" s="1251"/>
      <c r="GO69" s="1251"/>
      <c r="GP69" s="1251"/>
      <c r="GQ69" s="1251"/>
      <c r="GR69" s="1251"/>
      <c r="GS69" s="1251"/>
      <c r="GT69" s="1251"/>
      <c r="GU69" s="1251"/>
      <c r="GV69" s="1251"/>
      <c r="GW69" s="1251"/>
      <c r="GX69" s="1251"/>
      <c r="GY69" s="1251"/>
      <c r="GZ69" s="1251"/>
      <c r="HA69" s="1251"/>
      <c r="HB69" s="1251"/>
      <c r="HC69" s="1251"/>
      <c r="HD69" s="1251"/>
      <c r="HE69" s="1251"/>
      <c r="HF69" s="1251"/>
      <c r="HG69" s="1251"/>
      <c r="HH69" s="1251"/>
      <c r="HI69" s="1251"/>
      <c r="HJ69" s="1251"/>
      <c r="HK69" s="1251"/>
      <c r="HL69" s="1251"/>
      <c r="HM69" s="1251"/>
      <c r="HN69" s="1251"/>
      <c r="HO69" s="1251"/>
      <c r="HP69" s="1251"/>
      <c r="HQ69" s="1251"/>
      <c r="HR69" s="1251"/>
      <c r="HS69" s="1251"/>
      <c r="HT69" s="1251"/>
      <c r="HU69" s="1251"/>
      <c r="HV69" s="1251"/>
      <c r="HW69" s="1251"/>
      <c r="HX69" s="1251"/>
      <c r="HY69" s="1251"/>
      <c r="HZ69" s="1251"/>
      <c r="IA69" s="1251"/>
      <c r="IB69" s="1251"/>
      <c r="IC69" s="1251"/>
      <c r="ID69" s="1251"/>
      <c r="IE69" s="1251"/>
      <c r="IF69" s="1251"/>
      <c r="IG69" s="1251"/>
      <c r="IH69" s="1251"/>
      <c r="II69" s="1251"/>
      <c r="IJ69" s="1251"/>
      <c r="IK69" s="1251"/>
      <c r="IL69" s="1251"/>
      <c r="IM69" s="1251"/>
      <c r="IN69" s="1251"/>
      <c r="IO69" s="1251"/>
      <c r="IP69" s="1251"/>
      <c r="IQ69" s="1251"/>
      <c r="IR69" s="1251"/>
      <c r="IS69" s="1251"/>
      <c r="IT69" s="1251"/>
      <c r="IU69" s="1251"/>
      <c r="IV69" s="1251"/>
      <c r="IW69" s="1251"/>
      <c r="IX69" s="1251"/>
      <c r="IY69" s="1251"/>
      <c r="IZ69" s="1251"/>
      <c r="JA69" s="1251"/>
      <c r="JB69" s="1251"/>
      <c r="JC69" s="1251"/>
      <c r="JD69" s="1251"/>
      <c r="JE69" s="1251"/>
      <c r="JF69" s="1251"/>
      <c r="JG69" s="1251"/>
      <c r="JH69" s="1251"/>
      <c r="JI69" s="1251"/>
      <c r="JJ69" s="1251"/>
      <c r="JK69" s="1251"/>
      <c r="JL69" s="1251"/>
      <c r="JM69" s="1251"/>
      <c r="JN69" s="1251"/>
      <c r="JO69" s="1251"/>
      <c r="JP69" s="1251"/>
      <c r="JQ69" s="1251"/>
      <c r="JR69" s="1251"/>
      <c r="JS69" s="1251"/>
      <c r="JT69" s="1251"/>
      <c r="JU69" s="1251"/>
      <c r="JV69" s="1251"/>
      <c r="JW69" s="1251"/>
      <c r="JX69" s="1251"/>
      <c r="JY69" s="1251"/>
      <c r="JZ69" s="1251"/>
      <c r="KA69" s="1251"/>
      <c r="KB69" s="1251"/>
      <c r="KC69" s="1251"/>
      <c r="KD69" s="1251"/>
      <c r="KE69" s="1251"/>
      <c r="KF69" s="1251"/>
      <c r="KG69" s="1251"/>
      <c r="KH69" s="1251"/>
      <c r="KI69" s="1251"/>
      <c r="KJ69" s="1251"/>
      <c r="KK69" s="1251"/>
      <c r="KL69" s="1251"/>
      <c r="KM69" s="1251"/>
      <c r="KN69" s="1251"/>
      <c r="KO69" s="1251"/>
      <c r="KP69" s="1251"/>
      <c r="KQ69" s="1251"/>
      <c r="KR69" s="1251"/>
      <c r="KS69" s="1251"/>
      <c r="KT69" s="1251"/>
      <c r="KU69" s="1251"/>
      <c r="KV69" s="1251"/>
      <c r="KW69" s="1251"/>
      <c r="KX69" s="1251"/>
      <c r="KY69" s="1251"/>
      <c r="KZ69" s="1251"/>
      <c r="LA69" s="1251"/>
      <c r="LB69" s="1251"/>
      <c r="LC69" s="1251"/>
      <c r="LD69" s="1251"/>
      <c r="LE69" s="1251"/>
      <c r="LF69" s="1251"/>
      <c r="LG69" s="1251"/>
      <c r="LH69" s="1251"/>
      <c r="LI69" s="1251"/>
      <c r="LJ69" s="1251"/>
      <c r="LK69" s="1251"/>
      <c r="LL69" s="1251"/>
      <c r="LM69" s="1251"/>
      <c r="LN69" s="1251"/>
      <c r="LO69" s="1251"/>
      <c r="LP69" s="1251"/>
      <c r="LQ69" s="1251"/>
      <c r="LR69" s="1251"/>
      <c r="LS69" s="1251"/>
      <c r="LT69" s="1251"/>
      <c r="LU69" s="1251"/>
      <c r="LV69" s="1251"/>
      <c r="LW69" s="1251"/>
      <c r="LX69" s="1251"/>
      <c r="LY69" s="1251"/>
      <c r="LZ69" s="1251"/>
      <c r="MA69" s="1251"/>
      <c r="MB69" s="1251"/>
      <c r="MC69" s="1251"/>
      <c r="MD69" s="1251"/>
      <c r="ME69" s="1251"/>
      <c r="MF69" s="1251"/>
      <c r="MG69" s="1251"/>
      <c r="MH69" s="1251"/>
      <c r="MI69" s="1251"/>
      <c r="MJ69" s="1251"/>
      <c r="MK69" s="1251"/>
      <c r="ML69" s="1251"/>
      <c r="MM69" s="1251"/>
      <c r="MN69" s="1251"/>
      <c r="MO69" s="1251"/>
      <c r="MP69" s="1251"/>
      <c r="MQ69" s="1251"/>
      <c r="MR69" s="1251"/>
      <c r="MS69" s="1251"/>
      <c r="MT69" s="1251"/>
      <c r="MU69" s="1251"/>
      <c r="MV69" s="1251"/>
      <c r="MW69" s="1251"/>
      <c r="MX69" s="1251"/>
      <c r="MY69" s="1251"/>
      <c r="MZ69" s="1251"/>
      <c r="NA69" s="1251"/>
      <c r="NB69" s="1251"/>
      <c r="NC69" s="1251"/>
      <c r="ND69" s="1251"/>
      <c r="NE69" s="1251"/>
      <c r="NF69" s="1251"/>
      <c r="NG69" s="1251"/>
      <c r="NH69" s="1251"/>
      <c r="NI69" s="1251"/>
      <c r="NJ69" s="1251"/>
      <c r="NK69" s="1251"/>
      <c r="NL69" s="1251"/>
      <c r="NM69" s="1251"/>
      <c r="NN69" s="1251"/>
      <c r="NO69" s="1251"/>
      <c r="NP69" s="1251"/>
      <c r="NQ69" s="1251"/>
      <c r="NR69" s="1251"/>
      <c r="NS69" s="1251"/>
      <c r="NT69" s="1251"/>
      <c r="NU69" s="1251"/>
      <c r="NV69" s="1251"/>
      <c r="NW69" s="1251"/>
      <c r="NX69" s="1251"/>
      <c r="NY69" s="1251"/>
      <c r="NZ69" s="1251"/>
      <c r="OA69" s="1251"/>
      <c r="OB69" s="1251"/>
      <c r="OC69" s="1251"/>
      <c r="OD69" s="1251"/>
      <c r="OE69" s="1251"/>
      <c r="OF69" s="1251"/>
      <c r="OG69" s="1251"/>
      <c r="OH69" s="1251"/>
      <c r="OI69" s="1251"/>
      <c r="OJ69" s="1251"/>
      <c r="OK69" s="1251"/>
      <c r="OL69" s="1251"/>
      <c r="OM69" s="1251"/>
      <c r="ON69" s="1251"/>
      <c r="OO69" s="1251"/>
      <c r="OP69" s="1251"/>
      <c r="OQ69" s="1251"/>
      <c r="OR69" s="1251"/>
      <c r="OS69" s="1251"/>
      <c r="OT69" s="1251"/>
      <c r="OU69" s="1251"/>
      <c r="OV69" s="1251"/>
      <c r="OW69" s="1251"/>
      <c r="OX69" s="1251"/>
      <c r="OY69" s="1251"/>
      <c r="OZ69" s="1251"/>
      <c r="PA69" s="1251"/>
      <c r="PB69" s="1251"/>
      <c r="PC69" s="1251"/>
      <c r="PD69" s="1251"/>
      <c r="PE69" s="1251"/>
      <c r="PF69" s="1251"/>
      <c r="PG69" s="1251"/>
      <c r="PH69" s="1251"/>
      <c r="PI69" s="1251"/>
      <c r="PJ69" s="1251"/>
      <c r="PK69" s="1251"/>
      <c r="PL69" s="1251"/>
      <c r="PM69" s="1251"/>
      <c r="PN69" s="1251"/>
      <c r="PO69" s="1251"/>
      <c r="PP69" s="1251"/>
      <c r="PQ69" s="1251"/>
      <c r="PR69" s="1251"/>
      <c r="PS69" s="1251"/>
      <c r="PT69" s="1251"/>
      <c r="PU69" s="1251"/>
      <c r="PV69" s="1251"/>
      <c r="PW69" s="1251"/>
      <c r="PX69" s="1251"/>
      <c r="PY69" s="1251"/>
      <c r="PZ69" s="1251"/>
      <c r="QA69" s="1251"/>
      <c r="QB69" s="1251"/>
      <c r="QC69" s="1251"/>
      <c r="QD69" s="1251"/>
      <c r="QE69" s="1251"/>
      <c r="QF69" s="1251"/>
      <c r="QG69" s="1251"/>
      <c r="QH69" s="1251"/>
      <c r="QI69" s="1251"/>
      <c r="QJ69" s="1251"/>
      <c r="QK69" s="1251"/>
      <c r="QL69" s="1251"/>
      <c r="QM69" s="1251"/>
      <c r="QN69" s="1251"/>
      <c r="QO69" s="1251"/>
      <c r="QP69" s="1251"/>
      <c r="QQ69" s="1251"/>
      <c r="QR69" s="1251"/>
      <c r="QS69" s="1251"/>
      <c r="QT69" s="1251"/>
      <c r="QU69" s="1251"/>
      <c r="QV69" s="1251"/>
      <c r="QW69" s="1251"/>
      <c r="QX69" s="1251"/>
      <c r="QY69" s="1251"/>
      <c r="QZ69" s="1251"/>
      <c r="RA69" s="1251"/>
      <c r="RB69" s="1251"/>
      <c r="RC69" s="1251"/>
      <c r="RD69" s="1251"/>
      <c r="RE69" s="1251"/>
      <c r="RF69" s="1251"/>
      <c r="RG69" s="1251"/>
      <c r="RH69" s="1251"/>
      <c r="RI69" s="1251"/>
      <c r="RJ69" s="1251"/>
      <c r="RK69" s="1251"/>
      <c r="RL69" s="1251"/>
      <c r="RM69" s="1251"/>
      <c r="RN69" s="1251"/>
      <c r="RO69" s="1251"/>
      <c r="RP69" s="1251"/>
      <c r="RQ69" s="1251"/>
      <c r="RR69" s="1251"/>
      <c r="RS69" s="1251"/>
      <c r="RT69" s="1251"/>
      <c r="RU69" s="1251"/>
      <c r="RV69" s="1251"/>
      <c r="RW69" s="1251"/>
      <c r="RX69" s="1251"/>
      <c r="RY69" s="1251"/>
      <c r="RZ69" s="1251"/>
      <c r="SA69" s="1251"/>
      <c r="SB69" s="1251"/>
      <c r="SC69" s="1251"/>
      <c r="SD69" s="1251"/>
      <c r="SE69" s="1251"/>
      <c r="SF69" s="1251"/>
      <c r="SG69" s="1251"/>
      <c r="SH69" s="1251"/>
      <c r="SI69" s="1251"/>
      <c r="SJ69" s="1251"/>
      <c r="SK69" s="1251"/>
      <c r="SL69" s="1251"/>
      <c r="SM69" s="1251"/>
      <c r="SN69" s="1251"/>
      <c r="SO69" s="1251"/>
      <c r="SP69" s="1251"/>
      <c r="SQ69" s="1251"/>
      <c r="SR69" s="1251"/>
      <c r="SS69" s="1251"/>
      <c r="ST69" s="1251"/>
      <c r="SU69" s="1251"/>
      <c r="SV69" s="1251"/>
      <c r="SW69" s="1251"/>
      <c r="SX69" s="1251"/>
      <c r="SY69" s="1251"/>
      <c r="SZ69" s="1251"/>
      <c r="TA69" s="1251"/>
      <c r="TB69" s="1251"/>
      <c r="TC69" s="1251"/>
      <c r="TD69" s="1251"/>
      <c r="TE69" s="1251"/>
      <c r="TF69" s="1251"/>
      <c r="TG69" s="1251"/>
      <c r="TH69" s="1251"/>
      <c r="TI69" s="1251"/>
      <c r="TJ69" s="1251"/>
      <c r="TK69" s="1251"/>
      <c r="TL69" s="1251"/>
      <c r="TM69" s="1251"/>
      <c r="TN69" s="1251"/>
      <c r="TO69" s="1251"/>
      <c r="TP69" s="1251"/>
      <c r="TQ69" s="1251"/>
      <c r="TR69" s="1251"/>
      <c r="TS69" s="1251"/>
      <c r="TT69" s="1251"/>
      <c r="TU69" s="1251"/>
      <c r="TV69" s="1251"/>
      <c r="TW69" s="1251"/>
      <c r="TX69" s="1251"/>
      <c r="TY69" s="1251"/>
      <c r="TZ69" s="1251"/>
      <c r="UA69" s="1251"/>
      <c r="UB69" s="1251"/>
      <c r="UC69" s="1251"/>
      <c r="UD69" s="1251"/>
      <c r="UE69" s="1251"/>
      <c r="UF69" s="1251"/>
      <c r="UG69" s="1251"/>
      <c r="UH69" s="1251"/>
      <c r="UI69" s="1251"/>
      <c r="UJ69" s="1251"/>
      <c r="UK69" s="1251"/>
      <c r="UL69" s="1251"/>
      <c r="UM69" s="1251"/>
      <c r="UN69" s="1251"/>
      <c r="UO69" s="1251"/>
      <c r="UP69" s="1251"/>
      <c r="UQ69" s="1251"/>
      <c r="UR69" s="1251"/>
      <c r="US69" s="1251"/>
      <c r="UT69" s="1251"/>
      <c r="UU69" s="1251"/>
      <c r="UV69" s="1251"/>
      <c r="UW69" s="1251"/>
      <c r="UX69" s="1251"/>
      <c r="UY69" s="1251"/>
      <c r="UZ69" s="1251"/>
      <c r="VA69" s="1251"/>
      <c r="VB69" s="1251"/>
      <c r="VC69" s="1251"/>
      <c r="VD69" s="1251"/>
      <c r="VE69" s="1251"/>
      <c r="VF69" s="1251"/>
      <c r="VG69" s="1251"/>
      <c r="VH69" s="1251"/>
      <c r="VI69" s="1251"/>
      <c r="VJ69" s="1251"/>
      <c r="VK69" s="1251"/>
      <c r="VL69" s="1251"/>
      <c r="VM69" s="1251"/>
      <c r="VN69" s="1251"/>
      <c r="VO69" s="1251"/>
      <c r="VP69" s="1251"/>
      <c r="VQ69" s="1251"/>
      <c r="VR69" s="1251"/>
      <c r="VS69" s="1251"/>
      <c r="VT69" s="1251"/>
      <c r="VU69" s="1251"/>
      <c r="VV69" s="1251"/>
      <c r="VW69" s="1251"/>
      <c r="VX69" s="1251"/>
      <c r="VY69" s="1251"/>
      <c r="VZ69" s="1251"/>
      <c r="WA69" s="1251"/>
      <c r="WB69" s="1251"/>
      <c r="WC69" s="1251"/>
      <c r="WD69" s="1251"/>
      <c r="WE69" s="1251"/>
      <c r="WF69" s="1251"/>
      <c r="WG69" s="1251"/>
      <c r="WH69" s="1251"/>
      <c r="WI69" s="1251"/>
      <c r="WJ69" s="1251"/>
      <c r="WK69" s="1251"/>
      <c r="WL69" s="1251"/>
      <c r="WM69" s="1251"/>
      <c r="WN69" s="1251"/>
      <c r="WO69" s="1251"/>
      <c r="WP69" s="1251"/>
      <c r="WQ69" s="1251"/>
      <c r="WR69" s="1251"/>
      <c r="WS69" s="1251"/>
      <c r="WT69" s="1251"/>
      <c r="WU69" s="1251"/>
      <c r="WV69" s="1251"/>
      <c r="WW69" s="1251"/>
      <c r="WX69" s="1251"/>
      <c r="WY69" s="1251"/>
      <c r="WZ69" s="1251"/>
      <c r="XA69" s="1251"/>
      <c r="XB69" s="1251"/>
      <c r="XC69" s="1251"/>
      <c r="XD69" s="1251"/>
      <c r="XE69" s="1251"/>
      <c r="XF69" s="1251"/>
      <c r="XG69" s="1251"/>
      <c r="XH69" s="1251"/>
      <c r="XI69" s="1251"/>
      <c r="XJ69" s="1251"/>
      <c r="XK69" s="1251"/>
      <c r="XL69" s="1251"/>
      <c r="XM69" s="1251"/>
      <c r="XN69" s="1251"/>
      <c r="XO69" s="1251"/>
      <c r="XP69" s="1251"/>
      <c r="XQ69" s="1251"/>
      <c r="XR69" s="1251"/>
      <c r="XS69" s="1251"/>
      <c r="XT69" s="1251"/>
      <c r="XU69" s="1251"/>
      <c r="XV69" s="1251"/>
      <c r="XW69" s="1251"/>
      <c r="XX69" s="1251"/>
      <c r="XY69" s="1251"/>
      <c r="XZ69" s="1251"/>
      <c r="YA69" s="1251"/>
      <c r="YB69" s="1251"/>
      <c r="YC69" s="1251"/>
      <c r="YD69" s="1251"/>
      <c r="YE69" s="1251"/>
      <c r="YF69" s="1251"/>
      <c r="YG69" s="1251"/>
      <c r="YH69" s="1251"/>
      <c r="YI69" s="1251"/>
      <c r="YJ69" s="1251"/>
      <c r="YK69" s="1251"/>
      <c r="YL69" s="1251"/>
      <c r="YM69" s="1251"/>
      <c r="YN69" s="1251"/>
      <c r="YO69" s="1251"/>
      <c r="YP69" s="1251"/>
      <c r="YQ69" s="1251"/>
      <c r="YR69" s="1251"/>
      <c r="YS69" s="1251"/>
      <c r="YT69" s="1251"/>
      <c r="YU69" s="1251"/>
      <c r="YV69" s="1251"/>
      <c r="YW69" s="1251"/>
      <c r="YX69" s="1251"/>
      <c r="YY69" s="1251"/>
      <c r="YZ69" s="1251"/>
      <c r="ZA69" s="1251"/>
      <c r="ZB69" s="1251"/>
      <c r="ZC69" s="1251"/>
      <c r="ZD69" s="1251"/>
      <c r="ZE69" s="1251"/>
      <c r="ZF69" s="1251"/>
      <c r="ZG69" s="1251"/>
      <c r="ZH69" s="1251"/>
      <c r="ZI69" s="1251"/>
      <c r="ZJ69" s="1251"/>
      <c r="ZK69" s="1251"/>
      <c r="ZL69" s="1251"/>
      <c r="ZM69" s="1251"/>
      <c r="ZN69" s="1251"/>
      <c r="ZO69" s="1251"/>
      <c r="ZP69" s="1251"/>
      <c r="ZQ69" s="1251"/>
      <c r="ZR69" s="1251"/>
      <c r="ZS69" s="1251"/>
      <c r="ZT69" s="1251"/>
      <c r="ZU69" s="1251"/>
      <c r="ZV69" s="1251"/>
      <c r="ZW69" s="1251"/>
      <c r="ZX69" s="1251"/>
      <c r="ZY69" s="1251"/>
      <c r="ZZ69" s="1251"/>
      <c r="AAA69" s="1251"/>
      <c r="AAB69" s="1251"/>
      <c r="AAC69" s="1251"/>
      <c r="AAD69" s="1251"/>
      <c r="AAE69" s="1251"/>
      <c r="AAF69" s="1251"/>
      <c r="AAG69" s="1251"/>
      <c r="AAH69" s="1251"/>
      <c r="AAI69" s="1251"/>
      <c r="AAJ69" s="1251"/>
      <c r="AAK69" s="1251"/>
      <c r="AAL69" s="1251"/>
      <c r="AAM69" s="1251"/>
      <c r="AAN69" s="1251"/>
      <c r="AAO69" s="1251"/>
      <c r="AAP69" s="1251"/>
      <c r="AAQ69" s="1251"/>
      <c r="AAR69" s="1251"/>
      <c r="AAS69" s="1251"/>
      <c r="AAT69" s="1251"/>
      <c r="AAU69" s="1251"/>
      <c r="AAV69" s="1251"/>
      <c r="AAW69" s="1251"/>
      <c r="AAX69" s="1251"/>
      <c r="AAY69" s="1251"/>
      <c r="AAZ69" s="1251"/>
      <c r="ABA69" s="1251"/>
      <c r="ABB69" s="1251"/>
      <c r="ABC69" s="1251"/>
      <c r="ABD69" s="1251"/>
      <c r="ABE69" s="1251"/>
      <c r="ABF69" s="1251"/>
      <c r="ABG69" s="1251"/>
      <c r="ABH69" s="1251"/>
      <c r="ABI69" s="1251"/>
      <c r="ABJ69" s="1251"/>
      <c r="ABK69" s="1251"/>
      <c r="ABL69" s="1251"/>
      <c r="ABM69" s="1251"/>
      <c r="ABN69" s="1251"/>
      <c r="ABO69" s="1251"/>
      <c r="ABP69" s="1251"/>
      <c r="ABQ69" s="1251"/>
      <c r="ABR69" s="1251"/>
      <c r="ABS69" s="1251"/>
      <c r="ABT69" s="1251"/>
      <c r="ABU69" s="1251"/>
      <c r="ABV69" s="1251"/>
      <c r="ABW69" s="1251"/>
      <c r="ABX69" s="1251"/>
      <c r="ABY69" s="1251"/>
      <c r="ABZ69" s="1251"/>
      <c r="ACA69" s="1251"/>
      <c r="ACB69" s="1251"/>
      <c r="ACC69" s="1251"/>
      <c r="ACD69" s="1251"/>
      <c r="ACE69" s="1251"/>
      <c r="ACF69" s="1251"/>
      <c r="ACG69" s="1251"/>
      <c r="ACH69" s="1251"/>
      <c r="ACI69" s="1251"/>
      <c r="ACJ69" s="1251"/>
      <c r="ACK69" s="1251"/>
      <c r="ACL69" s="1251"/>
      <c r="ACM69" s="1251"/>
      <c r="ACN69" s="1251"/>
      <c r="ACO69" s="1251"/>
      <c r="ACP69" s="1251"/>
      <c r="ACQ69" s="1251"/>
      <c r="ACR69" s="1251"/>
      <c r="ACS69" s="1251"/>
      <c r="ACT69" s="1251"/>
      <c r="ACU69" s="1251"/>
      <c r="ACV69" s="1251"/>
      <c r="ACW69" s="1251"/>
      <c r="ACX69" s="1251"/>
      <c r="ACY69" s="1251"/>
      <c r="ACZ69" s="1251"/>
      <c r="ADA69" s="1251"/>
      <c r="ADB69" s="1251"/>
      <c r="ADC69" s="1251"/>
      <c r="ADD69" s="1251"/>
      <c r="ADE69" s="1251"/>
      <c r="ADF69" s="1251"/>
      <c r="ADG69" s="1251"/>
      <c r="ADH69" s="1251"/>
      <c r="ADI69" s="1251"/>
      <c r="ADJ69" s="1251"/>
      <c r="ADK69" s="1251"/>
      <c r="ADL69" s="1251"/>
      <c r="ADM69" s="1251"/>
      <c r="ADN69" s="1251"/>
      <c r="ADO69" s="1251"/>
      <c r="ADP69" s="1251"/>
      <c r="ADQ69" s="1251"/>
      <c r="ADR69" s="1251"/>
      <c r="ADS69" s="1251"/>
      <c r="ADT69" s="1251"/>
      <c r="ADU69" s="1251"/>
      <c r="ADV69" s="1251"/>
      <c r="ADW69" s="1251"/>
      <c r="ADX69" s="1251"/>
      <c r="ADY69" s="1251"/>
      <c r="ADZ69" s="1251"/>
      <c r="AEA69" s="1251"/>
      <c r="AEB69" s="1251"/>
      <c r="AEC69" s="1251"/>
      <c r="AED69" s="1251"/>
      <c r="AEE69" s="1251"/>
      <c r="AEF69" s="1251"/>
      <c r="AEG69" s="1251"/>
      <c r="AEH69" s="1251"/>
      <c r="AEI69" s="1251"/>
      <c r="AEJ69" s="1251"/>
      <c r="AEK69" s="1251"/>
      <c r="AEL69" s="1251"/>
      <c r="AEM69" s="1251"/>
      <c r="AEN69" s="1251"/>
      <c r="AEO69" s="1251"/>
      <c r="AEP69" s="1251"/>
      <c r="AEQ69" s="1251"/>
      <c r="AER69" s="1251"/>
      <c r="AES69" s="1251"/>
      <c r="AET69" s="1251"/>
      <c r="AEU69" s="1251"/>
      <c r="AEV69" s="1251"/>
      <c r="AEW69" s="1251"/>
      <c r="AEX69" s="1251"/>
      <c r="AEY69" s="1251"/>
      <c r="AEZ69" s="1251"/>
      <c r="AFA69" s="1251"/>
      <c r="AFB69" s="1251"/>
      <c r="AFC69" s="1251"/>
      <c r="AFD69" s="1251"/>
      <c r="AFE69" s="1251"/>
      <c r="AFF69" s="1251"/>
      <c r="AFG69" s="1251"/>
      <c r="AFH69" s="1251"/>
      <c r="AFI69" s="1251"/>
      <c r="AFJ69" s="1251"/>
      <c r="AFK69" s="1251"/>
      <c r="AFL69" s="1251"/>
      <c r="AFM69" s="1251"/>
      <c r="AFN69" s="1251"/>
      <c r="AFO69" s="1251"/>
      <c r="AFP69" s="1251"/>
      <c r="AFQ69" s="1251"/>
      <c r="AFR69" s="1251"/>
      <c r="AFS69" s="1251"/>
      <c r="AFT69" s="1251"/>
      <c r="AFU69" s="1251"/>
      <c r="AFV69" s="1251"/>
      <c r="AFW69" s="1251"/>
      <c r="AFX69" s="1251"/>
      <c r="AFY69" s="1251"/>
      <c r="AFZ69" s="1251"/>
      <c r="AGA69" s="1251"/>
      <c r="AGB69" s="1251"/>
      <c r="AGC69" s="1251"/>
      <c r="AGD69" s="1251"/>
      <c r="AGE69" s="1251"/>
      <c r="AGF69" s="1251"/>
      <c r="AGG69" s="1251"/>
      <c r="AGH69" s="1251"/>
      <c r="AGI69" s="1251"/>
      <c r="AGJ69" s="1251"/>
      <c r="AGK69" s="1251"/>
      <c r="AGL69" s="1251"/>
      <c r="AGM69" s="1251"/>
      <c r="AGN69" s="1251"/>
      <c r="AGO69" s="1251"/>
      <c r="AGP69" s="1251"/>
      <c r="AGQ69" s="1251"/>
      <c r="AGR69" s="1251"/>
      <c r="AGS69" s="1251"/>
      <c r="AGT69" s="1251"/>
      <c r="AGU69" s="1251"/>
      <c r="AGV69" s="1251"/>
      <c r="AGW69" s="1251"/>
      <c r="AGX69" s="1251"/>
      <c r="AGY69" s="1251"/>
      <c r="AGZ69" s="1251"/>
      <c r="AHA69" s="1251"/>
      <c r="AHB69" s="1251"/>
      <c r="AHC69" s="1251"/>
      <c r="AHD69" s="1251"/>
      <c r="AHE69" s="1251"/>
      <c r="AHF69" s="1251"/>
      <c r="AHG69" s="1251"/>
      <c r="AHH69" s="1251"/>
      <c r="AHI69" s="1251"/>
      <c r="AHJ69" s="1251"/>
      <c r="AHK69" s="1251"/>
      <c r="AHL69" s="1251"/>
      <c r="AHM69" s="1251"/>
      <c r="AHN69" s="1251"/>
      <c r="AHO69" s="1251"/>
      <c r="AHP69" s="1251"/>
      <c r="AHQ69" s="1251"/>
      <c r="AHR69" s="1251"/>
      <c r="AHS69" s="1251"/>
      <c r="AHT69" s="1251"/>
      <c r="AHU69" s="1251"/>
      <c r="AHV69" s="1251"/>
      <c r="AHW69" s="1251"/>
      <c r="AHX69" s="1251"/>
      <c r="AHY69" s="1251"/>
      <c r="AHZ69" s="1251"/>
      <c r="AIA69" s="1251"/>
      <c r="AIB69" s="1251"/>
      <c r="AIC69" s="1251"/>
      <c r="AID69" s="1251"/>
      <c r="AIE69" s="1251"/>
      <c r="AIF69" s="1251"/>
      <c r="AIG69" s="1251"/>
      <c r="AIH69" s="1251"/>
      <c r="AII69" s="1251"/>
      <c r="AIJ69" s="1251"/>
      <c r="AIK69" s="1251"/>
      <c r="AIL69" s="1251"/>
      <c r="AIM69" s="1251"/>
      <c r="AIN69" s="1251"/>
      <c r="AIO69" s="1251"/>
      <c r="AIP69" s="1251"/>
      <c r="AIQ69" s="1251"/>
      <c r="AIR69" s="1251"/>
      <c r="AIS69" s="1251"/>
      <c r="AIT69" s="1251"/>
      <c r="AIU69" s="1251"/>
      <c r="AIV69" s="1251"/>
      <c r="AIW69" s="1251"/>
      <c r="AIX69" s="1251"/>
      <c r="AIY69" s="1251"/>
      <c r="AIZ69" s="1251"/>
      <c r="AJA69" s="1251"/>
      <c r="AJB69" s="1251"/>
      <c r="AJC69" s="1251"/>
      <c r="AJD69" s="1251"/>
      <c r="AJE69" s="1251"/>
      <c r="AJF69" s="1251"/>
      <c r="AJG69" s="1251"/>
      <c r="AJH69" s="1251"/>
      <c r="AJI69" s="1251"/>
      <c r="AJJ69" s="1251"/>
      <c r="AJK69" s="1251"/>
      <c r="AJL69" s="1251"/>
      <c r="AJM69" s="1251"/>
      <c r="AJN69" s="1251"/>
      <c r="AJO69" s="1251"/>
      <c r="AJP69" s="1251"/>
      <c r="AJQ69" s="1251"/>
      <c r="AJR69" s="1251"/>
      <c r="AJS69" s="1251"/>
      <c r="AJT69" s="1251"/>
      <c r="AJU69" s="1251"/>
      <c r="AJV69" s="1251"/>
      <c r="AJW69" s="1251"/>
      <c r="AJX69" s="1251"/>
      <c r="AJY69" s="1251"/>
      <c r="AJZ69" s="1251"/>
      <c r="AKA69" s="1251"/>
      <c r="AKB69" s="1251"/>
      <c r="AKC69" s="1251"/>
      <c r="AKD69" s="1251"/>
      <c r="AKE69" s="1251"/>
      <c r="AKF69" s="1251"/>
      <c r="AKG69" s="1251"/>
      <c r="AKH69" s="1251"/>
      <c r="AKI69" s="1251"/>
      <c r="AKJ69" s="1251"/>
      <c r="AKK69" s="1251"/>
      <c r="AKL69" s="1251"/>
      <c r="AKM69" s="1251"/>
      <c r="AKN69" s="1251"/>
      <c r="AKO69" s="1251"/>
      <c r="AKP69" s="1251"/>
      <c r="AKQ69" s="1251"/>
      <c r="AKR69" s="1251"/>
      <c r="AKS69" s="1251"/>
      <c r="AKT69" s="1251"/>
      <c r="AKU69" s="1251"/>
      <c r="AKV69" s="1251"/>
      <c r="AKW69" s="1251"/>
      <c r="AKX69" s="1251"/>
      <c r="AKY69" s="1251"/>
      <c r="AKZ69" s="1251"/>
      <c r="ALA69" s="1251"/>
      <c r="ALB69" s="1251"/>
      <c r="ALC69" s="1251"/>
      <c r="ALD69" s="1251"/>
      <c r="ALE69" s="1251"/>
      <c r="ALF69" s="1251"/>
      <c r="ALG69" s="1251"/>
      <c r="ALH69" s="1251"/>
      <c r="ALI69" s="1251"/>
      <c r="ALJ69" s="1251"/>
      <c r="ALK69" s="1251"/>
      <c r="ALL69" s="1251"/>
      <c r="ALM69" s="1251"/>
      <c r="ALN69" s="1251"/>
      <c r="ALO69" s="1251"/>
      <c r="ALP69" s="1251"/>
      <c r="ALQ69" s="1251"/>
      <c r="ALR69" s="1251"/>
      <c r="ALS69" s="1251"/>
      <c r="ALT69" s="1251"/>
      <c r="ALU69" s="1251"/>
      <c r="ALV69" s="1251"/>
      <c r="ALW69" s="1251"/>
      <c r="ALX69" s="1251"/>
      <c r="ALY69" s="1251"/>
      <c r="ALZ69" s="1251"/>
      <c r="AMA69" s="1251"/>
      <c r="AMB69" s="1251"/>
      <c r="AMC69" s="1251"/>
      <c r="AMD69" s="1251"/>
      <c r="AME69" s="1251"/>
      <c r="AMF69" s="1251"/>
      <c r="AMG69" s="1251"/>
      <c r="AMH69" s="1251"/>
      <c r="AMI69" s="1251"/>
      <c r="AMJ69" s="1251"/>
      <c r="AMK69" s="1251"/>
      <c r="AML69" s="1251"/>
      <c r="AMM69" s="1251"/>
      <c r="AMN69" s="1251"/>
      <c r="AMO69" s="1251"/>
      <c r="AMP69" s="1251"/>
      <c r="AMQ69" s="1251"/>
      <c r="AMR69" s="1251"/>
      <c r="AMS69" s="1251"/>
      <c r="AMT69" s="1251"/>
      <c r="AMU69" s="1251"/>
      <c r="AMV69" s="1251"/>
      <c r="AMW69" s="1251"/>
      <c r="AMX69" s="1251"/>
      <c r="AMY69" s="1251"/>
      <c r="AMZ69" s="1251"/>
      <c r="ANA69" s="1251"/>
      <c r="ANB69" s="1251"/>
      <c r="ANC69" s="1251"/>
      <c r="AND69" s="1251"/>
      <c r="ANE69" s="1251"/>
      <c r="ANF69" s="1251"/>
      <c r="ANG69" s="1251"/>
      <c r="ANH69" s="1251"/>
      <c r="ANI69" s="1251"/>
      <c r="ANJ69" s="1251"/>
      <c r="ANK69" s="1251"/>
      <c r="ANL69" s="1251"/>
      <c r="ANM69" s="1251"/>
      <c r="ANN69" s="1251"/>
      <c r="ANO69" s="1251"/>
      <c r="ANP69" s="1251"/>
      <c r="ANQ69" s="1251"/>
      <c r="ANR69" s="1251"/>
      <c r="ANS69" s="1251"/>
      <c r="ANT69" s="1251"/>
      <c r="ANU69" s="1251"/>
      <c r="ANV69" s="1251"/>
      <c r="ANW69" s="1251"/>
      <c r="ANX69" s="1251"/>
      <c r="ANY69" s="1251"/>
      <c r="ANZ69" s="1251"/>
      <c r="AOA69" s="1251"/>
      <c r="AOB69" s="1251"/>
      <c r="AOC69" s="1251"/>
      <c r="AOD69" s="1251"/>
      <c r="AOE69" s="1251"/>
      <c r="AOF69" s="1251"/>
      <c r="AOG69" s="1251"/>
      <c r="AOH69" s="1251"/>
      <c r="AOI69" s="1251"/>
      <c r="AOJ69" s="1251"/>
      <c r="AOK69" s="1251"/>
      <c r="AOL69" s="1251"/>
      <c r="AOM69" s="1251"/>
      <c r="AON69" s="1251"/>
      <c r="AOO69" s="1251"/>
      <c r="AOP69" s="1251"/>
      <c r="AOQ69" s="1251"/>
      <c r="AOR69" s="1251"/>
      <c r="AOS69" s="1251"/>
      <c r="AOT69" s="1251"/>
      <c r="AOU69" s="1251"/>
      <c r="AOV69" s="1251"/>
      <c r="AOW69" s="1251"/>
      <c r="AOX69" s="1251"/>
      <c r="AOY69" s="1251"/>
      <c r="AOZ69" s="1251"/>
      <c r="APA69" s="1251"/>
      <c r="APB69" s="1251"/>
      <c r="APC69" s="1251"/>
      <c r="APD69" s="1251"/>
      <c r="APE69" s="1251"/>
      <c r="APF69" s="1251"/>
      <c r="APG69" s="1251"/>
      <c r="APH69" s="1251"/>
      <c r="API69" s="1251"/>
      <c r="APJ69" s="1251"/>
      <c r="APK69" s="1251"/>
      <c r="APL69" s="1251"/>
      <c r="APM69" s="1251"/>
      <c r="APN69" s="1251"/>
      <c r="APO69" s="1251"/>
      <c r="APP69" s="1251"/>
      <c r="APQ69" s="1251"/>
      <c r="APR69" s="1251"/>
      <c r="APS69" s="1251"/>
      <c r="APT69" s="1251"/>
      <c r="APU69" s="1251"/>
      <c r="APV69" s="1251"/>
      <c r="APW69" s="1251"/>
      <c r="APX69" s="1251"/>
      <c r="APY69" s="1251"/>
      <c r="APZ69" s="1251"/>
      <c r="AQA69" s="1251"/>
      <c r="AQB69" s="1251"/>
      <c r="AQC69" s="1251"/>
      <c r="AQD69" s="1251"/>
      <c r="AQE69" s="1251"/>
      <c r="AQF69" s="1251"/>
      <c r="AQG69" s="1251"/>
      <c r="AQH69" s="1251"/>
      <c r="AQI69" s="1251"/>
      <c r="AQJ69" s="1251"/>
      <c r="AQK69" s="1251"/>
      <c r="AQL69" s="1251"/>
      <c r="AQM69" s="1251"/>
      <c r="AQN69" s="1251"/>
      <c r="AQO69" s="1251"/>
      <c r="AQP69" s="1251"/>
      <c r="AQQ69" s="1251"/>
      <c r="AQR69" s="1251"/>
      <c r="AQS69" s="1251"/>
      <c r="AQT69" s="1251"/>
      <c r="AQU69" s="1251"/>
      <c r="AQV69" s="1251"/>
      <c r="AQW69" s="1251"/>
      <c r="AQX69" s="1251"/>
      <c r="AQY69" s="1251"/>
      <c r="AQZ69" s="1251"/>
      <c r="ARA69" s="1251"/>
      <c r="ARB69" s="1251"/>
      <c r="ARC69" s="1251"/>
      <c r="ARD69" s="1251"/>
      <c r="ARE69" s="1251"/>
      <c r="ARF69" s="1251"/>
      <c r="ARG69" s="1251"/>
      <c r="ARH69" s="1251"/>
      <c r="ARI69" s="1251"/>
      <c r="ARJ69" s="1251"/>
      <c r="ARK69" s="1251"/>
      <c r="ARL69" s="1251"/>
      <c r="ARM69" s="1251"/>
      <c r="ARN69" s="1251"/>
      <c r="ARO69" s="1251"/>
      <c r="ARP69" s="1251"/>
      <c r="ARQ69" s="1251"/>
      <c r="ARR69" s="1251"/>
      <c r="ARS69" s="1251"/>
      <c r="ART69" s="1251"/>
      <c r="ARU69" s="1251"/>
      <c r="ARV69" s="1251"/>
      <c r="ARW69" s="1251"/>
      <c r="ARX69" s="1251"/>
      <c r="ARY69" s="1251"/>
      <c r="ARZ69" s="1251"/>
      <c r="ASA69" s="1251"/>
      <c r="ASB69" s="1251"/>
      <c r="ASC69" s="1251"/>
      <c r="ASD69" s="1251"/>
      <c r="ASE69" s="1251"/>
      <c r="ASF69" s="1251"/>
      <c r="ASG69" s="1251"/>
      <c r="ASH69" s="1251"/>
      <c r="ASI69" s="1251"/>
      <c r="ASJ69" s="1251"/>
      <c r="ASK69" s="1251"/>
      <c r="ASL69" s="1251"/>
      <c r="ASM69" s="1251"/>
      <c r="ASN69" s="1251"/>
      <c r="ASO69" s="1251"/>
      <c r="ASP69" s="1251"/>
      <c r="ASQ69" s="1251"/>
      <c r="ASR69" s="1251"/>
      <c r="ASS69" s="1251"/>
      <c r="AST69" s="1251"/>
      <c r="ASU69" s="1251"/>
      <c r="ASV69" s="1251"/>
      <c r="ASW69" s="1251"/>
      <c r="ASX69" s="1251"/>
      <c r="ASY69" s="1251"/>
      <c r="ASZ69" s="1251"/>
      <c r="ATA69" s="1251"/>
      <c r="ATB69" s="1251"/>
      <c r="ATC69" s="1251"/>
      <c r="ATD69" s="1251"/>
      <c r="ATE69" s="1251"/>
      <c r="ATF69" s="1251"/>
      <c r="ATG69" s="1251"/>
      <c r="ATH69" s="1251"/>
      <c r="ATI69" s="1251"/>
      <c r="ATJ69" s="1251"/>
      <c r="ATK69" s="1251"/>
      <c r="ATL69" s="1251"/>
      <c r="ATM69" s="1251"/>
      <c r="ATN69" s="1251"/>
      <c r="ATO69" s="1251"/>
      <c r="ATP69" s="1251"/>
      <c r="ATQ69" s="1251"/>
      <c r="ATR69" s="1251"/>
      <c r="ATS69" s="1251"/>
      <c r="ATT69" s="1251"/>
      <c r="ATU69" s="1251"/>
      <c r="ATV69" s="1251"/>
      <c r="ATW69" s="1251"/>
      <c r="ATX69" s="1251"/>
      <c r="ATY69" s="1251"/>
      <c r="ATZ69" s="1251"/>
      <c r="AUA69" s="1251"/>
      <c r="AUB69" s="1251"/>
      <c r="AUC69" s="1251"/>
      <c r="AUD69" s="1251"/>
      <c r="AUE69" s="1251"/>
      <c r="AUF69" s="1251"/>
      <c r="AUG69" s="1251"/>
      <c r="AUH69" s="1251"/>
      <c r="AUI69" s="1251"/>
      <c r="AUJ69" s="1251"/>
      <c r="AUK69" s="1251"/>
      <c r="AUL69" s="1251"/>
      <c r="AUM69" s="1251"/>
      <c r="AUN69" s="1251"/>
      <c r="AUO69" s="1251"/>
      <c r="AUP69" s="1251"/>
      <c r="AUQ69" s="1251"/>
      <c r="AUR69" s="1251"/>
      <c r="AUS69" s="1251"/>
      <c r="AUT69" s="1251"/>
      <c r="AUU69" s="1251"/>
      <c r="AUV69" s="1251"/>
      <c r="AUW69" s="1251"/>
      <c r="AUX69" s="1251"/>
      <c r="AUY69" s="1251"/>
      <c r="AUZ69" s="1251"/>
      <c r="AVA69" s="1251"/>
      <c r="AVB69" s="1251"/>
      <c r="AVC69" s="1251"/>
      <c r="AVD69" s="1251"/>
      <c r="AVE69" s="1251"/>
      <c r="AVF69" s="1251"/>
      <c r="AVG69" s="1251"/>
      <c r="AVH69" s="1251"/>
      <c r="AVI69" s="1251"/>
      <c r="AVJ69" s="1251"/>
      <c r="AVK69" s="1251"/>
      <c r="AVL69" s="1251"/>
      <c r="AVM69" s="1251"/>
      <c r="AVN69" s="1251"/>
      <c r="AVO69" s="1251"/>
      <c r="AVP69" s="1251"/>
      <c r="AVQ69" s="1251"/>
      <c r="AVR69" s="1251"/>
      <c r="AVS69" s="1251"/>
      <c r="AVT69" s="1251"/>
      <c r="AVU69" s="1251"/>
      <c r="AVV69" s="1251"/>
      <c r="AVW69" s="1251"/>
      <c r="AVX69" s="1251"/>
      <c r="AVY69" s="1251"/>
      <c r="AVZ69" s="1251"/>
      <c r="AWA69" s="1251"/>
      <c r="AWB69" s="1251"/>
      <c r="AWC69" s="1251"/>
      <c r="AWD69" s="1251"/>
      <c r="AWE69" s="1251"/>
      <c r="AWF69" s="1251"/>
      <c r="AWG69" s="1251"/>
      <c r="AWH69" s="1251"/>
      <c r="AWI69" s="1251"/>
      <c r="AWJ69" s="1251"/>
      <c r="AWK69" s="1251"/>
      <c r="AWL69" s="1251"/>
      <c r="AWM69" s="1251"/>
      <c r="AWN69" s="1251"/>
      <c r="AWO69" s="1251"/>
      <c r="AWP69" s="1251"/>
      <c r="AWQ69" s="1251"/>
      <c r="AWR69" s="1251"/>
      <c r="AWS69" s="1251"/>
      <c r="AWT69" s="1251"/>
      <c r="AWU69" s="1251"/>
      <c r="AWV69" s="1251"/>
      <c r="AWW69" s="1251"/>
      <c r="AWX69" s="1251"/>
      <c r="AWY69" s="1251"/>
      <c r="AWZ69" s="1251"/>
      <c r="AXA69" s="1251"/>
      <c r="AXB69" s="1251"/>
      <c r="AXC69" s="1251"/>
      <c r="AXD69" s="1251"/>
      <c r="AXE69" s="1251"/>
      <c r="AXF69" s="1251"/>
      <c r="AXG69" s="1251"/>
      <c r="AXH69" s="1251"/>
      <c r="AXI69" s="1251"/>
      <c r="AXJ69" s="1251"/>
      <c r="AXK69" s="1251"/>
      <c r="AXL69" s="1251"/>
      <c r="AXM69" s="1251"/>
      <c r="AXN69" s="1251"/>
      <c r="AXO69" s="1251"/>
      <c r="AXP69" s="1251"/>
      <c r="AXQ69" s="1251"/>
      <c r="AXR69" s="1251"/>
      <c r="AXS69" s="1251"/>
      <c r="AXT69" s="1251"/>
      <c r="AXU69" s="1251"/>
      <c r="AXV69" s="1251"/>
      <c r="AXW69" s="1251"/>
      <c r="AXX69" s="1251"/>
      <c r="AXY69" s="1251"/>
      <c r="AXZ69" s="1251"/>
      <c r="AYA69" s="1251"/>
      <c r="AYB69" s="1251"/>
      <c r="AYC69" s="1251"/>
      <c r="AYD69" s="1251"/>
      <c r="AYE69" s="1251"/>
      <c r="AYF69" s="1251"/>
      <c r="AYG69" s="1251"/>
      <c r="AYH69" s="1251"/>
      <c r="AYI69" s="1251"/>
      <c r="AYJ69" s="1251"/>
      <c r="AYK69" s="1251"/>
      <c r="AYL69" s="1251"/>
      <c r="AYM69" s="1251"/>
      <c r="AYN69" s="1251"/>
      <c r="AYO69" s="1251"/>
      <c r="AYP69" s="1251"/>
      <c r="AYQ69" s="1251"/>
      <c r="AYR69" s="1251"/>
      <c r="AYS69" s="1251"/>
      <c r="AYT69" s="1251"/>
      <c r="AYU69" s="1251"/>
      <c r="AYV69" s="1251"/>
      <c r="AYW69" s="1251"/>
      <c r="AYX69" s="1251"/>
      <c r="AYY69" s="1251"/>
      <c r="AYZ69" s="1251"/>
      <c r="AZA69" s="1251"/>
      <c r="AZB69" s="1251"/>
      <c r="AZC69" s="1251"/>
      <c r="AZD69" s="1251"/>
      <c r="AZE69" s="1251"/>
      <c r="AZF69" s="1251"/>
      <c r="AZG69" s="1251"/>
      <c r="AZH69" s="1251"/>
      <c r="AZI69" s="1251"/>
      <c r="AZJ69" s="1251"/>
      <c r="AZK69" s="1251"/>
      <c r="AZL69" s="1251"/>
      <c r="AZM69" s="1251"/>
      <c r="AZN69" s="1251"/>
      <c r="AZO69" s="1251"/>
      <c r="AZP69" s="1251"/>
      <c r="AZQ69" s="1251"/>
      <c r="AZR69" s="1251"/>
      <c r="AZS69" s="1251"/>
      <c r="AZT69" s="1251"/>
      <c r="AZU69" s="1251"/>
      <c r="AZV69" s="1251"/>
      <c r="AZW69" s="1251"/>
      <c r="AZX69" s="1251"/>
      <c r="AZY69" s="1251"/>
      <c r="AZZ69" s="1251"/>
      <c r="BAA69" s="1251"/>
      <c r="BAB69" s="1251"/>
      <c r="BAC69" s="1251"/>
      <c r="BAD69" s="1251"/>
      <c r="BAE69" s="1251"/>
      <c r="BAF69" s="1251"/>
      <c r="BAG69" s="1251"/>
      <c r="BAH69" s="1251"/>
      <c r="BAI69" s="1251"/>
      <c r="BAJ69" s="1251"/>
      <c r="BAK69" s="1251"/>
      <c r="BAL69" s="1251"/>
      <c r="BAM69" s="1251"/>
      <c r="BAN69" s="1251"/>
      <c r="BAO69" s="1251"/>
      <c r="BAP69" s="1251"/>
      <c r="BAQ69" s="1251"/>
      <c r="BAR69" s="1251"/>
      <c r="BAS69" s="1251"/>
      <c r="BAT69" s="1251"/>
      <c r="BAU69" s="1251"/>
      <c r="BAV69" s="1251"/>
      <c r="BAW69" s="1251"/>
      <c r="BAX69" s="1251"/>
      <c r="BAY69" s="1251"/>
      <c r="BAZ69" s="1251"/>
      <c r="BBA69" s="1251"/>
      <c r="BBB69" s="1251"/>
      <c r="BBC69" s="1251"/>
      <c r="BBD69" s="1251"/>
      <c r="BBE69" s="1251"/>
      <c r="BBF69" s="1251"/>
      <c r="BBG69" s="1251"/>
      <c r="BBH69" s="1251"/>
      <c r="BBI69" s="1251"/>
      <c r="BBJ69" s="1251"/>
      <c r="BBK69" s="1251"/>
      <c r="BBL69" s="1251"/>
      <c r="BBM69" s="1251"/>
      <c r="BBN69" s="1251"/>
      <c r="BBO69" s="1251"/>
      <c r="BBP69" s="1251"/>
      <c r="BBQ69" s="1251"/>
      <c r="BBR69" s="1251"/>
      <c r="BBS69" s="1251"/>
      <c r="BBT69" s="1251"/>
      <c r="BBU69" s="1251"/>
      <c r="BBV69" s="1251"/>
      <c r="BBW69" s="1251"/>
      <c r="BBX69" s="1251"/>
      <c r="BBY69" s="1251"/>
      <c r="BBZ69" s="1251"/>
      <c r="BCA69" s="1251"/>
      <c r="BCB69" s="1251"/>
      <c r="BCC69" s="1251"/>
      <c r="BCD69" s="1251"/>
      <c r="BCE69" s="1251"/>
      <c r="BCF69" s="1251"/>
      <c r="BCG69" s="1251"/>
      <c r="BCH69" s="1251"/>
      <c r="BCI69" s="1251"/>
      <c r="BCJ69" s="1251"/>
      <c r="BCK69" s="1251"/>
      <c r="BCL69" s="1251"/>
      <c r="BCM69" s="1251"/>
      <c r="BCN69" s="1251"/>
      <c r="BCO69" s="1251"/>
      <c r="BCP69" s="1251"/>
      <c r="BCQ69" s="1251"/>
      <c r="BCR69" s="1251"/>
      <c r="BCS69" s="1251"/>
      <c r="BCT69" s="1251"/>
      <c r="BCU69" s="1251"/>
      <c r="BCV69" s="1251"/>
      <c r="BCW69" s="1251"/>
      <c r="BCX69" s="1251"/>
      <c r="BCY69" s="1251"/>
      <c r="BCZ69" s="1251"/>
      <c r="BDA69" s="1251"/>
      <c r="BDB69" s="1251"/>
      <c r="BDC69" s="1251"/>
      <c r="BDD69" s="1251"/>
      <c r="BDE69" s="1251"/>
      <c r="BDF69" s="1251"/>
      <c r="BDG69" s="1251"/>
      <c r="BDH69" s="1251"/>
      <c r="BDI69" s="1251"/>
      <c r="BDJ69" s="1251"/>
      <c r="BDK69" s="1251"/>
      <c r="BDL69" s="1251"/>
      <c r="BDM69" s="1251"/>
      <c r="BDN69" s="1251"/>
      <c r="BDO69" s="1251"/>
      <c r="BDP69" s="1251"/>
      <c r="BDQ69" s="1251"/>
      <c r="BDR69" s="1251"/>
      <c r="BDS69" s="1251"/>
      <c r="BDT69" s="1251"/>
      <c r="BDU69" s="1251"/>
      <c r="BDV69" s="1251"/>
      <c r="BDW69" s="1251"/>
      <c r="BDX69" s="1251"/>
      <c r="BDY69" s="1251"/>
      <c r="BDZ69" s="1251"/>
      <c r="BEA69" s="1251"/>
      <c r="BEB69" s="1251"/>
      <c r="BEC69" s="1251"/>
      <c r="BED69" s="1251"/>
      <c r="BEE69" s="1251"/>
      <c r="BEF69" s="1251"/>
      <c r="BEG69" s="1251"/>
      <c r="BEH69" s="1251"/>
      <c r="BEI69" s="1251"/>
      <c r="BEJ69" s="1251"/>
      <c r="BEK69" s="1251"/>
      <c r="BEL69" s="1251"/>
      <c r="BEM69" s="1251"/>
      <c r="BEN69" s="1251"/>
      <c r="BEO69" s="1251"/>
      <c r="BEP69" s="1251"/>
      <c r="BEQ69" s="1251"/>
      <c r="BER69" s="1251"/>
      <c r="BES69" s="1251"/>
      <c r="BET69" s="1251"/>
      <c r="BEU69" s="1251"/>
      <c r="BEV69" s="1251"/>
      <c r="BEW69" s="1251"/>
      <c r="BEX69" s="1251"/>
      <c r="BEY69" s="1251"/>
      <c r="BEZ69" s="1251"/>
      <c r="BFA69" s="1251"/>
      <c r="BFB69" s="1251"/>
      <c r="BFC69" s="1251"/>
      <c r="BFD69" s="1251"/>
      <c r="BFE69" s="1251"/>
      <c r="BFF69" s="1251"/>
      <c r="BFG69" s="1251"/>
      <c r="BFH69" s="1251"/>
      <c r="BFI69" s="1251"/>
      <c r="BFJ69" s="1251"/>
      <c r="BFK69" s="1251"/>
      <c r="BFL69" s="1251"/>
      <c r="BFM69" s="1251"/>
      <c r="BFN69" s="1251"/>
      <c r="BFO69" s="1251"/>
      <c r="BFP69" s="1251"/>
      <c r="BFQ69" s="1251"/>
      <c r="BFR69" s="1251"/>
      <c r="BFS69" s="1251"/>
      <c r="BFT69" s="1251"/>
      <c r="BFU69" s="1251"/>
      <c r="BFV69" s="1251"/>
      <c r="BFW69" s="1251"/>
      <c r="BFX69" s="1251"/>
      <c r="BFY69" s="1251"/>
      <c r="BFZ69" s="1251"/>
      <c r="BGA69" s="1251"/>
      <c r="BGB69" s="1251"/>
      <c r="BGC69" s="1251"/>
      <c r="BGD69" s="1251"/>
      <c r="BGE69" s="1251"/>
      <c r="BGF69" s="1251"/>
      <c r="BGG69" s="1251"/>
      <c r="BGH69" s="1251"/>
      <c r="BGI69" s="1251"/>
      <c r="BGJ69" s="1251"/>
      <c r="BGK69" s="1251"/>
      <c r="BGL69" s="1251"/>
      <c r="BGM69" s="1251"/>
      <c r="BGN69" s="1251"/>
      <c r="BGO69" s="1251"/>
      <c r="BGP69" s="1251"/>
      <c r="BGQ69" s="1251"/>
      <c r="BGR69" s="1251"/>
      <c r="BGS69" s="1251"/>
      <c r="BGT69" s="1251"/>
      <c r="BGU69" s="1251"/>
      <c r="BGV69" s="1251"/>
      <c r="BGW69" s="1251"/>
      <c r="BGX69" s="1251"/>
      <c r="BGY69" s="1251"/>
      <c r="BGZ69" s="1251"/>
      <c r="BHA69" s="1251"/>
      <c r="BHB69" s="1251"/>
      <c r="BHC69" s="1251"/>
      <c r="BHD69" s="1251"/>
      <c r="BHE69" s="1251"/>
      <c r="BHF69" s="1251"/>
      <c r="BHG69" s="1251"/>
      <c r="BHH69" s="1251"/>
      <c r="BHI69" s="1251"/>
      <c r="BHJ69" s="1251"/>
      <c r="BHK69" s="1251"/>
      <c r="BHL69" s="1251"/>
      <c r="BHM69" s="1251"/>
      <c r="BHN69" s="1251"/>
      <c r="BHO69" s="1251"/>
      <c r="BHP69" s="1251"/>
      <c r="BHQ69" s="1251"/>
      <c r="BHR69" s="1251"/>
      <c r="BHS69" s="1251"/>
      <c r="BHT69" s="1251"/>
      <c r="BHU69" s="1251"/>
      <c r="BHV69" s="1251"/>
      <c r="BHW69" s="1251"/>
      <c r="BHX69" s="1251"/>
      <c r="BHY69" s="1251"/>
      <c r="BHZ69" s="1251"/>
      <c r="BIA69" s="1251"/>
      <c r="BIB69" s="1251"/>
      <c r="BIC69" s="1251"/>
      <c r="BID69" s="1251"/>
      <c r="BIE69" s="1251"/>
      <c r="BIF69" s="1251"/>
      <c r="BIG69" s="1251"/>
      <c r="BIH69" s="1251"/>
      <c r="BII69" s="1251"/>
      <c r="BIJ69" s="1251"/>
      <c r="BIK69" s="1251"/>
      <c r="BIL69" s="1251"/>
      <c r="BIM69" s="1251"/>
      <c r="BIN69" s="1251"/>
      <c r="BIO69" s="1251"/>
      <c r="BIP69" s="1251"/>
      <c r="BIQ69" s="1251"/>
      <c r="BIR69" s="1251"/>
      <c r="BIS69" s="1251"/>
      <c r="BIT69" s="1251"/>
      <c r="BIU69" s="1251"/>
      <c r="BIV69" s="1251"/>
      <c r="BIW69" s="1251"/>
      <c r="BIX69" s="1251"/>
      <c r="BIY69" s="1251"/>
      <c r="BIZ69" s="1251"/>
      <c r="BJA69" s="1251"/>
      <c r="BJB69" s="1251"/>
      <c r="BJC69" s="1251"/>
      <c r="BJD69" s="1251"/>
      <c r="BJE69" s="1251"/>
      <c r="BJF69" s="1251"/>
      <c r="BJG69" s="1251"/>
      <c r="BJH69" s="1251"/>
      <c r="BJI69" s="1251"/>
      <c r="BJJ69" s="1251"/>
      <c r="BJK69" s="1251"/>
      <c r="BJL69" s="1251"/>
      <c r="BJM69" s="1251"/>
      <c r="BJN69" s="1251"/>
      <c r="BJO69" s="1251"/>
      <c r="BJP69" s="1251"/>
      <c r="BJQ69" s="1251"/>
      <c r="BJR69" s="1251"/>
      <c r="BJS69" s="1251"/>
      <c r="BJT69" s="1251"/>
      <c r="BJU69" s="1251"/>
      <c r="BJV69" s="1251"/>
      <c r="BJW69" s="1251"/>
      <c r="BJX69" s="1251"/>
      <c r="BJY69" s="1251"/>
      <c r="BJZ69" s="1251"/>
      <c r="BKA69" s="1251"/>
      <c r="BKB69" s="1251"/>
      <c r="BKC69" s="1251"/>
      <c r="BKD69" s="1251"/>
      <c r="BKE69" s="1251"/>
      <c r="BKF69" s="1251"/>
      <c r="BKG69" s="1251"/>
      <c r="BKH69" s="1251"/>
      <c r="BKI69" s="1251"/>
      <c r="BKJ69" s="1251"/>
      <c r="BKK69" s="1251"/>
      <c r="BKL69" s="1251"/>
      <c r="BKM69" s="1251"/>
      <c r="BKN69" s="1251"/>
      <c r="BKO69" s="1251"/>
      <c r="BKP69" s="1251"/>
      <c r="BKQ69" s="1251"/>
      <c r="BKR69" s="1251"/>
      <c r="BKS69" s="1251"/>
      <c r="BKT69" s="1251"/>
      <c r="BKU69" s="1251"/>
      <c r="BKV69" s="1251"/>
      <c r="BKW69" s="1251"/>
      <c r="BKX69" s="1251"/>
      <c r="BKY69" s="1251"/>
      <c r="BKZ69" s="1251"/>
      <c r="BLA69" s="1251"/>
      <c r="BLB69" s="1251"/>
      <c r="BLC69" s="1251"/>
      <c r="BLD69" s="1251"/>
      <c r="BLE69" s="1251"/>
      <c r="BLF69" s="1251"/>
      <c r="BLG69" s="1251"/>
      <c r="BLH69" s="1251"/>
      <c r="BLI69" s="1251"/>
      <c r="BLJ69" s="1251"/>
      <c r="BLK69" s="1251"/>
      <c r="BLL69" s="1251"/>
      <c r="BLM69" s="1251"/>
      <c r="BLN69" s="1251"/>
      <c r="BLO69" s="1251"/>
      <c r="BLP69" s="1251"/>
      <c r="BLQ69" s="1251"/>
      <c r="BLR69" s="1251"/>
      <c r="BLS69" s="1251"/>
      <c r="BLT69" s="1251"/>
      <c r="BLU69" s="1251"/>
      <c r="BLV69" s="1251"/>
      <c r="BLW69" s="1251"/>
      <c r="BLX69" s="1251"/>
      <c r="BLY69" s="1251"/>
      <c r="BLZ69" s="1251"/>
      <c r="BMA69" s="1251"/>
      <c r="BMB69" s="1251"/>
      <c r="BMC69" s="1251"/>
      <c r="BMD69" s="1251"/>
      <c r="BME69" s="1251"/>
      <c r="BMF69" s="1251"/>
      <c r="BMG69" s="1251"/>
      <c r="BMH69" s="1251"/>
      <c r="BMI69" s="1251"/>
      <c r="BMJ69" s="1251"/>
      <c r="BMK69" s="1251"/>
      <c r="BML69" s="1251"/>
      <c r="BMM69" s="1251"/>
      <c r="BMN69" s="1251"/>
      <c r="BMO69" s="1251"/>
      <c r="BMP69" s="1251"/>
      <c r="BMQ69" s="1251"/>
      <c r="BMR69" s="1251"/>
      <c r="BMS69" s="1251"/>
      <c r="BMT69" s="1251"/>
      <c r="BMU69" s="1251"/>
      <c r="BMV69" s="1251"/>
      <c r="BMW69" s="1251"/>
      <c r="BMX69" s="1251"/>
      <c r="BMY69" s="1251"/>
      <c r="BMZ69" s="1251"/>
      <c r="BNA69" s="1251"/>
      <c r="BNB69" s="1251"/>
      <c r="BNC69" s="1251"/>
      <c r="BND69" s="1251"/>
      <c r="BNE69" s="1251"/>
      <c r="BNF69" s="1251"/>
      <c r="BNG69" s="1251"/>
      <c r="BNH69" s="1251"/>
      <c r="BNI69" s="1251"/>
      <c r="BNJ69" s="1251"/>
      <c r="BNK69" s="1251"/>
      <c r="BNL69" s="1251"/>
      <c r="BNM69" s="1251"/>
      <c r="BNN69" s="1251"/>
      <c r="BNO69" s="1251"/>
      <c r="BNP69" s="1251"/>
      <c r="BNQ69" s="1251"/>
      <c r="BNR69" s="1251"/>
      <c r="BNS69" s="1251"/>
      <c r="BNT69" s="1251"/>
      <c r="BNU69" s="1251"/>
      <c r="BNV69" s="1251"/>
      <c r="BNW69" s="1251"/>
      <c r="BNX69" s="1251"/>
      <c r="BNY69" s="1251"/>
      <c r="BNZ69" s="1251"/>
      <c r="BOA69" s="1251"/>
      <c r="BOB69" s="1251"/>
      <c r="BOC69" s="1251"/>
      <c r="BOD69" s="1251"/>
      <c r="BOE69" s="1251"/>
      <c r="BOF69" s="1251"/>
      <c r="BOG69" s="1251"/>
      <c r="BOH69" s="1251"/>
      <c r="BOI69" s="1251"/>
      <c r="BOJ69" s="1251"/>
      <c r="BOK69" s="1251"/>
      <c r="BOL69" s="1251"/>
      <c r="BOM69" s="1251"/>
      <c r="BON69" s="1251"/>
      <c r="BOO69" s="1251"/>
      <c r="BOP69" s="1251"/>
      <c r="BOQ69" s="1251"/>
      <c r="BOR69" s="1251"/>
      <c r="BOS69" s="1251"/>
      <c r="BOT69" s="1251"/>
      <c r="BOU69" s="1251"/>
      <c r="BOV69" s="1251"/>
      <c r="BOW69" s="1251"/>
      <c r="BOX69" s="1251"/>
      <c r="BOY69" s="1251"/>
      <c r="BOZ69" s="1251"/>
      <c r="BPA69" s="1251"/>
      <c r="BPB69" s="1251"/>
      <c r="BPC69" s="1251"/>
      <c r="BPD69" s="1251"/>
      <c r="BPE69" s="1251"/>
      <c r="BPF69" s="1251"/>
      <c r="BPG69" s="1251"/>
      <c r="BPH69" s="1251"/>
      <c r="BPI69" s="1251"/>
      <c r="BPJ69" s="1251"/>
      <c r="BPK69" s="1251"/>
      <c r="BPL69" s="1251"/>
      <c r="BPM69" s="1251"/>
      <c r="BPN69" s="1251"/>
      <c r="BPO69" s="1251"/>
      <c r="BPP69" s="1251"/>
      <c r="BPQ69" s="1251"/>
      <c r="BPR69" s="1251"/>
      <c r="BPS69" s="1251"/>
      <c r="BPT69" s="1251"/>
      <c r="BPU69" s="1251"/>
      <c r="BPV69" s="1251"/>
      <c r="BPW69" s="1251"/>
      <c r="BPX69" s="1251"/>
      <c r="BPY69" s="1251"/>
      <c r="BPZ69" s="1251"/>
      <c r="BQA69" s="1251"/>
      <c r="BQB69" s="1251"/>
      <c r="BQC69" s="1251"/>
      <c r="BQD69" s="1251"/>
      <c r="BQE69" s="1251"/>
      <c r="BQF69" s="1251"/>
      <c r="BQG69" s="1251"/>
      <c r="BQH69" s="1251"/>
      <c r="BQI69" s="1251"/>
      <c r="BQJ69" s="1251"/>
      <c r="BQK69" s="1251"/>
      <c r="BQL69" s="1251"/>
      <c r="BQM69" s="1251"/>
      <c r="BQN69" s="1251"/>
      <c r="BQO69" s="1251"/>
      <c r="BQP69" s="1251"/>
      <c r="BQQ69" s="1251"/>
      <c r="BQR69" s="1251"/>
      <c r="BQS69" s="1251"/>
      <c r="BQT69" s="1251"/>
      <c r="BQU69" s="1251"/>
      <c r="BQV69" s="1251"/>
      <c r="BQW69" s="1251"/>
      <c r="BQX69" s="1251"/>
      <c r="BQY69" s="1251"/>
      <c r="BQZ69" s="1251"/>
      <c r="BRA69" s="1251"/>
      <c r="BRB69" s="1251"/>
      <c r="BRC69" s="1251"/>
      <c r="BRD69" s="1251"/>
      <c r="BRE69" s="1251"/>
      <c r="BRF69" s="1251"/>
      <c r="BRG69" s="1251"/>
      <c r="BRH69" s="1251"/>
      <c r="BRI69" s="1251"/>
      <c r="BRJ69" s="1251"/>
      <c r="BRK69" s="1251"/>
      <c r="BRL69" s="1251"/>
      <c r="BRM69" s="1251"/>
      <c r="BRN69" s="1251"/>
      <c r="BRO69" s="1251"/>
      <c r="BRP69" s="1251"/>
      <c r="BRQ69" s="1251"/>
      <c r="BRR69" s="1251"/>
      <c r="BRS69" s="1251"/>
      <c r="BRT69" s="1251"/>
      <c r="BRU69" s="1251"/>
      <c r="BRV69" s="1251"/>
      <c r="BRW69" s="1251"/>
      <c r="BRX69" s="1251"/>
      <c r="BRY69" s="1251"/>
      <c r="BRZ69" s="1251"/>
      <c r="BSA69" s="1251"/>
      <c r="BSB69" s="1251"/>
      <c r="BSC69" s="1251"/>
      <c r="BSD69" s="1251"/>
      <c r="BSE69" s="1251"/>
      <c r="BSF69" s="1251"/>
      <c r="BSG69" s="1251"/>
      <c r="BSH69" s="1251"/>
      <c r="BSI69" s="1251"/>
      <c r="BSJ69" s="1251"/>
      <c r="BSK69" s="1251"/>
      <c r="BSL69" s="1251"/>
      <c r="BSM69" s="1251"/>
      <c r="BSN69" s="1251"/>
      <c r="BSO69" s="1251"/>
      <c r="BSP69" s="1251"/>
      <c r="BSQ69" s="1251"/>
      <c r="BSR69" s="1251"/>
      <c r="BSS69" s="1251"/>
      <c r="BST69" s="1251"/>
      <c r="BSU69" s="1251"/>
      <c r="BSV69" s="1251"/>
      <c r="BSW69" s="1251"/>
      <c r="BSX69" s="1251"/>
      <c r="BSY69" s="1251"/>
      <c r="BSZ69" s="1251"/>
      <c r="BTA69" s="1251"/>
      <c r="BTB69" s="1251"/>
      <c r="BTC69" s="1251"/>
      <c r="BTD69" s="1251"/>
      <c r="BTE69" s="1251"/>
      <c r="BTF69" s="1251"/>
      <c r="BTG69" s="1251"/>
      <c r="BTH69" s="1251"/>
      <c r="BTI69" s="1251"/>
    </row>
    <row r="70" spans="1:1881" s="1261" customFormat="1" ht="78.75" hidden="1" customHeight="1" thickBot="1" x14ac:dyDescent="0.35">
      <c r="A70" s="1265">
        <v>645</v>
      </c>
      <c r="B70" s="804" t="s">
        <v>652</v>
      </c>
      <c r="C70" s="804" t="s">
        <v>149</v>
      </c>
      <c r="D70" s="1266" t="s">
        <v>684</v>
      </c>
      <c r="E70" s="1249" t="e">
        <f>HLOOKUP($D$2,'2020 Data(H)'!$C$1:$CZ$426,304,FALSE)</f>
        <v>#N/A</v>
      </c>
      <c r="F70" s="1263">
        <v>0</v>
      </c>
      <c r="G70" s="727">
        <f>IF(F70&lt;0,"Note: Number is normally positive.",)</f>
        <v>0</v>
      </c>
      <c r="H70" s="728"/>
      <c r="I70" s="1264"/>
      <c r="J70" s="1252"/>
      <c r="K70" s="1251"/>
      <c r="L70" s="701"/>
      <c r="M70" s="1251"/>
      <c r="N70" s="1253"/>
      <c r="O70" s="1251"/>
      <c r="P70" s="1251"/>
      <c r="Q70" s="1251"/>
      <c r="R70" s="1251"/>
      <c r="S70" s="1251"/>
      <c r="T70" s="1251"/>
      <c r="U70" s="1251"/>
      <c r="V70" s="1251"/>
      <c r="W70" s="1251"/>
      <c r="X70" s="1251"/>
      <c r="Y70" s="1251"/>
      <c r="Z70" s="1265"/>
      <c r="AA70" s="1265"/>
      <c r="AB70" s="1265"/>
      <c r="AC70" s="1265"/>
      <c r="AD70" s="1265"/>
      <c r="AE70" s="1265"/>
      <c r="AF70" s="1265"/>
      <c r="AG70" s="1265"/>
      <c r="AH70" s="1265"/>
      <c r="AI70" s="1265"/>
      <c r="AJ70" s="1265"/>
      <c r="AK70" s="1265"/>
      <c r="AL70" s="1265"/>
      <c r="AM70" s="1265"/>
      <c r="AN70" s="1265"/>
      <c r="AO70" s="1265"/>
      <c r="AP70" s="1265"/>
      <c r="AQ70" s="1265"/>
      <c r="AR70" s="1265"/>
      <c r="AS70" s="1251"/>
      <c r="AT70" s="1251"/>
      <c r="AU70" s="1251"/>
      <c r="AV70" s="1251"/>
      <c r="AW70" s="1251"/>
      <c r="AX70" s="1251"/>
      <c r="AY70" s="1251"/>
      <c r="AZ70" s="1251"/>
      <c r="BA70" s="1251"/>
      <c r="BB70" s="1251"/>
      <c r="BC70" s="1251"/>
      <c r="BD70" s="1251"/>
      <c r="BE70" s="1251"/>
      <c r="BF70" s="1251"/>
      <c r="BG70" s="1251"/>
      <c r="BH70" s="1251"/>
      <c r="BI70" s="1251"/>
      <c r="BJ70" s="1251"/>
      <c r="BK70" s="1251"/>
      <c r="BL70" s="1251"/>
      <c r="BM70" s="1251"/>
      <c r="BN70" s="1251"/>
      <c r="BO70" s="1251"/>
      <c r="BP70" s="1251"/>
      <c r="BQ70" s="1251"/>
      <c r="BR70" s="1251"/>
      <c r="BS70" s="1251"/>
      <c r="BT70" s="1251"/>
      <c r="BU70" s="1251"/>
      <c r="BV70" s="1251"/>
      <c r="BW70" s="1251"/>
      <c r="BX70" s="1251"/>
      <c r="BY70" s="1251"/>
      <c r="BZ70" s="1251"/>
      <c r="CA70" s="1251"/>
      <c r="CB70" s="1251"/>
      <c r="CC70" s="1251"/>
      <c r="CD70" s="1251"/>
      <c r="CE70" s="1251"/>
      <c r="CF70" s="1251"/>
      <c r="CG70" s="1251"/>
      <c r="CH70" s="1251"/>
      <c r="CI70" s="1251"/>
      <c r="CJ70" s="1251"/>
      <c r="CK70" s="1251"/>
      <c r="CL70" s="1251"/>
      <c r="CM70" s="1251"/>
      <c r="CN70" s="1251"/>
      <c r="CO70" s="1251"/>
      <c r="CP70" s="1251"/>
      <c r="CQ70" s="1251"/>
      <c r="CR70" s="1251"/>
      <c r="CS70" s="1251"/>
      <c r="CT70" s="1251"/>
      <c r="CU70" s="1251"/>
      <c r="CV70" s="1251"/>
      <c r="CW70" s="1251"/>
      <c r="CX70" s="1251"/>
      <c r="CY70" s="1251"/>
      <c r="CZ70" s="1251"/>
      <c r="DA70" s="1251"/>
      <c r="DB70" s="1251"/>
      <c r="DC70" s="1251"/>
      <c r="DD70" s="1251"/>
      <c r="DE70" s="1251"/>
      <c r="DF70" s="1251"/>
      <c r="DG70" s="1251"/>
      <c r="DH70" s="1251"/>
      <c r="DI70" s="1251"/>
      <c r="DJ70" s="1251"/>
      <c r="DK70" s="1251"/>
      <c r="DL70" s="1251"/>
      <c r="DM70" s="1251"/>
      <c r="DN70" s="1251"/>
      <c r="DO70" s="1251"/>
      <c r="DP70" s="1251"/>
      <c r="DQ70" s="1251"/>
      <c r="DR70" s="1251"/>
      <c r="DS70" s="1251"/>
      <c r="DT70" s="1251"/>
      <c r="DU70" s="1251"/>
      <c r="DV70" s="1251"/>
      <c r="DW70" s="1251"/>
      <c r="DX70" s="1251"/>
      <c r="DY70" s="1251"/>
      <c r="DZ70" s="1251"/>
      <c r="EA70" s="1251"/>
      <c r="EB70" s="1251"/>
      <c r="EC70" s="1251"/>
      <c r="ED70" s="1251"/>
      <c r="EE70" s="1251"/>
      <c r="EF70" s="1251"/>
      <c r="EG70" s="1251"/>
      <c r="EH70" s="1251"/>
      <c r="EI70" s="1251"/>
      <c r="EJ70" s="1251"/>
      <c r="EK70" s="1251"/>
      <c r="EL70" s="1251"/>
      <c r="EM70" s="1251"/>
      <c r="EN70" s="1251"/>
      <c r="EO70" s="1251"/>
      <c r="EP70" s="1251"/>
      <c r="EQ70" s="1251"/>
      <c r="ER70" s="1251"/>
      <c r="ES70" s="1251"/>
      <c r="ET70" s="1251"/>
      <c r="EU70" s="1251"/>
      <c r="EV70" s="1251"/>
      <c r="EW70" s="1251"/>
      <c r="EX70" s="1251"/>
      <c r="EY70" s="1251"/>
      <c r="EZ70" s="1251"/>
      <c r="FA70" s="1251"/>
      <c r="FB70" s="1251"/>
      <c r="FC70" s="1251"/>
      <c r="FD70" s="1251"/>
      <c r="FE70" s="1251"/>
      <c r="FF70" s="1251"/>
      <c r="FG70" s="1251"/>
      <c r="FH70" s="1251"/>
      <c r="FI70" s="1251"/>
      <c r="FJ70" s="1251"/>
      <c r="FK70" s="1251"/>
      <c r="FL70" s="1251"/>
      <c r="FM70" s="1251"/>
      <c r="FN70" s="1251"/>
      <c r="FO70" s="1251"/>
      <c r="FP70" s="1251"/>
      <c r="FQ70" s="1251"/>
      <c r="FR70" s="1251"/>
      <c r="FS70" s="1251"/>
      <c r="FT70" s="1251"/>
      <c r="FU70" s="1251"/>
      <c r="FV70" s="1251"/>
      <c r="FW70" s="1251"/>
      <c r="FX70" s="1251"/>
      <c r="FY70" s="1251"/>
      <c r="FZ70" s="1251"/>
      <c r="GA70" s="1251"/>
      <c r="GB70" s="1251"/>
      <c r="GC70" s="1251"/>
      <c r="GD70" s="1251"/>
      <c r="GE70" s="1251"/>
      <c r="GF70" s="1251"/>
      <c r="GG70" s="1251"/>
      <c r="GH70" s="1251"/>
      <c r="GI70" s="1251"/>
      <c r="GJ70" s="1251"/>
      <c r="GK70" s="1251"/>
      <c r="GL70" s="1251"/>
      <c r="GM70" s="1251"/>
      <c r="GN70" s="1251"/>
      <c r="GO70" s="1251"/>
      <c r="GP70" s="1251"/>
      <c r="GQ70" s="1251"/>
      <c r="GR70" s="1251"/>
      <c r="GS70" s="1251"/>
      <c r="GT70" s="1251"/>
      <c r="GU70" s="1251"/>
      <c r="GV70" s="1251"/>
      <c r="GW70" s="1251"/>
      <c r="GX70" s="1251"/>
      <c r="GY70" s="1251"/>
      <c r="GZ70" s="1251"/>
      <c r="HA70" s="1251"/>
      <c r="HB70" s="1251"/>
      <c r="HC70" s="1251"/>
      <c r="HD70" s="1251"/>
      <c r="HE70" s="1251"/>
      <c r="HF70" s="1251"/>
      <c r="HG70" s="1251"/>
      <c r="HH70" s="1251"/>
      <c r="HI70" s="1251"/>
      <c r="HJ70" s="1251"/>
      <c r="HK70" s="1251"/>
      <c r="HL70" s="1251"/>
      <c r="HM70" s="1251"/>
      <c r="HN70" s="1251"/>
      <c r="HO70" s="1251"/>
      <c r="HP70" s="1251"/>
      <c r="HQ70" s="1251"/>
      <c r="HR70" s="1251"/>
      <c r="HS70" s="1251"/>
      <c r="HT70" s="1251"/>
      <c r="HU70" s="1251"/>
      <c r="HV70" s="1251"/>
      <c r="HW70" s="1251"/>
      <c r="HX70" s="1251"/>
      <c r="HY70" s="1251"/>
      <c r="HZ70" s="1251"/>
      <c r="IA70" s="1251"/>
      <c r="IB70" s="1251"/>
      <c r="IC70" s="1251"/>
      <c r="ID70" s="1251"/>
      <c r="IE70" s="1251"/>
      <c r="IF70" s="1251"/>
      <c r="IG70" s="1251"/>
      <c r="IH70" s="1251"/>
      <c r="II70" s="1251"/>
      <c r="IJ70" s="1251"/>
      <c r="IK70" s="1251"/>
      <c r="IL70" s="1251"/>
      <c r="IM70" s="1251"/>
      <c r="IN70" s="1251"/>
      <c r="IO70" s="1251"/>
      <c r="IP70" s="1251"/>
      <c r="IQ70" s="1251"/>
      <c r="IR70" s="1251"/>
      <c r="IS70" s="1251"/>
      <c r="IT70" s="1251"/>
      <c r="IU70" s="1251"/>
      <c r="IV70" s="1251"/>
      <c r="IW70" s="1251"/>
      <c r="IX70" s="1251"/>
      <c r="IY70" s="1251"/>
      <c r="IZ70" s="1251"/>
      <c r="JA70" s="1251"/>
      <c r="JB70" s="1251"/>
      <c r="JC70" s="1251"/>
      <c r="JD70" s="1251"/>
      <c r="JE70" s="1251"/>
      <c r="JF70" s="1251"/>
      <c r="JG70" s="1251"/>
      <c r="JH70" s="1251"/>
      <c r="JI70" s="1251"/>
      <c r="JJ70" s="1251"/>
      <c r="JK70" s="1251"/>
      <c r="JL70" s="1251"/>
      <c r="JM70" s="1251"/>
      <c r="JN70" s="1251"/>
      <c r="JO70" s="1251"/>
      <c r="JP70" s="1251"/>
      <c r="JQ70" s="1251"/>
      <c r="JR70" s="1251"/>
      <c r="JS70" s="1251"/>
      <c r="JT70" s="1251"/>
      <c r="JU70" s="1251"/>
      <c r="JV70" s="1251"/>
      <c r="JW70" s="1251"/>
      <c r="JX70" s="1251"/>
      <c r="JY70" s="1251"/>
      <c r="JZ70" s="1251"/>
      <c r="KA70" s="1251"/>
      <c r="KB70" s="1251"/>
      <c r="KC70" s="1251"/>
      <c r="KD70" s="1251"/>
      <c r="KE70" s="1251"/>
      <c r="KF70" s="1251"/>
      <c r="KG70" s="1251"/>
      <c r="KH70" s="1251"/>
      <c r="KI70" s="1251"/>
      <c r="KJ70" s="1251"/>
      <c r="KK70" s="1251"/>
      <c r="KL70" s="1251"/>
      <c r="KM70" s="1251"/>
      <c r="KN70" s="1251"/>
      <c r="KO70" s="1251"/>
      <c r="KP70" s="1251"/>
      <c r="KQ70" s="1251"/>
      <c r="KR70" s="1251"/>
      <c r="KS70" s="1251"/>
      <c r="KT70" s="1251"/>
      <c r="KU70" s="1251"/>
      <c r="KV70" s="1251"/>
      <c r="KW70" s="1251"/>
      <c r="KX70" s="1251"/>
      <c r="KY70" s="1251"/>
      <c r="KZ70" s="1251"/>
      <c r="LA70" s="1251"/>
      <c r="LB70" s="1251"/>
      <c r="LC70" s="1251"/>
      <c r="LD70" s="1251"/>
      <c r="LE70" s="1251"/>
      <c r="LF70" s="1251"/>
      <c r="LG70" s="1251"/>
      <c r="LH70" s="1251"/>
      <c r="LI70" s="1251"/>
      <c r="LJ70" s="1251"/>
      <c r="LK70" s="1251"/>
      <c r="LL70" s="1251"/>
      <c r="LM70" s="1251"/>
      <c r="LN70" s="1251"/>
      <c r="LO70" s="1251"/>
      <c r="LP70" s="1251"/>
      <c r="LQ70" s="1251"/>
      <c r="LR70" s="1251"/>
      <c r="LS70" s="1251"/>
      <c r="LT70" s="1251"/>
      <c r="LU70" s="1251"/>
      <c r="LV70" s="1251"/>
      <c r="LW70" s="1251"/>
      <c r="LX70" s="1251"/>
      <c r="LY70" s="1251"/>
      <c r="LZ70" s="1251"/>
      <c r="MA70" s="1251"/>
      <c r="MB70" s="1251"/>
      <c r="MC70" s="1251"/>
      <c r="MD70" s="1251"/>
      <c r="ME70" s="1251"/>
      <c r="MF70" s="1251"/>
      <c r="MG70" s="1251"/>
      <c r="MH70" s="1251"/>
      <c r="MI70" s="1251"/>
      <c r="MJ70" s="1251"/>
      <c r="MK70" s="1251"/>
      <c r="ML70" s="1251"/>
      <c r="MM70" s="1251"/>
      <c r="MN70" s="1251"/>
      <c r="MO70" s="1251"/>
      <c r="MP70" s="1251"/>
      <c r="MQ70" s="1251"/>
      <c r="MR70" s="1251"/>
      <c r="MS70" s="1251"/>
      <c r="MT70" s="1251"/>
      <c r="MU70" s="1251"/>
      <c r="MV70" s="1251"/>
      <c r="MW70" s="1251"/>
      <c r="MX70" s="1251"/>
      <c r="MY70" s="1251"/>
      <c r="MZ70" s="1251"/>
      <c r="NA70" s="1251"/>
      <c r="NB70" s="1251"/>
      <c r="NC70" s="1251"/>
      <c r="ND70" s="1251"/>
      <c r="NE70" s="1251"/>
      <c r="NF70" s="1251"/>
      <c r="NG70" s="1251"/>
      <c r="NH70" s="1251"/>
      <c r="NI70" s="1251"/>
      <c r="NJ70" s="1251"/>
      <c r="NK70" s="1251"/>
      <c r="NL70" s="1251"/>
      <c r="NM70" s="1251"/>
      <c r="NN70" s="1251"/>
      <c r="NO70" s="1251"/>
      <c r="NP70" s="1251"/>
      <c r="NQ70" s="1251"/>
      <c r="NR70" s="1251"/>
      <c r="NS70" s="1251"/>
      <c r="NT70" s="1251"/>
      <c r="NU70" s="1251"/>
      <c r="NV70" s="1251"/>
      <c r="NW70" s="1251"/>
      <c r="NX70" s="1251"/>
      <c r="NY70" s="1251"/>
      <c r="NZ70" s="1251"/>
      <c r="OA70" s="1251"/>
      <c r="OB70" s="1251"/>
      <c r="OC70" s="1251"/>
      <c r="OD70" s="1251"/>
      <c r="OE70" s="1251"/>
      <c r="OF70" s="1251"/>
      <c r="OG70" s="1251"/>
      <c r="OH70" s="1251"/>
      <c r="OI70" s="1251"/>
      <c r="OJ70" s="1251"/>
      <c r="OK70" s="1251"/>
      <c r="OL70" s="1251"/>
      <c r="OM70" s="1251"/>
      <c r="ON70" s="1251"/>
      <c r="OO70" s="1251"/>
      <c r="OP70" s="1251"/>
      <c r="OQ70" s="1251"/>
      <c r="OR70" s="1251"/>
      <c r="OS70" s="1251"/>
      <c r="OT70" s="1251"/>
      <c r="OU70" s="1251"/>
      <c r="OV70" s="1251"/>
      <c r="OW70" s="1251"/>
      <c r="OX70" s="1251"/>
      <c r="OY70" s="1251"/>
      <c r="OZ70" s="1251"/>
      <c r="PA70" s="1251"/>
      <c r="PB70" s="1251"/>
      <c r="PC70" s="1251"/>
      <c r="PD70" s="1251"/>
      <c r="PE70" s="1251"/>
      <c r="PF70" s="1251"/>
      <c r="PG70" s="1251"/>
      <c r="PH70" s="1251"/>
      <c r="PI70" s="1251"/>
      <c r="PJ70" s="1251"/>
      <c r="PK70" s="1251"/>
      <c r="PL70" s="1251"/>
      <c r="PM70" s="1251"/>
      <c r="PN70" s="1251"/>
      <c r="PO70" s="1251"/>
      <c r="PP70" s="1251"/>
      <c r="PQ70" s="1251"/>
      <c r="PR70" s="1251"/>
      <c r="PS70" s="1251"/>
      <c r="PT70" s="1251"/>
      <c r="PU70" s="1251"/>
      <c r="PV70" s="1251"/>
      <c r="PW70" s="1251"/>
      <c r="PX70" s="1251"/>
      <c r="PY70" s="1251"/>
      <c r="PZ70" s="1251"/>
      <c r="QA70" s="1251"/>
      <c r="QB70" s="1251"/>
      <c r="QC70" s="1251"/>
      <c r="QD70" s="1251"/>
      <c r="QE70" s="1251"/>
      <c r="QF70" s="1251"/>
      <c r="QG70" s="1251"/>
      <c r="QH70" s="1251"/>
      <c r="QI70" s="1251"/>
      <c r="QJ70" s="1251"/>
      <c r="QK70" s="1251"/>
      <c r="QL70" s="1251"/>
      <c r="QM70" s="1251"/>
      <c r="QN70" s="1251"/>
      <c r="QO70" s="1251"/>
      <c r="QP70" s="1251"/>
      <c r="QQ70" s="1251"/>
      <c r="QR70" s="1251"/>
      <c r="QS70" s="1251"/>
      <c r="QT70" s="1251"/>
      <c r="QU70" s="1251"/>
      <c r="QV70" s="1251"/>
      <c r="QW70" s="1251"/>
      <c r="QX70" s="1251"/>
      <c r="QY70" s="1251"/>
      <c r="QZ70" s="1251"/>
      <c r="RA70" s="1251"/>
      <c r="RB70" s="1251"/>
      <c r="RC70" s="1251"/>
      <c r="RD70" s="1251"/>
      <c r="RE70" s="1251"/>
      <c r="RF70" s="1251"/>
      <c r="RG70" s="1251"/>
      <c r="RH70" s="1251"/>
      <c r="RI70" s="1251"/>
      <c r="RJ70" s="1251"/>
      <c r="RK70" s="1251"/>
      <c r="RL70" s="1251"/>
      <c r="RM70" s="1251"/>
      <c r="RN70" s="1251"/>
      <c r="RO70" s="1251"/>
      <c r="RP70" s="1251"/>
      <c r="RQ70" s="1251"/>
      <c r="RR70" s="1251"/>
      <c r="RS70" s="1251"/>
      <c r="RT70" s="1251"/>
      <c r="RU70" s="1251"/>
      <c r="RV70" s="1251"/>
      <c r="RW70" s="1251"/>
      <c r="RX70" s="1251"/>
      <c r="RY70" s="1251"/>
      <c r="RZ70" s="1251"/>
      <c r="SA70" s="1251"/>
      <c r="SB70" s="1251"/>
      <c r="SC70" s="1251"/>
      <c r="SD70" s="1251"/>
      <c r="SE70" s="1251"/>
      <c r="SF70" s="1251"/>
      <c r="SG70" s="1251"/>
      <c r="SH70" s="1251"/>
      <c r="SI70" s="1251"/>
      <c r="SJ70" s="1251"/>
      <c r="SK70" s="1251"/>
      <c r="SL70" s="1251"/>
      <c r="SM70" s="1251"/>
      <c r="SN70" s="1251"/>
      <c r="SO70" s="1251"/>
      <c r="SP70" s="1251"/>
      <c r="SQ70" s="1251"/>
      <c r="SR70" s="1251"/>
      <c r="SS70" s="1251"/>
      <c r="ST70" s="1251"/>
      <c r="SU70" s="1251"/>
      <c r="SV70" s="1251"/>
      <c r="SW70" s="1251"/>
      <c r="SX70" s="1251"/>
      <c r="SY70" s="1251"/>
      <c r="SZ70" s="1251"/>
      <c r="TA70" s="1251"/>
      <c r="TB70" s="1251"/>
      <c r="TC70" s="1251"/>
      <c r="TD70" s="1251"/>
      <c r="TE70" s="1251"/>
      <c r="TF70" s="1251"/>
      <c r="TG70" s="1251"/>
      <c r="TH70" s="1251"/>
      <c r="TI70" s="1251"/>
      <c r="TJ70" s="1251"/>
      <c r="TK70" s="1251"/>
      <c r="TL70" s="1251"/>
      <c r="TM70" s="1251"/>
      <c r="TN70" s="1251"/>
      <c r="TO70" s="1251"/>
      <c r="TP70" s="1251"/>
      <c r="TQ70" s="1251"/>
      <c r="TR70" s="1251"/>
      <c r="TS70" s="1251"/>
      <c r="TT70" s="1251"/>
      <c r="TU70" s="1251"/>
      <c r="TV70" s="1251"/>
      <c r="TW70" s="1251"/>
      <c r="TX70" s="1251"/>
      <c r="TY70" s="1251"/>
      <c r="TZ70" s="1251"/>
      <c r="UA70" s="1251"/>
      <c r="UB70" s="1251"/>
      <c r="UC70" s="1251"/>
      <c r="UD70" s="1251"/>
      <c r="UE70" s="1251"/>
      <c r="UF70" s="1251"/>
      <c r="UG70" s="1251"/>
      <c r="UH70" s="1251"/>
      <c r="UI70" s="1251"/>
      <c r="UJ70" s="1251"/>
      <c r="UK70" s="1251"/>
      <c r="UL70" s="1251"/>
      <c r="UM70" s="1251"/>
      <c r="UN70" s="1251"/>
      <c r="UO70" s="1251"/>
      <c r="UP70" s="1251"/>
      <c r="UQ70" s="1251"/>
      <c r="UR70" s="1251"/>
      <c r="US70" s="1251"/>
      <c r="UT70" s="1251"/>
      <c r="UU70" s="1251"/>
      <c r="UV70" s="1251"/>
      <c r="UW70" s="1251"/>
      <c r="UX70" s="1251"/>
      <c r="UY70" s="1251"/>
      <c r="UZ70" s="1251"/>
      <c r="VA70" s="1251"/>
      <c r="VB70" s="1251"/>
      <c r="VC70" s="1251"/>
      <c r="VD70" s="1251"/>
      <c r="VE70" s="1251"/>
      <c r="VF70" s="1251"/>
      <c r="VG70" s="1251"/>
      <c r="VH70" s="1251"/>
      <c r="VI70" s="1251"/>
      <c r="VJ70" s="1251"/>
      <c r="VK70" s="1251"/>
      <c r="VL70" s="1251"/>
      <c r="VM70" s="1251"/>
      <c r="VN70" s="1251"/>
      <c r="VO70" s="1251"/>
      <c r="VP70" s="1251"/>
      <c r="VQ70" s="1251"/>
      <c r="VR70" s="1251"/>
      <c r="VS70" s="1251"/>
      <c r="VT70" s="1251"/>
      <c r="VU70" s="1251"/>
      <c r="VV70" s="1251"/>
      <c r="VW70" s="1251"/>
      <c r="VX70" s="1251"/>
      <c r="VY70" s="1251"/>
      <c r="VZ70" s="1251"/>
      <c r="WA70" s="1251"/>
      <c r="WB70" s="1251"/>
      <c r="WC70" s="1251"/>
      <c r="WD70" s="1251"/>
      <c r="WE70" s="1251"/>
      <c r="WF70" s="1251"/>
      <c r="WG70" s="1251"/>
      <c r="WH70" s="1251"/>
      <c r="WI70" s="1251"/>
      <c r="WJ70" s="1251"/>
      <c r="WK70" s="1251"/>
      <c r="WL70" s="1251"/>
      <c r="WM70" s="1251"/>
      <c r="WN70" s="1251"/>
      <c r="WO70" s="1251"/>
      <c r="WP70" s="1251"/>
      <c r="WQ70" s="1251"/>
      <c r="WR70" s="1251"/>
      <c r="WS70" s="1251"/>
      <c r="WT70" s="1251"/>
      <c r="WU70" s="1251"/>
      <c r="WV70" s="1251"/>
      <c r="WW70" s="1251"/>
      <c r="WX70" s="1251"/>
      <c r="WY70" s="1251"/>
      <c r="WZ70" s="1251"/>
      <c r="XA70" s="1251"/>
      <c r="XB70" s="1251"/>
      <c r="XC70" s="1251"/>
      <c r="XD70" s="1251"/>
      <c r="XE70" s="1251"/>
      <c r="XF70" s="1251"/>
      <c r="XG70" s="1251"/>
      <c r="XH70" s="1251"/>
      <c r="XI70" s="1251"/>
      <c r="XJ70" s="1251"/>
      <c r="XK70" s="1251"/>
      <c r="XL70" s="1251"/>
      <c r="XM70" s="1251"/>
      <c r="XN70" s="1251"/>
      <c r="XO70" s="1251"/>
      <c r="XP70" s="1251"/>
      <c r="XQ70" s="1251"/>
      <c r="XR70" s="1251"/>
      <c r="XS70" s="1251"/>
      <c r="XT70" s="1251"/>
      <c r="XU70" s="1251"/>
      <c r="XV70" s="1251"/>
      <c r="XW70" s="1251"/>
      <c r="XX70" s="1251"/>
      <c r="XY70" s="1251"/>
      <c r="XZ70" s="1251"/>
      <c r="YA70" s="1251"/>
      <c r="YB70" s="1251"/>
      <c r="YC70" s="1251"/>
      <c r="YD70" s="1251"/>
      <c r="YE70" s="1251"/>
      <c r="YF70" s="1251"/>
      <c r="YG70" s="1251"/>
      <c r="YH70" s="1251"/>
      <c r="YI70" s="1251"/>
      <c r="YJ70" s="1251"/>
      <c r="YK70" s="1251"/>
      <c r="YL70" s="1251"/>
      <c r="YM70" s="1251"/>
      <c r="YN70" s="1251"/>
      <c r="YO70" s="1251"/>
      <c r="YP70" s="1251"/>
      <c r="YQ70" s="1251"/>
      <c r="YR70" s="1251"/>
      <c r="YS70" s="1251"/>
      <c r="YT70" s="1251"/>
      <c r="YU70" s="1251"/>
      <c r="YV70" s="1251"/>
      <c r="YW70" s="1251"/>
      <c r="YX70" s="1251"/>
      <c r="YY70" s="1251"/>
      <c r="YZ70" s="1251"/>
      <c r="ZA70" s="1251"/>
      <c r="ZB70" s="1251"/>
      <c r="ZC70" s="1251"/>
      <c r="ZD70" s="1251"/>
      <c r="ZE70" s="1251"/>
      <c r="ZF70" s="1251"/>
      <c r="ZG70" s="1251"/>
      <c r="ZH70" s="1251"/>
      <c r="ZI70" s="1251"/>
      <c r="ZJ70" s="1251"/>
      <c r="ZK70" s="1251"/>
      <c r="ZL70" s="1251"/>
      <c r="ZM70" s="1251"/>
      <c r="ZN70" s="1251"/>
      <c r="ZO70" s="1251"/>
      <c r="ZP70" s="1251"/>
      <c r="ZQ70" s="1251"/>
      <c r="ZR70" s="1251"/>
      <c r="ZS70" s="1251"/>
      <c r="ZT70" s="1251"/>
      <c r="ZU70" s="1251"/>
      <c r="ZV70" s="1251"/>
      <c r="ZW70" s="1251"/>
      <c r="ZX70" s="1251"/>
      <c r="ZY70" s="1251"/>
      <c r="ZZ70" s="1251"/>
      <c r="AAA70" s="1251"/>
      <c r="AAB70" s="1251"/>
      <c r="AAC70" s="1251"/>
      <c r="AAD70" s="1251"/>
      <c r="AAE70" s="1251"/>
      <c r="AAF70" s="1251"/>
      <c r="AAG70" s="1251"/>
      <c r="AAH70" s="1251"/>
      <c r="AAI70" s="1251"/>
      <c r="AAJ70" s="1251"/>
      <c r="AAK70" s="1251"/>
      <c r="AAL70" s="1251"/>
      <c r="AAM70" s="1251"/>
      <c r="AAN70" s="1251"/>
      <c r="AAO70" s="1251"/>
      <c r="AAP70" s="1251"/>
      <c r="AAQ70" s="1251"/>
      <c r="AAR70" s="1251"/>
      <c r="AAS70" s="1251"/>
      <c r="AAT70" s="1251"/>
      <c r="AAU70" s="1251"/>
      <c r="AAV70" s="1251"/>
      <c r="AAW70" s="1251"/>
      <c r="AAX70" s="1251"/>
      <c r="AAY70" s="1251"/>
      <c r="AAZ70" s="1251"/>
      <c r="ABA70" s="1251"/>
      <c r="ABB70" s="1251"/>
      <c r="ABC70" s="1251"/>
      <c r="ABD70" s="1251"/>
      <c r="ABE70" s="1251"/>
      <c r="ABF70" s="1251"/>
      <c r="ABG70" s="1251"/>
      <c r="ABH70" s="1251"/>
      <c r="ABI70" s="1251"/>
      <c r="ABJ70" s="1251"/>
      <c r="ABK70" s="1251"/>
      <c r="ABL70" s="1251"/>
      <c r="ABM70" s="1251"/>
      <c r="ABN70" s="1251"/>
      <c r="ABO70" s="1251"/>
      <c r="ABP70" s="1251"/>
      <c r="ABQ70" s="1251"/>
      <c r="ABR70" s="1251"/>
      <c r="ABS70" s="1251"/>
      <c r="ABT70" s="1251"/>
      <c r="ABU70" s="1251"/>
      <c r="ABV70" s="1251"/>
      <c r="ABW70" s="1251"/>
      <c r="ABX70" s="1251"/>
      <c r="ABY70" s="1251"/>
      <c r="ABZ70" s="1251"/>
      <c r="ACA70" s="1251"/>
      <c r="ACB70" s="1251"/>
      <c r="ACC70" s="1251"/>
      <c r="ACD70" s="1251"/>
      <c r="ACE70" s="1251"/>
      <c r="ACF70" s="1251"/>
      <c r="ACG70" s="1251"/>
      <c r="ACH70" s="1251"/>
      <c r="ACI70" s="1251"/>
      <c r="ACJ70" s="1251"/>
      <c r="ACK70" s="1251"/>
      <c r="ACL70" s="1251"/>
      <c r="ACM70" s="1251"/>
      <c r="ACN70" s="1251"/>
      <c r="ACO70" s="1251"/>
      <c r="ACP70" s="1251"/>
      <c r="ACQ70" s="1251"/>
      <c r="ACR70" s="1251"/>
      <c r="ACS70" s="1251"/>
      <c r="ACT70" s="1251"/>
      <c r="ACU70" s="1251"/>
      <c r="ACV70" s="1251"/>
      <c r="ACW70" s="1251"/>
      <c r="ACX70" s="1251"/>
      <c r="ACY70" s="1251"/>
      <c r="ACZ70" s="1251"/>
      <c r="ADA70" s="1251"/>
      <c r="ADB70" s="1251"/>
      <c r="ADC70" s="1251"/>
      <c r="ADD70" s="1251"/>
      <c r="ADE70" s="1251"/>
      <c r="ADF70" s="1251"/>
      <c r="ADG70" s="1251"/>
      <c r="ADH70" s="1251"/>
      <c r="ADI70" s="1251"/>
      <c r="ADJ70" s="1251"/>
      <c r="ADK70" s="1251"/>
      <c r="ADL70" s="1251"/>
      <c r="ADM70" s="1251"/>
      <c r="ADN70" s="1251"/>
      <c r="ADO70" s="1251"/>
      <c r="ADP70" s="1251"/>
      <c r="ADQ70" s="1251"/>
      <c r="ADR70" s="1251"/>
      <c r="ADS70" s="1251"/>
      <c r="ADT70" s="1251"/>
      <c r="ADU70" s="1251"/>
      <c r="ADV70" s="1251"/>
      <c r="ADW70" s="1251"/>
      <c r="ADX70" s="1251"/>
      <c r="ADY70" s="1251"/>
      <c r="ADZ70" s="1251"/>
      <c r="AEA70" s="1251"/>
      <c r="AEB70" s="1251"/>
      <c r="AEC70" s="1251"/>
      <c r="AED70" s="1251"/>
      <c r="AEE70" s="1251"/>
      <c r="AEF70" s="1251"/>
      <c r="AEG70" s="1251"/>
      <c r="AEH70" s="1251"/>
      <c r="AEI70" s="1251"/>
      <c r="AEJ70" s="1251"/>
      <c r="AEK70" s="1251"/>
      <c r="AEL70" s="1251"/>
      <c r="AEM70" s="1251"/>
      <c r="AEN70" s="1251"/>
      <c r="AEO70" s="1251"/>
      <c r="AEP70" s="1251"/>
      <c r="AEQ70" s="1251"/>
      <c r="AER70" s="1251"/>
      <c r="AES70" s="1251"/>
      <c r="AET70" s="1251"/>
      <c r="AEU70" s="1251"/>
      <c r="AEV70" s="1251"/>
      <c r="AEW70" s="1251"/>
      <c r="AEX70" s="1251"/>
      <c r="AEY70" s="1251"/>
      <c r="AEZ70" s="1251"/>
      <c r="AFA70" s="1251"/>
      <c r="AFB70" s="1251"/>
      <c r="AFC70" s="1251"/>
      <c r="AFD70" s="1251"/>
      <c r="AFE70" s="1251"/>
      <c r="AFF70" s="1251"/>
      <c r="AFG70" s="1251"/>
      <c r="AFH70" s="1251"/>
      <c r="AFI70" s="1251"/>
      <c r="AFJ70" s="1251"/>
      <c r="AFK70" s="1251"/>
      <c r="AFL70" s="1251"/>
      <c r="AFM70" s="1251"/>
      <c r="AFN70" s="1251"/>
      <c r="AFO70" s="1251"/>
      <c r="AFP70" s="1251"/>
      <c r="AFQ70" s="1251"/>
      <c r="AFR70" s="1251"/>
      <c r="AFS70" s="1251"/>
      <c r="AFT70" s="1251"/>
      <c r="AFU70" s="1251"/>
      <c r="AFV70" s="1251"/>
      <c r="AFW70" s="1251"/>
      <c r="AFX70" s="1251"/>
      <c r="AFY70" s="1251"/>
      <c r="AFZ70" s="1251"/>
      <c r="AGA70" s="1251"/>
      <c r="AGB70" s="1251"/>
      <c r="AGC70" s="1251"/>
      <c r="AGD70" s="1251"/>
      <c r="AGE70" s="1251"/>
      <c r="AGF70" s="1251"/>
      <c r="AGG70" s="1251"/>
      <c r="AGH70" s="1251"/>
      <c r="AGI70" s="1251"/>
      <c r="AGJ70" s="1251"/>
      <c r="AGK70" s="1251"/>
      <c r="AGL70" s="1251"/>
      <c r="AGM70" s="1251"/>
      <c r="AGN70" s="1251"/>
      <c r="AGO70" s="1251"/>
      <c r="AGP70" s="1251"/>
      <c r="AGQ70" s="1251"/>
      <c r="AGR70" s="1251"/>
      <c r="AGS70" s="1251"/>
      <c r="AGT70" s="1251"/>
      <c r="AGU70" s="1251"/>
      <c r="AGV70" s="1251"/>
      <c r="AGW70" s="1251"/>
      <c r="AGX70" s="1251"/>
      <c r="AGY70" s="1251"/>
      <c r="AGZ70" s="1251"/>
      <c r="AHA70" s="1251"/>
      <c r="AHB70" s="1251"/>
      <c r="AHC70" s="1251"/>
      <c r="AHD70" s="1251"/>
      <c r="AHE70" s="1251"/>
      <c r="AHF70" s="1251"/>
      <c r="AHG70" s="1251"/>
      <c r="AHH70" s="1251"/>
      <c r="AHI70" s="1251"/>
      <c r="AHJ70" s="1251"/>
      <c r="AHK70" s="1251"/>
      <c r="AHL70" s="1251"/>
      <c r="AHM70" s="1251"/>
      <c r="AHN70" s="1251"/>
      <c r="AHO70" s="1251"/>
      <c r="AHP70" s="1251"/>
      <c r="AHQ70" s="1251"/>
      <c r="AHR70" s="1251"/>
      <c r="AHS70" s="1251"/>
      <c r="AHT70" s="1251"/>
      <c r="AHU70" s="1251"/>
      <c r="AHV70" s="1251"/>
      <c r="AHW70" s="1251"/>
      <c r="AHX70" s="1251"/>
      <c r="AHY70" s="1251"/>
      <c r="AHZ70" s="1251"/>
      <c r="AIA70" s="1251"/>
      <c r="AIB70" s="1251"/>
      <c r="AIC70" s="1251"/>
      <c r="AID70" s="1251"/>
      <c r="AIE70" s="1251"/>
      <c r="AIF70" s="1251"/>
      <c r="AIG70" s="1251"/>
      <c r="AIH70" s="1251"/>
      <c r="AII70" s="1251"/>
      <c r="AIJ70" s="1251"/>
      <c r="AIK70" s="1251"/>
      <c r="AIL70" s="1251"/>
      <c r="AIM70" s="1251"/>
      <c r="AIN70" s="1251"/>
      <c r="AIO70" s="1251"/>
      <c r="AIP70" s="1251"/>
      <c r="AIQ70" s="1251"/>
      <c r="AIR70" s="1251"/>
      <c r="AIS70" s="1251"/>
      <c r="AIT70" s="1251"/>
      <c r="AIU70" s="1251"/>
      <c r="AIV70" s="1251"/>
      <c r="AIW70" s="1251"/>
      <c r="AIX70" s="1251"/>
      <c r="AIY70" s="1251"/>
      <c r="AIZ70" s="1251"/>
      <c r="AJA70" s="1251"/>
      <c r="AJB70" s="1251"/>
      <c r="AJC70" s="1251"/>
      <c r="AJD70" s="1251"/>
      <c r="AJE70" s="1251"/>
      <c r="AJF70" s="1251"/>
      <c r="AJG70" s="1251"/>
      <c r="AJH70" s="1251"/>
      <c r="AJI70" s="1251"/>
      <c r="AJJ70" s="1251"/>
      <c r="AJK70" s="1251"/>
      <c r="AJL70" s="1251"/>
      <c r="AJM70" s="1251"/>
      <c r="AJN70" s="1251"/>
      <c r="AJO70" s="1251"/>
      <c r="AJP70" s="1251"/>
      <c r="AJQ70" s="1251"/>
      <c r="AJR70" s="1251"/>
      <c r="AJS70" s="1251"/>
      <c r="AJT70" s="1251"/>
      <c r="AJU70" s="1251"/>
      <c r="AJV70" s="1251"/>
      <c r="AJW70" s="1251"/>
      <c r="AJX70" s="1251"/>
      <c r="AJY70" s="1251"/>
      <c r="AJZ70" s="1251"/>
      <c r="AKA70" s="1251"/>
      <c r="AKB70" s="1251"/>
      <c r="AKC70" s="1251"/>
      <c r="AKD70" s="1251"/>
      <c r="AKE70" s="1251"/>
      <c r="AKF70" s="1251"/>
      <c r="AKG70" s="1251"/>
      <c r="AKH70" s="1251"/>
      <c r="AKI70" s="1251"/>
      <c r="AKJ70" s="1251"/>
      <c r="AKK70" s="1251"/>
      <c r="AKL70" s="1251"/>
      <c r="AKM70" s="1251"/>
      <c r="AKN70" s="1251"/>
      <c r="AKO70" s="1251"/>
      <c r="AKP70" s="1251"/>
      <c r="AKQ70" s="1251"/>
      <c r="AKR70" s="1251"/>
      <c r="AKS70" s="1251"/>
      <c r="AKT70" s="1251"/>
      <c r="AKU70" s="1251"/>
      <c r="AKV70" s="1251"/>
      <c r="AKW70" s="1251"/>
      <c r="AKX70" s="1251"/>
      <c r="AKY70" s="1251"/>
      <c r="AKZ70" s="1251"/>
      <c r="ALA70" s="1251"/>
      <c r="ALB70" s="1251"/>
      <c r="ALC70" s="1251"/>
      <c r="ALD70" s="1251"/>
      <c r="ALE70" s="1251"/>
      <c r="ALF70" s="1251"/>
      <c r="ALG70" s="1251"/>
      <c r="ALH70" s="1251"/>
      <c r="ALI70" s="1251"/>
      <c r="ALJ70" s="1251"/>
      <c r="ALK70" s="1251"/>
      <c r="ALL70" s="1251"/>
      <c r="ALM70" s="1251"/>
      <c r="ALN70" s="1251"/>
      <c r="ALO70" s="1251"/>
      <c r="ALP70" s="1251"/>
      <c r="ALQ70" s="1251"/>
      <c r="ALR70" s="1251"/>
      <c r="ALS70" s="1251"/>
      <c r="ALT70" s="1251"/>
      <c r="ALU70" s="1251"/>
      <c r="ALV70" s="1251"/>
      <c r="ALW70" s="1251"/>
      <c r="ALX70" s="1251"/>
      <c r="ALY70" s="1251"/>
      <c r="ALZ70" s="1251"/>
      <c r="AMA70" s="1251"/>
      <c r="AMB70" s="1251"/>
      <c r="AMC70" s="1251"/>
      <c r="AMD70" s="1251"/>
      <c r="AME70" s="1251"/>
      <c r="AMF70" s="1251"/>
      <c r="AMG70" s="1251"/>
      <c r="AMH70" s="1251"/>
      <c r="AMI70" s="1251"/>
      <c r="AMJ70" s="1251"/>
      <c r="AMK70" s="1251"/>
      <c r="AML70" s="1251"/>
      <c r="AMM70" s="1251"/>
      <c r="AMN70" s="1251"/>
      <c r="AMO70" s="1251"/>
      <c r="AMP70" s="1251"/>
      <c r="AMQ70" s="1251"/>
      <c r="AMR70" s="1251"/>
      <c r="AMS70" s="1251"/>
      <c r="AMT70" s="1251"/>
      <c r="AMU70" s="1251"/>
      <c r="AMV70" s="1251"/>
      <c r="AMW70" s="1251"/>
      <c r="AMX70" s="1251"/>
      <c r="AMY70" s="1251"/>
      <c r="AMZ70" s="1251"/>
      <c r="ANA70" s="1251"/>
      <c r="ANB70" s="1251"/>
      <c r="ANC70" s="1251"/>
      <c r="AND70" s="1251"/>
      <c r="ANE70" s="1251"/>
      <c r="ANF70" s="1251"/>
      <c r="ANG70" s="1251"/>
      <c r="ANH70" s="1251"/>
      <c r="ANI70" s="1251"/>
      <c r="ANJ70" s="1251"/>
      <c r="ANK70" s="1251"/>
      <c r="ANL70" s="1251"/>
      <c r="ANM70" s="1251"/>
      <c r="ANN70" s="1251"/>
      <c r="ANO70" s="1251"/>
      <c r="ANP70" s="1251"/>
      <c r="ANQ70" s="1251"/>
      <c r="ANR70" s="1251"/>
      <c r="ANS70" s="1251"/>
      <c r="ANT70" s="1251"/>
      <c r="ANU70" s="1251"/>
      <c r="ANV70" s="1251"/>
      <c r="ANW70" s="1251"/>
      <c r="ANX70" s="1251"/>
      <c r="ANY70" s="1251"/>
      <c r="ANZ70" s="1251"/>
      <c r="AOA70" s="1251"/>
      <c r="AOB70" s="1251"/>
      <c r="AOC70" s="1251"/>
      <c r="AOD70" s="1251"/>
      <c r="AOE70" s="1251"/>
      <c r="AOF70" s="1251"/>
      <c r="AOG70" s="1251"/>
      <c r="AOH70" s="1251"/>
      <c r="AOI70" s="1251"/>
      <c r="AOJ70" s="1251"/>
      <c r="AOK70" s="1251"/>
      <c r="AOL70" s="1251"/>
      <c r="AOM70" s="1251"/>
      <c r="AON70" s="1251"/>
      <c r="AOO70" s="1251"/>
      <c r="AOP70" s="1251"/>
      <c r="AOQ70" s="1251"/>
      <c r="AOR70" s="1251"/>
      <c r="AOS70" s="1251"/>
      <c r="AOT70" s="1251"/>
      <c r="AOU70" s="1251"/>
      <c r="AOV70" s="1251"/>
      <c r="AOW70" s="1251"/>
      <c r="AOX70" s="1251"/>
      <c r="AOY70" s="1251"/>
      <c r="AOZ70" s="1251"/>
      <c r="APA70" s="1251"/>
      <c r="APB70" s="1251"/>
      <c r="APC70" s="1251"/>
      <c r="APD70" s="1251"/>
      <c r="APE70" s="1251"/>
      <c r="APF70" s="1251"/>
      <c r="APG70" s="1251"/>
      <c r="APH70" s="1251"/>
      <c r="API70" s="1251"/>
      <c r="APJ70" s="1251"/>
      <c r="APK70" s="1251"/>
      <c r="APL70" s="1251"/>
      <c r="APM70" s="1251"/>
      <c r="APN70" s="1251"/>
      <c r="APO70" s="1251"/>
      <c r="APP70" s="1251"/>
      <c r="APQ70" s="1251"/>
      <c r="APR70" s="1251"/>
      <c r="APS70" s="1251"/>
      <c r="APT70" s="1251"/>
      <c r="APU70" s="1251"/>
      <c r="APV70" s="1251"/>
      <c r="APW70" s="1251"/>
      <c r="APX70" s="1251"/>
      <c r="APY70" s="1251"/>
      <c r="APZ70" s="1251"/>
      <c r="AQA70" s="1251"/>
      <c r="AQB70" s="1251"/>
      <c r="AQC70" s="1251"/>
      <c r="AQD70" s="1251"/>
      <c r="AQE70" s="1251"/>
      <c r="AQF70" s="1251"/>
      <c r="AQG70" s="1251"/>
      <c r="AQH70" s="1251"/>
      <c r="AQI70" s="1251"/>
      <c r="AQJ70" s="1251"/>
      <c r="AQK70" s="1251"/>
      <c r="AQL70" s="1251"/>
      <c r="AQM70" s="1251"/>
      <c r="AQN70" s="1251"/>
      <c r="AQO70" s="1251"/>
      <c r="AQP70" s="1251"/>
      <c r="AQQ70" s="1251"/>
      <c r="AQR70" s="1251"/>
      <c r="AQS70" s="1251"/>
      <c r="AQT70" s="1251"/>
      <c r="AQU70" s="1251"/>
      <c r="AQV70" s="1251"/>
      <c r="AQW70" s="1251"/>
      <c r="AQX70" s="1251"/>
      <c r="AQY70" s="1251"/>
      <c r="AQZ70" s="1251"/>
      <c r="ARA70" s="1251"/>
      <c r="ARB70" s="1251"/>
      <c r="ARC70" s="1251"/>
      <c r="ARD70" s="1251"/>
      <c r="ARE70" s="1251"/>
      <c r="ARF70" s="1251"/>
      <c r="ARG70" s="1251"/>
      <c r="ARH70" s="1251"/>
      <c r="ARI70" s="1251"/>
      <c r="ARJ70" s="1251"/>
      <c r="ARK70" s="1251"/>
      <c r="ARL70" s="1251"/>
      <c r="ARM70" s="1251"/>
      <c r="ARN70" s="1251"/>
      <c r="ARO70" s="1251"/>
      <c r="ARP70" s="1251"/>
      <c r="ARQ70" s="1251"/>
      <c r="ARR70" s="1251"/>
      <c r="ARS70" s="1251"/>
      <c r="ART70" s="1251"/>
      <c r="ARU70" s="1251"/>
      <c r="ARV70" s="1251"/>
      <c r="ARW70" s="1251"/>
      <c r="ARX70" s="1251"/>
      <c r="ARY70" s="1251"/>
      <c r="ARZ70" s="1251"/>
      <c r="ASA70" s="1251"/>
      <c r="ASB70" s="1251"/>
      <c r="ASC70" s="1251"/>
      <c r="ASD70" s="1251"/>
      <c r="ASE70" s="1251"/>
      <c r="ASF70" s="1251"/>
      <c r="ASG70" s="1251"/>
      <c r="ASH70" s="1251"/>
      <c r="ASI70" s="1251"/>
      <c r="ASJ70" s="1251"/>
      <c r="ASK70" s="1251"/>
      <c r="ASL70" s="1251"/>
      <c r="ASM70" s="1251"/>
      <c r="ASN70" s="1251"/>
      <c r="ASO70" s="1251"/>
      <c r="ASP70" s="1251"/>
      <c r="ASQ70" s="1251"/>
      <c r="ASR70" s="1251"/>
      <c r="ASS70" s="1251"/>
      <c r="AST70" s="1251"/>
      <c r="ASU70" s="1251"/>
      <c r="ASV70" s="1251"/>
      <c r="ASW70" s="1251"/>
      <c r="ASX70" s="1251"/>
      <c r="ASY70" s="1251"/>
      <c r="ASZ70" s="1251"/>
      <c r="ATA70" s="1251"/>
      <c r="ATB70" s="1251"/>
      <c r="ATC70" s="1251"/>
      <c r="ATD70" s="1251"/>
      <c r="ATE70" s="1251"/>
      <c r="ATF70" s="1251"/>
      <c r="ATG70" s="1251"/>
      <c r="ATH70" s="1251"/>
      <c r="ATI70" s="1251"/>
      <c r="ATJ70" s="1251"/>
      <c r="ATK70" s="1251"/>
      <c r="ATL70" s="1251"/>
      <c r="ATM70" s="1251"/>
      <c r="ATN70" s="1251"/>
      <c r="ATO70" s="1251"/>
      <c r="ATP70" s="1251"/>
      <c r="ATQ70" s="1251"/>
      <c r="ATR70" s="1251"/>
      <c r="ATS70" s="1251"/>
      <c r="ATT70" s="1251"/>
      <c r="ATU70" s="1251"/>
      <c r="ATV70" s="1251"/>
      <c r="ATW70" s="1251"/>
      <c r="ATX70" s="1251"/>
      <c r="ATY70" s="1251"/>
      <c r="ATZ70" s="1251"/>
      <c r="AUA70" s="1251"/>
      <c r="AUB70" s="1251"/>
      <c r="AUC70" s="1251"/>
      <c r="AUD70" s="1251"/>
      <c r="AUE70" s="1251"/>
      <c r="AUF70" s="1251"/>
      <c r="AUG70" s="1251"/>
      <c r="AUH70" s="1251"/>
      <c r="AUI70" s="1251"/>
      <c r="AUJ70" s="1251"/>
      <c r="AUK70" s="1251"/>
      <c r="AUL70" s="1251"/>
      <c r="AUM70" s="1251"/>
      <c r="AUN70" s="1251"/>
      <c r="AUO70" s="1251"/>
      <c r="AUP70" s="1251"/>
      <c r="AUQ70" s="1251"/>
      <c r="AUR70" s="1251"/>
      <c r="AUS70" s="1251"/>
      <c r="AUT70" s="1251"/>
      <c r="AUU70" s="1251"/>
      <c r="AUV70" s="1251"/>
      <c r="AUW70" s="1251"/>
      <c r="AUX70" s="1251"/>
      <c r="AUY70" s="1251"/>
      <c r="AUZ70" s="1251"/>
      <c r="AVA70" s="1251"/>
      <c r="AVB70" s="1251"/>
      <c r="AVC70" s="1251"/>
      <c r="AVD70" s="1251"/>
      <c r="AVE70" s="1251"/>
      <c r="AVF70" s="1251"/>
      <c r="AVG70" s="1251"/>
      <c r="AVH70" s="1251"/>
      <c r="AVI70" s="1251"/>
      <c r="AVJ70" s="1251"/>
      <c r="AVK70" s="1251"/>
      <c r="AVL70" s="1251"/>
      <c r="AVM70" s="1251"/>
      <c r="AVN70" s="1251"/>
      <c r="AVO70" s="1251"/>
      <c r="AVP70" s="1251"/>
      <c r="AVQ70" s="1251"/>
      <c r="AVR70" s="1251"/>
      <c r="AVS70" s="1251"/>
      <c r="AVT70" s="1251"/>
      <c r="AVU70" s="1251"/>
      <c r="AVV70" s="1251"/>
      <c r="AVW70" s="1251"/>
      <c r="AVX70" s="1251"/>
      <c r="AVY70" s="1251"/>
      <c r="AVZ70" s="1251"/>
      <c r="AWA70" s="1251"/>
      <c r="AWB70" s="1251"/>
      <c r="AWC70" s="1251"/>
      <c r="AWD70" s="1251"/>
      <c r="AWE70" s="1251"/>
      <c r="AWF70" s="1251"/>
      <c r="AWG70" s="1251"/>
      <c r="AWH70" s="1251"/>
      <c r="AWI70" s="1251"/>
      <c r="AWJ70" s="1251"/>
      <c r="AWK70" s="1251"/>
      <c r="AWL70" s="1251"/>
      <c r="AWM70" s="1251"/>
      <c r="AWN70" s="1251"/>
      <c r="AWO70" s="1251"/>
      <c r="AWP70" s="1251"/>
      <c r="AWQ70" s="1251"/>
      <c r="AWR70" s="1251"/>
      <c r="AWS70" s="1251"/>
      <c r="AWT70" s="1251"/>
      <c r="AWU70" s="1251"/>
      <c r="AWV70" s="1251"/>
      <c r="AWW70" s="1251"/>
      <c r="AWX70" s="1251"/>
      <c r="AWY70" s="1251"/>
      <c r="AWZ70" s="1251"/>
      <c r="AXA70" s="1251"/>
      <c r="AXB70" s="1251"/>
      <c r="AXC70" s="1251"/>
      <c r="AXD70" s="1251"/>
      <c r="AXE70" s="1251"/>
      <c r="AXF70" s="1251"/>
      <c r="AXG70" s="1251"/>
      <c r="AXH70" s="1251"/>
      <c r="AXI70" s="1251"/>
      <c r="AXJ70" s="1251"/>
      <c r="AXK70" s="1251"/>
      <c r="AXL70" s="1251"/>
      <c r="AXM70" s="1251"/>
      <c r="AXN70" s="1251"/>
      <c r="AXO70" s="1251"/>
      <c r="AXP70" s="1251"/>
      <c r="AXQ70" s="1251"/>
      <c r="AXR70" s="1251"/>
      <c r="AXS70" s="1251"/>
      <c r="AXT70" s="1251"/>
      <c r="AXU70" s="1251"/>
      <c r="AXV70" s="1251"/>
      <c r="AXW70" s="1251"/>
      <c r="AXX70" s="1251"/>
      <c r="AXY70" s="1251"/>
      <c r="AXZ70" s="1251"/>
      <c r="AYA70" s="1251"/>
      <c r="AYB70" s="1251"/>
      <c r="AYC70" s="1251"/>
      <c r="AYD70" s="1251"/>
      <c r="AYE70" s="1251"/>
      <c r="AYF70" s="1251"/>
      <c r="AYG70" s="1251"/>
      <c r="AYH70" s="1251"/>
      <c r="AYI70" s="1251"/>
      <c r="AYJ70" s="1251"/>
      <c r="AYK70" s="1251"/>
      <c r="AYL70" s="1251"/>
      <c r="AYM70" s="1251"/>
      <c r="AYN70" s="1251"/>
      <c r="AYO70" s="1251"/>
      <c r="AYP70" s="1251"/>
      <c r="AYQ70" s="1251"/>
      <c r="AYR70" s="1251"/>
      <c r="AYS70" s="1251"/>
      <c r="AYT70" s="1251"/>
      <c r="AYU70" s="1251"/>
      <c r="AYV70" s="1251"/>
      <c r="AYW70" s="1251"/>
      <c r="AYX70" s="1251"/>
      <c r="AYY70" s="1251"/>
      <c r="AYZ70" s="1251"/>
      <c r="AZA70" s="1251"/>
      <c r="AZB70" s="1251"/>
      <c r="AZC70" s="1251"/>
      <c r="AZD70" s="1251"/>
      <c r="AZE70" s="1251"/>
      <c r="AZF70" s="1251"/>
      <c r="AZG70" s="1251"/>
      <c r="AZH70" s="1251"/>
      <c r="AZI70" s="1251"/>
      <c r="AZJ70" s="1251"/>
      <c r="AZK70" s="1251"/>
      <c r="AZL70" s="1251"/>
      <c r="AZM70" s="1251"/>
      <c r="AZN70" s="1251"/>
      <c r="AZO70" s="1251"/>
      <c r="AZP70" s="1251"/>
      <c r="AZQ70" s="1251"/>
      <c r="AZR70" s="1251"/>
      <c r="AZS70" s="1251"/>
      <c r="AZT70" s="1251"/>
      <c r="AZU70" s="1251"/>
      <c r="AZV70" s="1251"/>
      <c r="AZW70" s="1251"/>
      <c r="AZX70" s="1251"/>
      <c r="AZY70" s="1251"/>
      <c r="AZZ70" s="1251"/>
      <c r="BAA70" s="1251"/>
      <c r="BAB70" s="1251"/>
      <c r="BAC70" s="1251"/>
      <c r="BAD70" s="1251"/>
      <c r="BAE70" s="1251"/>
      <c r="BAF70" s="1251"/>
      <c r="BAG70" s="1251"/>
      <c r="BAH70" s="1251"/>
      <c r="BAI70" s="1251"/>
      <c r="BAJ70" s="1251"/>
      <c r="BAK70" s="1251"/>
      <c r="BAL70" s="1251"/>
      <c r="BAM70" s="1251"/>
      <c r="BAN70" s="1251"/>
      <c r="BAO70" s="1251"/>
      <c r="BAP70" s="1251"/>
      <c r="BAQ70" s="1251"/>
      <c r="BAR70" s="1251"/>
      <c r="BAS70" s="1251"/>
      <c r="BAT70" s="1251"/>
      <c r="BAU70" s="1251"/>
      <c r="BAV70" s="1251"/>
      <c r="BAW70" s="1251"/>
      <c r="BAX70" s="1251"/>
      <c r="BAY70" s="1251"/>
      <c r="BAZ70" s="1251"/>
      <c r="BBA70" s="1251"/>
      <c r="BBB70" s="1251"/>
      <c r="BBC70" s="1251"/>
      <c r="BBD70" s="1251"/>
      <c r="BBE70" s="1251"/>
      <c r="BBF70" s="1251"/>
      <c r="BBG70" s="1251"/>
      <c r="BBH70" s="1251"/>
      <c r="BBI70" s="1251"/>
      <c r="BBJ70" s="1251"/>
      <c r="BBK70" s="1251"/>
      <c r="BBL70" s="1251"/>
      <c r="BBM70" s="1251"/>
      <c r="BBN70" s="1251"/>
      <c r="BBO70" s="1251"/>
      <c r="BBP70" s="1251"/>
      <c r="BBQ70" s="1251"/>
      <c r="BBR70" s="1251"/>
      <c r="BBS70" s="1251"/>
      <c r="BBT70" s="1251"/>
      <c r="BBU70" s="1251"/>
      <c r="BBV70" s="1251"/>
      <c r="BBW70" s="1251"/>
      <c r="BBX70" s="1251"/>
      <c r="BBY70" s="1251"/>
      <c r="BBZ70" s="1251"/>
      <c r="BCA70" s="1251"/>
      <c r="BCB70" s="1251"/>
      <c r="BCC70" s="1251"/>
      <c r="BCD70" s="1251"/>
      <c r="BCE70" s="1251"/>
      <c r="BCF70" s="1251"/>
      <c r="BCG70" s="1251"/>
      <c r="BCH70" s="1251"/>
      <c r="BCI70" s="1251"/>
      <c r="BCJ70" s="1251"/>
      <c r="BCK70" s="1251"/>
      <c r="BCL70" s="1251"/>
      <c r="BCM70" s="1251"/>
      <c r="BCN70" s="1251"/>
      <c r="BCO70" s="1251"/>
      <c r="BCP70" s="1251"/>
      <c r="BCQ70" s="1251"/>
      <c r="BCR70" s="1251"/>
      <c r="BCS70" s="1251"/>
      <c r="BCT70" s="1251"/>
      <c r="BCU70" s="1251"/>
      <c r="BCV70" s="1251"/>
      <c r="BCW70" s="1251"/>
      <c r="BCX70" s="1251"/>
      <c r="BCY70" s="1251"/>
      <c r="BCZ70" s="1251"/>
      <c r="BDA70" s="1251"/>
      <c r="BDB70" s="1251"/>
      <c r="BDC70" s="1251"/>
      <c r="BDD70" s="1251"/>
      <c r="BDE70" s="1251"/>
      <c r="BDF70" s="1251"/>
      <c r="BDG70" s="1251"/>
      <c r="BDH70" s="1251"/>
      <c r="BDI70" s="1251"/>
      <c r="BDJ70" s="1251"/>
      <c r="BDK70" s="1251"/>
      <c r="BDL70" s="1251"/>
      <c r="BDM70" s="1251"/>
      <c r="BDN70" s="1251"/>
      <c r="BDO70" s="1251"/>
      <c r="BDP70" s="1251"/>
      <c r="BDQ70" s="1251"/>
      <c r="BDR70" s="1251"/>
      <c r="BDS70" s="1251"/>
      <c r="BDT70" s="1251"/>
      <c r="BDU70" s="1251"/>
      <c r="BDV70" s="1251"/>
      <c r="BDW70" s="1251"/>
      <c r="BDX70" s="1251"/>
      <c r="BDY70" s="1251"/>
      <c r="BDZ70" s="1251"/>
      <c r="BEA70" s="1251"/>
      <c r="BEB70" s="1251"/>
      <c r="BEC70" s="1251"/>
      <c r="BED70" s="1251"/>
      <c r="BEE70" s="1251"/>
      <c r="BEF70" s="1251"/>
      <c r="BEG70" s="1251"/>
      <c r="BEH70" s="1251"/>
      <c r="BEI70" s="1251"/>
      <c r="BEJ70" s="1251"/>
      <c r="BEK70" s="1251"/>
      <c r="BEL70" s="1251"/>
      <c r="BEM70" s="1251"/>
      <c r="BEN70" s="1251"/>
      <c r="BEO70" s="1251"/>
      <c r="BEP70" s="1251"/>
      <c r="BEQ70" s="1251"/>
      <c r="BER70" s="1251"/>
      <c r="BES70" s="1251"/>
      <c r="BET70" s="1251"/>
      <c r="BEU70" s="1251"/>
      <c r="BEV70" s="1251"/>
      <c r="BEW70" s="1251"/>
      <c r="BEX70" s="1251"/>
      <c r="BEY70" s="1251"/>
      <c r="BEZ70" s="1251"/>
      <c r="BFA70" s="1251"/>
      <c r="BFB70" s="1251"/>
      <c r="BFC70" s="1251"/>
      <c r="BFD70" s="1251"/>
      <c r="BFE70" s="1251"/>
      <c r="BFF70" s="1251"/>
      <c r="BFG70" s="1251"/>
      <c r="BFH70" s="1251"/>
      <c r="BFI70" s="1251"/>
      <c r="BFJ70" s="1251"/>
      <c r="BFK70" s="1251"/>
      <c r="BFL70" s="1251"/>
      <c r="BFM70" s="1251"/>
      <c r="BFN70" s="1251"/>
      <c r="BFO70" s="1251"/>
      <c r="BFP70" s="1251"/>
      <c r="BFQ70" s="1251"/>
      <c r="BFR70" s="1251"/>
      <c r="BFS70" s="1251"/>
      <c r="BFT70" s="1251"/>
      <c r="BFU70" s="1251"/>
      <c r="BFV70" s="1251"/>
      <c r="BFW70" s="1251"/>
      <c r="BFX70" s="1251"/>
      <c r="BFY70" s="1251"/>
      <c r="BFZ70" s="1251"/>
      <c r="BGA70" s="1251"/>
      <c r="BGB70" s="1251"/>
      <c r="BGC70" s="1251"/>
      <c r="BGD70" s="1251"/>
      <c r="BGE70" s="1251"/>
      <c r="BGF70" s="1251"/>
      <c r="BGG70" s="1251"/>
      <c r="BGH70" s="1251"/>
      <c r="BGI70" s="1251"/>
      <c r="BGJ70" s="1251"/>
      <c r="BGK70" s="1251"/>
      <c r="BGL70" s="1251"/>
      <c r="BGM70" s="1251"/>
      <c r="BGN70" s="1251"/>
      <c r="BGO70" s="1251"/>
      <c r="BGP70" s="1251"/>
      <c r="BGQ70" s="1251"/>
      <c r="BGR70" s="1251"/>
      <c r="BGS70" s="1251"/>
      <c r="BGT70" s="1251"/>
      <c r="BGU70" s="1251"/>
      <c r="BGV70" s="1251"/>
      <c r="BGW70" s="1251"/>
      <c r="BGX70" s="1251"/>
      <c r="BGY70" s="1251"/>
      <c r="BGZ70" s="1251"/>
      <c r="BHA70" s="1251"/>
      <c r="BHB70" s="1251"/>
      <c r="BHC70" s="1251"/>
      <c r="BHD70" s="1251"/>
      <c r="BHE70" s="1251"/>
      <c r="BHF70" s="1251"/>
      <c r="BHG70" s="1251"/>
      <c r="BHH70" s="1251"/>
      <c r="BHI70" s="1251"/>
      <c r="BHJ70" s="1251"/>
      <c r="BHK70" s="1251"/>
      <c r="BHL70" s="1251"/>
      <c r="BHM70" s="1251"/>
      <c r="BHN70" s="1251"/>
      <c r="BHO70" s="1251"/>
      <c r="BHP70" s="1251"/>
      <c r="BHQ70" s="1251"/>
      <c r="BHR70" s="1251"/>
      <c r="BHS70" s="1251"/>
      <c r="BHT70" s="1251"/>
      <c r="BHU70" s="1251"/>
      <c r="BHV70" s="1251"/>
      <c r="BHW70" s="1251"/>
      <c r="BHX70" s="1251"/>
      <c r="BHY70" s="1251"/>
      <c r="BHZ70" s="1251"/>
      <c r="BIA70" s="1251"/>
      <c r="BIB70" s="1251"/>
      <c r="BIC70" s="1251"/>
      <c r="BID70" s="1251"/>
      <c r="BIE70" s="1251"/>
      <c r="BIF70" s="1251"/>
      <c r="BIG70" s="1251"/>
      <c r="BIH70" s="1251"/>
      <c r="BII70" s="1251"/>
      <c r="BIJ70" s="1251"/>
      <c r="BIK70" s="1251"/>
      <c r="BIL70" s="1251"/>
      <c r="BIM70" s="1251"/>
      <c r="BIN70" s="1251"/>
      <c r="BIO70" s="1251"/>
      <c r="BIP70" s="1251"/>
      <c r="BIQ70" s="1251"/>
      <c r="BIR70" s="1251"/>
      <c r="BIS70" s="1251"/>
      <c r="BIT70" s="1251"/>
      <c r="BIU70" s="1251"/>
      <c r="BIV70" s="1251"/>
      <c r="BIW70" s="1251"/>
      <c r="BIX70" s="1251"/>
      <c r="BIY70" s="1251"/>
      <c r="BIZ70" s="1251"/>
      <c r="BJA70" s="1251"/>
      <c r="BJB70" s="1251"/>
      <c r="BJC70" s="1251"/>
      <c r="BJD70" s="1251"/>
      <c r="BJE70" s="1251"/>
      <c r="BJF70" s="1251"/>
      <c r="BJG70" s="1251"/>
      <c r="BJH70" s="1251"/>
      <c r="BJI70" s="1251"/>
      <c r="BJJ70" s="1251"/>
      <c r="BJK70" s="1251"/>
      <c r="BJL70" s="1251"/>
      <c r="BJM70" s="1251"/>
      <c r="BJN70" s="1251"/>
      <c r="BJO70" s="1251"/>
      <c r="BJP70" s="1251"/>
      <c r="BJQ70" s="1251"/>
      <c r="BJR70" s="1251"/>
      <c r="BJS70" s="1251"/>
      <c r="BJT70" s="1251"/>
      <c r="BJU70" s="1251"/>
      <c r="BJV70" s="1251"/>
      <c r="BJW70" s="1251"/>
      <c r="BJX70" s="1251"/>
      <c r="BJY70" s="1251"/>
      <c r="BJZ70" s="1251"/>
      <c r="BKA70" s="1251"/>
      <c r="BKB70" s="1251"/>
      <c r="BKC70" s="1251"/>
      <c r="BKD70" s="1251"/>
      <c r="BKE70" s="1251"/>
      <c r="BKF70" s="1251"/>
      <c r="BKG70" s="1251"/>
      <c r="BKH70" s="1251"/>
      <c r="BKI70" s="1251"/>
      <c r="BKJ70" s="1251"/>
      <c r="BKK70" s="1251"/>
      <c r="BKL70" s="1251"/>
      <c r="BKM70" s="1251"/>
      <c r="BKN70" s="1251"/>
      <c r="BKO70" s="1251"/>
      <c r="BKP70" s="1251"/>
      <c r="BKQ70" s="1251"/>
      <c r="BKR70" s="1251"/>
      <c r="BKS70" s="1251"/>
      <c r="BKT70" s="1251"/>
      <c r="BKU70" s="1251"/>
      <c r="BKV70" s="1251"/>
      <c r="BKW70" s="1251"/>
      <c r="BKX70" s="1251"/>
      <c r="BKY70" s="1251"/>
      <c r="BKZ70" s="1251"/>
      <c r="BLA70" s="1251"/>
      <c r="BLB70" s="1251"/>
      <c r="BLC70" s="1251"/>
      <c r="BLD70" s="1251"/>
      <c r="BLE70" s="1251"/>
      <c r="BLF70" s="1251"/>
      <c r="BLG70" s="1251"/>
      <c r="BLH70" s="1251"/>
      <c r="BLI70" s="1251"/>
      <c r="BLJ70" s="1251"/>
      <c r="BLK70" s="1251"/>
      <c r="BLL70" s="1251"/>
      <c r="BLM70" s="1251"/>
      <c r="BLN70" s="1251"/>
      <c r="BLO70" s="1251"/>
      <c r="BLP70" s="1251"/>
      <c r="BLQ70" s="1251"/>
      <c r="BLR70" s="1251"/>
      <c r="BLS70" s="1251"/>
      <c r="BLT70" s="1251"/>
      <c r="BLU70" s="1251"/>
      <c r="BLV70" s="1251"/>
      <c r="BLW70" s="1251"/>
      <c r="BLX70" s="1251"/>
      <c r="BLY70" s="1251"/>
      <c r="BLZ70" s="1251"/>
      <c r="BMA70" s="1251"/>
      <c r="BMB70" s="1251"/>
      <c r="BMC70" s="1251"/>
      <c r="BMD70" s="1251"/>
      <c r="BME70" s="1251"/>
      <c r="BMF70" s="1251"/>
      <c r="BMG70" s="1251"/>
      <c r="BMH70" s="1251"/>
      <c r="BMI70" s="1251"/>
      <c r="BMJ70" s="1251"/>
      <c r="BMK70" s="1251"/>
      <c r="BML70" s="1251"/>
      <c r="BMM70" s="1251"/>
      <c r="BMN70" s="1251"/>
      <c r="BMO70" s="1251"/>
      <c r="BMP70" s="1251"/>
      <c r="BMQ70" s="1251"/>
      <c r="BMR70" s="1251"/>
      <c r="BMS70" s="1251"/>
      <c r="BMT70" s="1251"/>
      <c r="BMU70" s="1251"/>
      <c r="BMV70" s="1251"/>
      <c r="BMW70" s="1251"/>
      <c r="BMX70" s="1251"/>
      <c r="BMY70" s="1251"/>
      <c r="BMZ70" s="1251"/>
      <c r="BNA70" s="1251"/>
      <c r="BNB70" s="1251"/>
      <c r="BNC70" s="1251"/>
      <c r="BND70" s="1251"/>
      <c r="BNE70" s="1251"/>
      <c r="BNF70" s="1251"/>
      <c r="BNG70" s="1251"/>
      <c r="BNH70" s="1251"/>
      <c r="BNI70" s="1251"/>
      <c r="BNJ70" s="1251"/>
      <c r="BNK70" s="1251"/>
      <c r="BNL70" s="1251"/>
      <c r="BNM70" s="1251"/>
      <c r="BNN70" s="1251"/>
      <c r="BNO70" s="1251"/>
      <c r="BNP70" s="1251"/>
      <c r="BNQ70" s="1251"/>
      <c r="BNR70" s="1251"/>
      <c r="BNS70" s="1251"/>
      <c r="BNT70" s="1251"/>
      <c r="BNU70" s="1251"/>
      <c r="BNV70" s="1251"/>
      <c r="BNW70" s="1251"/>
      <c r="BNX70" s="1251"/>
      <c r="BNY70" s="1251"/>
      <c r="BNZ70" s="1251"/>
      <c r="BOA70" s="1251"/>
      <c r="BOB70" s="1251"/>
      <c r="BOC70" s="1251"/>
      <c r="BOD70" s="1251"/>
      <c r="BOE70" s="1251"/>
      <c r="BOF70" s="1251"/>
      <c r="BOG70" s="1251"/>
      <c r="BOH70" s="1251"/>
      <c r="BOI70" s="1251"/>
      <c r="BOJ70" s="1251"/>
      <c r="BOK70" s="1251"/>
      <c r="BOL70" s="1251"/>
      <c r="BOM70" s="1251"/>
      <c r="BON70" s="1251"/>
      <c r="BOO70" s="1251"/>
      <c r="BOP70" s="1251"/>
      <c r="BOQ70" s="1251"/>
      <c r="BOR70" s="1251"/>
      <c r="BOS70" s="1251"/>
      <c r="BOT70" s="1251"/>
      <c r="BOU70" s="1251"/>
      <c r="BOV70" s="1251"/>
      <c r="BOW70" s="1251"/>
      <c r="BOX70" s="1251"/>
      <c r="BOY70" s="1251"/>
      <c r="BOZ70" s="1251"/>
      <c r="BPA70" s="1251"/>
      <c r="BPB70" s="1251"/>
      <c r="BPC70" s="1251"/>
      <c r="BPD70" s="1251"/>
      <c r="BPE70" s="1251"/>
      <c r="BPF70" s="1251"/>
      <c r="BPG70" s="1251"/>
      <c r="BPH70" s="1251"/>
      <c r="BPI70" s="1251"/>
      <c r="BPJ70" s="1251"/>
      <c r="BPK70" s="1251"/>
      <c r="BPL70" s="1251"/>
      <c r="BPM70" s="1251"/>
      <c r="BPN70" s="1251"/>
      <c r="BPO70" s="1251"/>
      <c r="BPP70" s="1251"/>
      <c r="BPQ70" s="1251"/>
      <c r="BPR70" s="1251"/>
      <c r="BPS70" s="1251"/>
      <c r="BPT70" s="1251"/>
      <c r="BPU70" s="1251"/>
      <c r="BPV70" s="1251"/>
      <c r="BPW70" s="1251"/>
      <c r="BPX70" s="1251"/>
      <c r="BPY70" s="1251"/>
      <c r="BPZ70" s="1251"/>
      <c r="BQA70" s="1251"/>
      <c r="BQB70" s="1251"/>
      <c r="BQC70" s="1251"/>
      <c r="BQD70" s="1251"/>
      <c r="BQE70" s="1251"/>
      <c r="BQF70" s="1251"/>
      <c r="BQG70" s="1251"/>
      <c r="BQH70" s="1251"/>
      <c r="BQI70" s="1251"/>
      <c r="BQJ70" s="1251"/>
      <c r="BQK70" s="1251"/>
      <c r="BQL70" s="1251"/>
      <c r="BQM70" s="1251"/>
      <c r="BQN70" s="1251"/>
      <c r="BQO70" s="1251"/>
      <c r="BQP70" s="1251"/>
      <c r="BQQ70" s="1251"/>
      <c r="BQR70" s="1251"/>
      <c r="BQS70" s="1251"/>
      <c r="BQT70" s="1251"/>
      <c r="BQU70" s="1251"/>
      <c r="BQV70" s="1251"/>
      <c r="BQW70" s="1251"/>
      <c r="BQX70" s="1251"/>
      <c r="BQY70" s="1251"/>
      <c r="BQZ70" s="1251"/>
      <c r="BRA70" s="1251"/>
      <c r="BRB70" s="1251"/>
      <c r="BRC70" s="1251"/>
      <c r="BRD70" s="1251"/>
      <c r="BRE70" s="1251"/>
      <c r="BRF70" s="1251"/>
      <c r="BRG70" s="1251"/>
      <c r="BRH70" s="1251"/>
      <c r="BRI70" s="1251"/>
      <c r="BRJ70" s="1251"/>
      <c r="BRK70" s="1251"/>
      <c r="BRL70" s="1251"/>
      <c r="BRM70" s="1251"/>
      <c r="BRN70" s="1251"/>
      <c r="BRO70" s="1251"/>
      <c r="BRP70" s="1251"/>
      <c r="BRQ70" s="1251"/>
      <c r="BRR70" s="1251"/>
      <c r="BRS70" s="1251"/>
      <c r="BRT70" s="1251"/>
      <c r="BRU70" s="1251"/>
      <c r="BRV70" s="1251"/>
      <c r="BRW70" s="1251"/>
      <c r="BRX70" s="1251"/>
      <c r="BRY70" s="1251"/>
      <c r="BRZ70" s="1251"/>
      <c r="BSA70" s="1251"/>
      <c r="BSB70" s="1251"/>
      <c r="BSC70" s="1251"/>
      <c r="BSD70" s="1251"/>
      <c r="BSE70" s="1251"/>
      <c r="BSF70" s="1251"/>
      <c r="BSG70" s="1251"/>
      <c r="BSH70" s="1251"/>
      <c r="BSI70" s="1251"/>
      <c r="BSJ70" s="1251"/>
      <c r="BSK70" s="1251"/>
      <c r="BSL70" s="1251"/>
      <c r="BSM70" s="1251"/>
      <c r="BSN70" s="1251"/>
      <c r="BSO70" s="1251"/>
      <c r="BSP70" s="1251"/>
      <c r="BSQ70" s="1251"/>
      <c r="BSR70" s="1251"/>
      <c r="BSS70" s="1251"/>
      <c r="BST70" s="1251"/>
      <c r="BSU70" s="1251"/>
      <c r="BSV70" s="1251"/>
      <c r="BSW70" s="1251"/>
      <c r="BSX70" s="1251"/>
      <c r="BSY70" s="1251"/>
      <c r="BSZ70" s="1251"/>
      <c r="BTA70" s="1251"/>
      <c r="BTB70" s="1251"/>
      <c r="BTC70" s="1251"/>
      <c r="BTD70" s="1251"/>
      <c r="BTE70" s="1251"/>
      <c r="BTF70" s="1251"/>
      <c r="BTG70" s="1251"/>
      <c r="BTH70" s="1251"/>
      <c r="BTI70" s="1251"/>
    </row>
    <row r="71" spans="1:1881" s="1261" customFormat="1" ht="78.75" hidden="1" customHeight="1" thickBot="1" x14ac:dyDescent="0.35">
      <c r="A71" s="1265">
        <v>646</v>
      </c>
      <c r="B71" s="804" t="s">
        <v>652</v>
      </c>
      <c r="C71" s="804" t="s">
        <v>149</v>
      </c>
      <c r="D71" s="749" t="s">
        <v>653</v>
      </c>
      <c r="E71" s="1249" t="e">
        <f>HLOOKUP($D$2,'2020 Data(H)'!$C$1:$CZ$426,305,FALSE)</f>
        <v>#N/A</v>
      </c>
      <c r="F71" s="1263">
        <v>0</v>
      </c>
      <c r="G71" s="727">
        <f>IF(F71&lt;0,"Note: Number is normally positive.",)</f>
        <v>0</v>
      </c>
      <c r="H71" s="728"/>
      <c r="I71" s="1264"/>
      <c r="J71" s="1252"/>
      <c r="K71" s="1251"/>
      <c r="L71" s="701"/>
      <c r="M71" s="1251"/>
      <c r="N71" s="1253"/>
      <c r="O71" s="1251"/>
      <c r="P71" s="1251"/>
      <c r="Q71" s="1251"/>
      <c r="R71" s="1251"/>
      <c r="S71" s="1251"/>
      <c r="T71" s="1251"/>
      <c r="U71" s="1251"/>
      <c r="V71" s="1251"/>
      <c r="W71" s="1251"/>
      <c r="X71" s="1251"/>
      <c r="Y71" s="1251"/>
      <c r="Z71" s="1265"/>
      <c r="AA71" s="1265"/>
      <c r="AB71" s="1265"/>
      <c r="AC71" s="1265"/>
      <c r="AD71" s="1265"/>
      <c r="AE71" s="1265"/>
      <c r="AF71" s="1265"/>
      <c r="AG71" s="1265"/>
      <c r="AH71" s="1265"/>
      <c r="AI71" s="1265"/>
      <c r="AJ71" s="1265"/>
      <c r="AK71" s="1265"/>
      <c r="AL71" s="1265"/>
      <c r="AM71" s="1265"/>
      <c r="AN71" s="1265"/>
      <c r="AO71" s="1265"/>
      <c r="AP71" s="1265"/>
      <c r="AQ71" s="1265"/>
      <c r="AR71" s="1265"/>
      <c r="AS71" s="1251"/>
      <c r="AT71" s="1251"/>
      <c r="AU71" s="1251"/>
      <c r="AV71" s="1251"/>
      <c r="AW71" s="1251"/>
      <c r="AX71" s="1251"/>
      <c r="AY71" s="1251"/>
      <c r="AZ71" s="1251"/>
      <c r="BA71" s="1251"/>
      <c r="BB71" s="1251"/>
      <c r="BC71" s="1251"/>
      <c r="BD71" s="1251"/>
      <c r="BE71" s="1251"/>
      <c r="BF71" s="1251"/>
      <c r="BG71" s="1251"/>
      <c r="BH71" s="1251"/>
      <c r="BI71" s="1251"/>
      <c r="BJ71" s="1251"/>
      <c r="BK71" s="1251"/>
      <c r="BL71" s="1251"/>
      <c r="BM71" s="1251"/>
      <c r="BN71" s="1251"/>
      <c r="BO71" s="1251"/>
      <c r="BP71" s="1251"/>
      <c r="BQ71" s="1251"/>
      <c r="BR71" s="1251"/>
      <c r="BS71" s="1251"/>
      <c r="BT71" s="1251"/>
      <c r="BU71" s="1251"/>
      <c r="BV71" s="1251"/>
      <c r="BW71" s="1251"/>
      <c r="BX71" s="1251"/>
      <c r="BY71" s="1251"/>
      <c r="BZ71" s="1251"/>
      <c r="CA71" s="1251"/>
      <c r="CB71" s="1251"/>
      <c r="CC71" s="1251"/>
      <c r="CD71" s="1251"/>
      <c r="CE71" s="1251"/>
      <c r="CF71" s="1251"/>
      <c r="CG71" s="1251"/>
      <c r="CH71" s="1251"/>
      <c r="CI71" s="1251"/>
      <c r="CJ71" s="1251"/>
      <c r="CK71" s="1251"/>
      <c r="CL71" s="1251"/>
      <c r="CM71" s="1251"/>
      <c r="CN71" s="1251"/>
      <c r="CO71" s="1251"/>
      <c r="CP71" s="1251"/>
      <c r="CQ71" s="1251"/>
      <c r="CR71" s="1251"/>
      <c r="CS71" s="1251"/>
      <c r="CT71" s="1251"/>
      <c r="CU71" s="1251"/>
      <c r="CV71" s="1251"/>
      <c r="CW71" s="1251"/>
      <c r="CX71" s="1251"/>
      <c r="CY71" s="1251"/>
      <c r="CZ71" s="1251"/>
      <c r="DA71" s="1251"/>
      <c r="DB71" s="1251"/>
      <c r="DC71" s="1251"/>
      <c r="DD71" s="1251"/>
      <c r="DE71" s="1251"/>
      <c r="DF71" s="1251"/>
      <c r="DG71" s="1251"/>
      <c r="DH71" s="1251"/>
      <c r="DI71" s="1251"/>
      <c r="DJ71" s="1251"/>
      <c r="DK71" s="1251"/>
      <c r="DL71" s="1251"/>
      <c r="DM71" s="1251"/>
      <c r="DN71" s="1251"/>
      <c r="DO71" s="1251"/>
      <c r="DP71" s="1251"/>
      <c r="DQ71" s="1251"/>
      <c r="DR71" s="1251"/>
      <c r="DS71" s="1251"/>
      <c r="DT71" s="1251"/>
      <c r="DU71" s="1251"/>
      <c r="DV71" s="1251"/>
      <c r="DW71" s="1251"/>
      <c r="DX71" s="1251"/>
      <c r="DY71" s="1251"/>
      <c r="DZ71" s="1251"/>
      <c r="EA71" s="1251"/>
      <c r="EB71" s="1251"/>
      <c r="EC71" s="1251"/>
      <c r="ED71" s="1251"/>
      <c r="EE71" s="1251"/>
      <c r="EF71" s="1251"/>
      <c r="EG71" s="1251"/>
      <c r="EH71" s="1251"/>
      <c r="EI71" s="1251"/>
      <c r="EJ71" s="1251"/>
      <c r="EK71" s="1251"/>
      <c r="EL71" s="1251"/>
      <c r="EM71" s="1251"/>
      <c r="EN71" s="1251"/>
      <c r="EO71" s="1251"/>
      <c r="EP71" s="1251"/>
      <c r="EQ71" s="1251"/>
      <c r="ER71" s="1251"/>
      <c r="ES71" s="1251"/>
      <c r="ET71" s="1251"/>
      <c r="EU71" s="1251"/>
      <c r="EV71" s="1251"/>
      <c r="EW71" s="1251"/>
      <c r="EX71" s="1251"/>
      <c r="EY71" s="1251"/>
      <c r="EZ71" s="1251"/>
      <c r="FA71" s="1251"/>
      <c r="FB71" s="1251"/>
      <c r="FC71" s="1251"/>
      <c r="FD71" s="1251"/>
      <c r="FE71" s="1251"/>
      <c r="FF71" s="1251"/>
      <c r="FG71" s="1251"/>
      <c r="FH71" s="1251"/>
      <c r="FI71" s="1251"/>
      <c r="FJ71" s="1251"/>
      <c r="FK71" s="1251"/>
      <c r="FL71" s="1251"/>
      <c r="FM71" s="1251"/>
      <c r="FN71" s="1251"/>
      <c r="FO71" s="1251"/>
      <c r="FP71" s="1251"/>
      <c r="FQ71" s="1251"/>
      <c r="FR71" s="1251"/>
      <c r="FS71" s="1251"/>
      <c r="FT71" s="1251"/>
      <c r="FU71" s="1251"/>
      <c r="FV71" s="1251"/>
      <c r="FW71" s="1251"/>
      <c r="FX71" s="1251"/>
      <c r="FY71" s="1251"/>
      <c r="FZ71" s="1251"/>
      <c r="GA71" s="1251"/>
      <c r="GB71" s="1251"/>
      <c r="GC71" s="1251"/>
      <c r="GD71" s="1251"/>
      <c r="GE71" s="1251"/>
      <c r="GF71" s="1251"/>
      <c r="GG71" s="1251"/>
      <c r="GH71" s="1251"/>
      <c r="GI71" s="1251"/>
      <c r="GJ71" s="1251"/>
      <c r="GK71" s="1251"/>
      <c r="GL71" s="1251"/>
      <c r="GM71" s="1251"/>
      <c r="GN71" s="1251"/>
      <c r="GO71" s="1251"/>
      <c r="GP71" s="1251"/>
      <c r="GQ71" s="1251"/>
      <c r="GR71" s="1251"/>
      <c r="GS71" s="1251"/>
      <c r="GT71" s="1251"/>
      <c r="GU71" s="1251"/>
      <c r="GV71" s="1251"/>
      <c r="GW71" s="1251"/>
      <c r="GX71" s="1251"/>
      <c r="GY71" s="1251"/>
      <c r="GZ71" s="1251"/>
      <c r="HA71" s="1251"/>
      <c r="HB71" s="1251"/>
      <c r="HC71" s="1251"/>
      <c r="HD71" s="1251"/>
      <c r="HE71" s="1251"/>
      <c r="HF71" s="1251"/>
      <c r="HG71" s="1251"/>
      <c r="HH71" s="1251"/>
      <c r="HI71" s="1251"/>
      <c r="HJ71" s="1251"/>
      <c r="HK71" s="1251"/>
      <c r="HL71" s="1251"/>
      <c r="HM71" s="1251"/>
      <c r="HN71" s="1251"/>
      <c r="HO71" s="1251"/>
      <c r="HP71" s="1251"/>
      <c r="HQ71" s="1251"/>
      <c r="HR71" s="1251"/>
      <c r="HS71" s="1251"/>
      <c r="HT71" s="1251"/>
      <c r="HU71" s="1251"/>
      <c r="HV71" s="1251"/>
      <c r="HW71" s="1251"/>
      <c r="HX71" s="1251"/>
      <c r="HY71" s="1251"/>
      <c r="HZ71" s="1251"/>
      <c r="IA71" s="1251"/>
      <c r="IB71" s="1251"/>
      <c r="IC71" s="1251"/>
      <c r="ID71" s="1251"/>
      <c r="IE71" s="1251"/>
      <c r="IF71" s="1251"/>
      <c r="IG71" s="1251"/>
      <c r="IH71" s="1251"/>
      <c r="II71" s="1251"/>
      <c r="IJ71" s="1251"/>
      <c r="IK71" s="1251"/>
      <c r="IL71" s="1251"/>
      <c r="IM71" s="1251"/>
      <c r="IN71" s="1251"/>
      <c r="IO71" s="1251"/>
      <c r="IP71" s="1251"/>
      <c r="IQ71" s="1251"/>
      <c r="IR71" s="1251"/>
      <c r="IS71" s="1251"/>
      <c r="IT71" s="1251"/>
      <c r="IU71" s="1251"/>
      <c r="IV71" s="1251"/>
      <c r="IW71" s="1251"/>
      <c r="IX71" s="1251"/>
      <c r="IY71" s="1251"/>
      <c r="IZ71" s="1251"/>
      <c r="JA71" s="1251"/>
      <c r="JB71" s="1251"/>
      <c r="JC71" s="1251"/>
      <c r="JD71" s="1251"/>
      <c r="JE71" s="1251"/>
      <c r="JF71" s="1251"/>
      <c r="JG71" s="1251"/>
      <c r="JH71" s="1251"/>
      <c r="JI71" s="1251"/>
      <c r="JJ71" s="1251"/>
      <c r="JK71" s="1251"/>
      <c r="JL71" s="1251"/>
      <c r="JM71" s="1251"/>
      <c r="JN71" s="1251"/>
      <c r="JO71" s="1251"/>
      <c r="JP71" s="1251"/>
      <c r="JQ71" s="1251"/>
      <c r="JR71" s="1251"/>
      <c r="JS71" s="1251"/>
      <c r="JT71" s="1251"/>
      <c r="JU71" s="1251"/>
      <c r="JV71" s="1251"/>
      <c r="JW71" s="1251"/>
      <c r="JX71" s="1251"/>
      <c r="JY71" s="1251"/>
      <c r="JZ71" s="1251"/>
      <c r="KA71" s="1251"/>
      <c r="KB71" s="1251"/>
      <c r="KC71" s="1251"/>
      <c r="KD71" s="1251"/>
      <c r="KE71" s="1251"/>
      <c r="KF71" s="1251"/>
      <c r="KG71" s="1251"/>
      <c r="KH71" s="1251"/>
      <c r="KI71" s="1251"/>
      <c r="KJ71" s="1251"/>
      <c r="KK71" s="1251"/>
      <c r="KL71" s="1251"/>
      <c r="KM71" s="1251"/>
      <c r="KN71" s="1251"/>
      <c r="KO71" s="1251"/>
      <c r="KP71" s="1251"/>
      <c r="KQ71" s="1251"/>
      <c r="KR71" s="1251"/>
      <c r="KS71" s="1251"/>
      <c r="KT71" s="1251"/>
      <c r="KU71" s="1251"/>
      <c r="KV71" s="1251"/>
      <c r="KW71" s="1251"/>
      <c r="KX71" s="1251"/>
      <c r="KY71" s="1251"/>
      <c r="KZ71" s="1251"/>
      <c r="LA71" s="1251"/>
      <c r="LB71" s="1251"/>
      <c r="LC71" s="1251"/>
      <c r="LD71" s="1251"/>
      <c r="LE71" s="1251"/>
      <c r="LF71" s="1251"/>
      <c r="LG71" s="1251"/>
      <c r="LH71" s="1251"/>
      <c r="LI71" s="1251"/>
      <c r="LJ71" s="1251"/>
      <c r="LK71" s="1251"/>
      <c r="LL71" s="1251"/>
      <c r="LM71" s="1251"/>
      <c r="LN71" s="1251"/>
      <c r="LO71" s="1251"/>
      <c r="LP71" s="1251"/>
      <c r="LQ71" s="1251"/>
      <c r="LR71" s="1251"/>
      <c r="LS71" s="1251"/>
      <c r="LT71" s="1251"/>
      <c r="LU71" s="1251"/>
      <c r="LV71" s="1251"/>
      <c r="LW71" s="1251"/>
      <c r="LX71" s="1251"/>
      <c r="LY71" s="1251"/>
      <c r="LZ71" s="1251"/>
      <c r="MA71" s="1251"/>
      <c r="MB71" s="1251"/>
      <c r="MC71" s="1251"/>
      <c r="MD71" s="1251"/>
      <c r="ME71" s="1251"/>
      <c r="MF71" s="1251"/>
      <c r="MG71" s="1251"/>
      <c r="MH71" s="1251"/>
      <c r="MI71" s="1251"/>
      <c r="MJ71" s="1251"/>
      <c r="MK71" s="1251"/>
      <c r="ML71" s="1251"/>
      <c r="MM71" s="1251"/>
      <c r="MN71" s="1251"/>
      <c r="MO71" s="1251"/>
      <c r="MP71" s="1251"/>
      <c r="MQ71" s="1251"/>
      <c r="MR71" s="1251"/>
      <c r="MS71" s="1251"/>
      <c r="MT71" s="1251"/>
      <c r="MU71" s="1251"/>
      <c r="MV71" s="1251"/>
      <c r="MW71" s="1251"/>
      <c r="MX71" s="1251"/>
      <c r="MY71" s="1251"/>
      <c r="MZ71" s="1251"/>
      <c r="NA71" s="1251"/>
      <c r="NB71" s="1251"/>
      <c r="NC71" s="1251"/>
      <c r="ND71" s="1251"/>
      <c r="NE71" s="1251"/>
      <c r="NF71" s="1251"/>
      <c r="NG71" s="1251"/>
      <c r="NH71" s="1251"/>
      <c r="NI71" s="1251"/>
      <c r="NJ71" s="1251"/>
      <c r="NK71" s="1251"/>
      <c r="NL71" s="1251"/>
      <c r="NM71" s="1251"/>
      <c r="NN71" s="1251"/>
      <c r="NO71" s="1251"/>
      <c r="NP71" s="1251"/>
      <c r="NQ71" s="1251"/>
      <c r="NR71" s="1251"/>
      <c r="NS71" s="1251"/>
      <c r="NT71" s="1251"/>
      <c r="NU71" s="1251"/>
      <c r="NV71" s="1251"/>
      <c r="NW71" s="1251"/>
      <c r="NX71" s="1251"/>
      <c r="NY71" s="1251"/>
      <c r="NZ71" s="1251"/>
      <c r="OA71" s="1251"/>
      <c r="OB71" s="1251"/>
      <c r="OC71" s="1251"/>
      <c r="OD71" s="1251"/>
      <c r="OE71" s="1251"/>
      <c r="OF71" s="1251"/>
      <c r="OG71" s="1251"/>
      <c r="OH71" s="1251"/>
      <c r="OI71" s="1251"/>
      <c r="OJ71" s="1251"/>
      <c r="OK71" s="1251"/>
      <c r="OL71" s="1251"/>
      <c r="OM71" s="1251"/>
      <c r="ON71" s="1251"/>
      <c r="OO71" s="1251"/>
      <c r="OP71" s="1251"/>
      <c r="OQ71" s="1251"/>
      <c r="OR71" s="1251"/>
      <c r="OS71" s="1251"/>
      <c r="OT71" s="1251"/>
      <c r="OU71" s="1251"/>
      <c r="OV71" s="1251"/>
      <c r="OW71" s="1251"/>
      <c r="OX71" s="1251"/>
      <c r="OY71" s="1251"/>
      <c r="OZ71" s="1251"/>
      <c r="PA71" s="1251"/>
      <c r="PB71" s="1251"/>
      <c r="PC71" s="1251"/>
      <c r="PD71" s="1251"/>
      <c r="PE71" s="1251"/>
      <c r="PF71" s="1251"/>
      <c r="PG71" s="1251"/>
      <c r="PH71" s="1251"/>
      <c r="PI71" s="1251"/>
      <c r="PJ71" s="1251"/>
      <c r="PK71" s="1251"/>
      <c r="PL71" s="1251"/>
      <c r="PM71" s="1251"/>
      <c r="PN71" s="1251"/>
      <c r="PO71" s="1251"/>
      <c r="PP71" s="1251"/>
      <c r="PQ71" s="1251"/>
      <c r="PR71" s="1251"/>
      <c r="PS71" s="1251"/>
      <c r="PT71" s="1251"/>
      <c r="PU71" s="1251"/>
      <c r="PV71" s="1251"/>
      <c r="PW71" s="1251"/>
      <c r="PX71" s="1251"/>
      <c r="PY71" s="1251"/>
      <c r="PZ71" s="1251"/>
      <c r="QA71" s="1251"/>
      <c r="QB71" s="1251"/>
      <c r="QC71" s="1251"/>
      <c r="QD71" s="1251"/>
      <c r="QE71" s="1251"/>
      <c r="QF71" s="1251"/>
      <c r="QG71" s="1251"/>
      <c r="QH71" s="1251"/>
      <c r="QI71" s="1251"/>
      <c r="QJ71" s="1251"/>
      <c r="QK71" s="1251"/>
      <c r="QL71" s="1251"/>
      <c r="QM71" s="1251"/>
      <c r="QN71" s="1251"/>
      <c r="QO71" s="1251"/>
      <c r="QP71" s="1251"/>
      <c r="QQ71" s="1251"/>
      <c r="QR71" s="1251"/>
      <c r="QS71" s="1251"/>
      <c r="QT71" s="1251"/>
      <c r="QU71" s="1251"/>
      <c r="QV71" s="1251"/>
      <c r="QW71" s="1251"/>
      <c r="QX71" s="1251"/>
      <c r="QY71" s="1251"/>
      <c r="QZ71" s="1251"/>
      <c r="RA71" s="1251"/>
      <c r="RB71" s="1251"/>
      <c r="RC71" s="1251"/>
      <c r="RD71" s="1251"/>
      <c r="RE71" s="1251"/>
      <c r="RF71" s="1251"/>
      <c r="RG71" s="1251"/>
      <c r="RH71" s="1251"/>
      <c r="RI71" s="1251"/>
      <c r="RJ71" s="1251"/>
      <c r="RK71" s="1251"/>
      <c r="RL71" s="1251"/>
      <c r="RM71" s="1251"/>
      <c r="RN71" s="1251"/>
      <c r="RO71" s="1251"/>
      <c r="RP71" s="1251"/>
      <c r="RQ71" s="1251"/>
      <c r="RR71" s="1251"/>
      <c r="RS71" s="1251"/>
      <c r="RT71" s="1251"/>
      <c r="RU71" s="1251"/>
      <c r="RV71" s="1251"/>
      <c r="RW71" s="1251"/>
      <c r="RX71" s="1251"/>
      <c r="RY71" s="1251"/>
      <c r="RZ71" s="1251"/>
      <c r="SA71" s="1251"/>
      <c r="SB71" s="1251"/>
      <c r="SC71" s="1251"/>
      <c r="SD71" s="1251"/>
      <c r="SE71" s="1251"/>
      <c r="SF71" s="1251"/>
      <c r="SG71" s="1251"/>
      <c r="SH71" s="1251"/>
      <c r="SI71" s="1251"/>
      <c r="SJ71" s="1251"/>
      <c r="SK71" s="1251"/>
      <c r="SL71" s="1251"/>
      <c r="SM71" s="1251"/>
      <c r="SN71" s="1251"/>
      <c r="SO71" s="1251"/>
      <c r="SP71" s="1251"/>
      <c r="SQ71" s="1251"/>
      <c r="SR71" s="1251"/>
      <c r="SS71" s="1251"/>
      <c r="ST71" s="1251"/>
      <c r="SU71" s="1251"/>
      <c r="SV71" s="1251"/>
      <c r="SW71" s="1251"/>
      <c r="SX71" s="1251"/>
      <c r="SY71" s="1251"/>
      <c r="SZ71" s="1251"/>
      <c r="TA71" s="1251"/>
      <c r="TB71" s="1251"/>
      <c r="TC71" s="1251"/>
      <c r="TD71" s="1251"/>
      <c r="TE71" s="1251"/>
      <c r="TF71" s="1251"/>
      <c r="TG71" s="1251"/>
      <c r="TH71" s="1251"/>
      <c r="TI71" s="1251"/>
      <c r="TJ71" s="1251"/>
      <c r="TK71" s="1251"/>
      <c r="TL71" s="1251"/>
      <c r="TM71" s="1251"/>
      <c r="TN71" s="1251"/>
      <c r="TO71" s="1251"/>
      <c r="TP71" s="1251"/>
      <c r="TQ71" s="1251"/>
      <c r="TR71" s="1251"/>
      <c r="TS71" s="1251"/>
      <c r="TT71" s="1251"/>
      <c r="TU71" s="1251"/>
      <c r="TV71" s="1251"/>
      <c r="TW71" s="1251"/>
      <c r="TX71" s="1251"/>
      <c r="TY71" s="1251"/>
      <c r="TZ71" s="1251"/>
      <c r="UA71" s="1251"/>
      <c r="UB71" s="1251"/>
      <c r="UC71" s="1251"/>
      <c r="UD71" s="1251"/>
      <c r="UE71" s="1251"/>
      <c r="UF71" s="1251"/>
      <c r="UG71" s="1251"/>
      <c r="UH71" s="1251"/>
      <c r="UI71" s="1251"/>
      <c r="UJ71" s="1251"/>
      <c r="UK71" s="1251"/>
      <c r="UL71" s="1251"/>
      <c r="UM71" s="1251"/>
      <c r="UN71" s="1251"/>
      <c r="UO71" s="1251"/>
      <c r="UP71" s="1251"/>
      <c r="UQ71" s="1251"/>
      <c r="UR71" s="1251"/>
      <c r="US71" s="1251"/>
      <c r="UT71" s="1251"/>
      <c r="UU71" s="1251"/>
      <c r="UV71" s="1251"/>
      <c r="UW71" s="1251"/>
      <c r="UX71" s="1251"/>
      <c r="UY71" s="1251"/>
      <c r="UZ71" s="1251"/>
      <c r="VA71" s="1251"/>
      <c r="VB71" s="1251"/>
      <c r="VC71" s="1251"/>
      <c r="VD71" s="1251"/>
      <c r="VE71" s="1251"/>
      <c r="VF71" s="1251"/>
      <c r="VG71" s="1251"/>
      <c r="VH71" s="1251"/>
      <c r="VI71" s="1251"/>
      <c r="VJ71" s="1251"/>
      <c r="VK71" s="1251"/>
      <c r="VL71" s="1251"/>
      <c r="VM71" s="1251"/>
      <c r="VN71" s="1251"/>
      <c r="VO71" s="1251"/>
      <c r="VP71" s="1251"/>
      <c r="VQ71" s="1251"/>
      <c r="VR71" s="1251"/>
      <c r="VS71" s="1251"/>
      <c r="VT71" s="1251"/>
      <c r="VU71" s="1251"/>
      <c r="VV71" s="1251"/>
      <c r="VW71" s="1251"/>
      <c r="VX71" s="1251"/>
      <c r="VY71" s="1251"/>
      <c r="VZ71" s="1251"/>
      <c r="WA71" s="1251"/>
      <c r="WB71" s="1251"/>
      <c r="WC71" s="1251"/>
      <c r="WD71" s="1251"/>
      <c r="WE71" s="1251"/>
      <c r="WF71" s="1251"/>
      <c r="WG71" s="1251"/>
      <c r="WH71" s="1251"/>
      <c r="WI71" s="1251"/>
      <c r="WJ71" s="1251"/>
      <c r="WK71" s="1251"/>
      <c r="WL71" s="1251"/>
      <c r="WM71" s="1251"/>
      <c r="WN71" s="1251"/>
      <c r="WO71" s="1251"/>
      <c r="WP71" s="1251"/>
      <c r="WQ71" s="1251"/>
      <c r="WR71" s="1251"/>
      <c r="WS71" s="1251"/>
      <c r="WT71" s="1251"/>
      <c r="WU71" s="1251"/>
      <c r="WV71" s="1251"/>
      <c r="WW71" s="1251"/>
      <c r="WX71" s="1251"/>
      <c r="WY71" s="1251"/>
      <c r="WZ71" s="1251"/>
      <c r="XA71" s="1251"/>
      <c r="XB71" s="1251"/>
      <c r="XC71" s="1251"/>
      <c r="XD71" s="1251"/>
      <c r="XE71" s="1251"/>
      <c r="XF71" s="1251"/>
      <c r="XG71" s="1251"/>
      <c r="XH71" s="1251"/>
      <c r="XI71" s="1251"/>
      <c r="XJ71" s="1251"/>
      <c r="XK71" s="1251"/>
      <c r="XL71" s="1251"/>
      <c r="XM71" s="1251"/>
      <c r="XN71" s="1251"/>
      <c r="XO71" s="1251"/>
      <c r="XP71" s="1251"/>
      <c r="XQ71" s="1251"/>
      <c r="XR71" s="1251"/>
      <c r="XS71" s="1251"/>
      <c r="XT71" s="1251"/>
      <c r="XU71" s="1251"/>
      <c r="XV71" s="1251"/>
      <c r="XW71" s="1251"/>
      <c r="XX71" s="1251"/>
      <c r="XY71" s="1251"/>
      <c r="XZ71" s="1251"/>
      <c r="YA71" s="1251"/>
      <c r="YB71" s="1251"/>
      <c r="YC71" s="1251"/>
      <c r="YD71" s="1251"/>
      <c r="YE71" s="1251"/>
      <c r="YF71" s="1251"/>
      <c r="YG71" s="1251"/>
      <c r="YH71" s="1251"/>
      <c r="YI71" s="1251"/>
      <c r="YJ71" s="1251"/>
      <c r="YK71" s="1251"/>
      <c r="YL71" s="1251"/>
      <c r="YM71" s="1251"/>
      <c r="YN71" s="1251"/>
      <c r="YO71" s="1251"/>
      <c r="YP71" s="1251"/>
      <c r="YQ71" s="1251"/>
      <c r="YR71" s="1251"/>
      <c r="YS71" s="1251"/>
      <c r="YT71" s="1251"/>
      <c r="YU71" s="1251"/>
      <c r="YV71" s="1251"/>
      <c r="YW71" s="1251"/>
      <c r="YX71" s="1251"/>
      <c r="YY71" s="1251"/>
      <c r="YZ71" s="1251"/>
      <c r="ZA71" s="1251"/>
      <c r="ZB71" s="1251"/>
      <c r="ZC71" s="1251"/>
      <c r="ZD71" s="1251"/>
      <c r="ZE71" s="1251"/>
      <c r="ZF71" s="1251"/>
      <c r="ZG71" s="1251"/>
      <c r="ZH71" s="1251"/>
      <c r="ZI71" s="1251"/>
      <c r="ZJ71" s="1251"/>
      <c r="ZK71" s="1251"/>
      <c r="ZL71" s="1251"/>
      <c r="ZM71" s="1251"/>
      <c r="ZN71" s="1251"/>
      <c r="ZO71" s="1251"/>
      <c r="ZP71" s="1251"/>
      <c r="ZQ71" s="1251"/>
      <c r="ZR71" s="1251"/>
      <c r="ZS71" s="1251"/>
      <c r="ZT71" s="1251"/>
      <c r="ZU71" s="1251"/>
      <c r="ZV71" s="1251"/>
      <c r="ZW71" s="1251"/>
      <c r="ZX71" s="1251"/>
      <c r="ZY71" s="1251"/>
      <c r="ZZ71" s="1251"/>
      <c r="AAA71" s="1251"/>
      <c r="AAB71" s="1251"/>
      <c r="AAC71" s="1251"/>
      <c r="AAD71" s="1251"/>
      <c r="AAE71" s="1251"/>
      <c r="AAF71" s="1251"/>
      <c r="AAG71" s="1251"/>
      <c r="AAH71" s="1251"/>
      <c r="AAI71" s="1251"/>
      <c r="AAJ71" s="1251"/>
      <c r="AAK71" s="1251"/>
      <c r="AAL71" s="1251"/>
      <c r="AAM71" s="1251"/>
      <c r="AAN71" s="1251"/>
      <c r="AAO71" s="1251"/>
      <c r="AAP71" s="1251"/>
      <c r="AAQ71" s="1251"/>
      <c r="AAR71" s="1251"/>
      <c r="AAS71" s="1251"/>
      <c r="AAT71" s="1251"/>
      <c r="AAU71" s="1251"/>
      <c r="AAV71" s="1251"/>
      <c r="AAW71" s="1251"/>
      <c r="AAX71" s="1251"/>
      <c r="AAY71" s="1251"/>
      <c r="AAZ71" s="1251"/>
      <c r="ABA71" s="1251"/>
      <c r="ABB71" s="1251"/>
      <c r="ABC71" s="1251"/>
      <c r="ABD71" s="1251"/>
      <c r="ABE71" s="1251"/>
      <c r="ABF71" s="1251"/>
      <c r="ABG71" s="1251"/>
      <c r="ABH71" s="1251"/>
      <c r="ABI71" s="1251"/>
      <c r="ABJ71" s="1251"/>
      <c r="ABK71" s="1251"/>
      <c r="ABL71" s="1251"/>
      <c r="ABM71" s="1251"/>
      <c r="ABN71" s="1251"/>
      <c r="ABO71" s="1251"/>
      <c r="ABP71" s="1251"/>
      <c r="ABQ71" s="1251"/>
      <c r="ABR71" s="1251"/>
      <c r="ABS71" s="1251"/>
      <c r="ABT71" s="1251"/>
      <c r="ABU71" s="1251"/>
      <c r="ABV71" s="1251"/>
      <c r="ABW71" s="1251"/>
      <c r="ABX71" s="1251"/>
      <c r="ABY71" s="1251"/>
      <c r="ABZ71" s="1251"/>
      <c r="ACA71" s="1251"/>
      <c r="ACB71" s="1251"/>
      <c r="ACC71" s="1251"/>
      <c r="ACD71" s="1251"/>
      <c r="ACE71" s="1251"/>
      <c r="ACF71" s="1251"/>
      <c r="ACG71" s="1251"/>
      <c r="ACH71" s="1251"/>
      <c r="ACI71" s="1251"/>
      <c r="ACJ71" s="1251"/>
      <c r="ACK71" s="1251"/>
      <c r="ACL71" s="1251"/>
      <c r="ACM71" s="1251"/>
      <c r="ACN71" s="1251"/>
      <c r="ACO71" s="1251"/>
      <c r="ACP71" s="1251"/>
      <c r="ACQ71" s="1251"/>
      <c r="ACR71" s="1251"/>
      <c r="ACS71" s="1251"/>
      <c r="ACT71" s="1251"/>
      <c r="ACU71" s="1251"/>
      <c r="ACV71" s="1251"/>
      <c r="ACW71" s="1251"/>
      <c r="ACX71" s="1251"/>
      <c r="ACY71" s="1251"/>
      <c r="ACZ71" s="1251"/>
      <c r="ADA71" s="1251"/>
      <c r="ADB71" s="1251"/>
      <c r="ADC71" s="1251"/>
      <c r="ADD71" s="1251"/>
      <c r="ADE71" s="1251"/>
      <c r="ADF71" s="1251"/>
      <c r="ADG71" s="1251"/>
      <c r="ADH71" s="1251"/>
      <c r="ADI71" s="1251"/>
      <c r="ADJ71" s="1251"/>
      <c r="ADK71" s="1251"/>
      <c r="ADL71" s="1251"/>
      <c r="ADM71" s="1251"/>
      <c r="ADN71" s="1251"/>
      <c r="ADO71" s="1251"/>
      <c r="ADP71" s="1251"/>
      <c r="ADQ71" s="1251"/>
      <c r="ADR71" s="1251"/>
      <c r="ADS71" s="1251"/>
      <c r="ADT71" s="1251"/>
      <c r="ADU71" s="1251"/>
      <c r="ADV71" s="1251"/>
      <c r="ADW71" s="1251"/>
      <c r="ADX71" s="1251"/>
      <c r="ADY71" s="1251"/>
      <c r="ADZ71" s="1251"/>
      <c r="AEA71" s="1251"/>
      <c r="AEB71" s="1251"/>
      <c r="AEC71" s="1251"/>
      <c r="AED71" s="1251"/>
      <c r="AEE71" s="1251"/>
      <c r="AEF71" s="1251"/>
      <c r="AEG71" s="1251"/>
      <c r="AEH71" s="1251"/>
      <c r="AEI71" s="1251"/>
      <c r="AEJ71" s="1251"/>
      <c r="AEK71" s="1251"/>
      <c r="AEL71" s="1251"/>
      <c r="AEM71" s="1251"/>
      <c r="AEN71" s="1251"/>
      <c r="AEO71" s="1251"/>
      <c r="AEP71" s="1251"/>
      <c r="AEQ71" s="1251"/>
      <c r="AER71" s="1251"/>
      <c r="AES71" s="1251"/>
      <c r="AET71" s="1251"/>
      <c r="AEU71" s="1251"/>
      <c r="AEV71" s="1251"/>
      <c r="AEW71" s="1251"/>
      <c r="AEX71" s="1251"/>
      <c r="AEY71" s="1251"/>
      <c r="AEZ71" s="1251"/>
      <c r="AFA71" s="1251"/>
      <c r="AFB71" s="1251"/>
      <c r="AFC71" s="1251"/>
      <c r="AFD71" s="1251"/>
      <c r="AFE71" s="1251"/>
      <c r="AFF71" s="1251"/>
      <c r="AFG71" s="1251"/>
      <c r="AFH71" s="1251"/>
      <c r="AFI71" s="1251"/>
      <c r="AFJ71" s="1251"/>
      <c r="AFK71" s="1251"/>
      <c r="AFL71" s="1251"/>
      <c r="AFM71" s="1251"/>
      <c r="AFN71" s="1251"/>
      <c r="AFO71" s="1251"/>
      <c r="AFP71" s="1251"/>
      <c r="AFQ71" s="1251"/>
      <c r="AFR71" s="1251"/>
      <c r="AFS71" s="1251"/>
      <c r="AFT71" s="1251"/>
      <c r="AFU71" s="1251"/>
      <c r="AFV71" s="1251"/>
      <c r="AFW71" s="1251"/>
      <c r="AFX71" s="1251"/>
      <c r="AFY71" s="1251"/>
      <c r="AFZ71" s="1251"/>
      <c r="AGA71" s="1251"/>
      <c r="AGB71" s="1251"/>
      <c r="AGC71" s="1251"/>
      <c r="AGD71" s="1251"/>
      <c r="AGE71" s="1251"/>
      <c r="AGF71" s="1251"/>
      <c r="AGG71" s="1251"/>
      <c r="AGH71" s="1251"/>
      <c r="AGI71" s="1251"/>
      <c r="AGJ71" s="1251"/>
      <c r="AGK71" s="1251"/>
      <c r="AGL71" s="1251"/>
      <c r="AGM71" s="1251"/>
      <c r="AGN71" s="1251"/>
      <c r="AGO71" s="1251"/>
      <c r="AGP71" s="1251"/>
      <c r="AGQ71" s="1251"/>
      <c r="AGR71" s="1251"/>
      <c r="AGS71" s="1251"/>
      <c r="AGT71" s="1251"/>
      <c r="AGU71" s="1251"/>
      <c r="AGV71" s="1251"/>
      <c r="AGW71" s="1251"/>
      <c r="AGX71" s="1251"/>
      <c r="AGY71" s="1251"/>
      <c r="AGZ71" s="1251"/>
      <c r="AHA71" s="1251"/>
      <c r="AHB71" s="1251"/>
      <c r="AHC71" s="1251"/>
      <c r="AHD71" s="1251"/>
      <c r="AHE71" s="1251"/>
      <c r="AHF71" s="1251"/>
      <c r="AHG71" s="1251"/>
      <c r="AHH71" s="1251"/>
      <c r="AHI71" s="1251"/>
      <c r="AHJ71" s="1251"/>
      <c r="AHK71" s="1251"/>
      <c r="AHL71" s="1251"/>
      <c r="AHM71" s="1251"/>
      <c r="AHN71" s="1251"/>
      <c r="AHO71" s="1251"/>
      <c r="AHP71" s="1251"/>
      <c r="AHQ71" s="1251"/>
      <c r="AHR71" s="1251"/>
      <c r="AHS71" s="1251"/>
      <c r="AHT71" s="1251"/>
      <c r="AHU71" s="1251"/>
      <c r="AHV71" s="1251"/>
      <c r="AHW71" s="1251"/>
      <c r="AHX71" s="1251"/>
      <c r="AHY71" s="1251"/>
      <c r="AHZ71" s="1251"/>
      <c r="AIA71" s="1251"/>
      <c r="AIB71" s="1251"/>
      <c r="AIC71" s="1251"/>
      <c r="AID71" s="1251"/>
      <c r="AIE71" s="1251"/>
      <c r="AIF71" s="1251"/>
      <c r="AIG71" s="1251"/>
      <c r="AIH71" s="1251"/>
      <c r="AII71" s="1251"/>
      <c r="AIJ71" s="1251"/>
      <c r="AIK71" s="1251"/>
      <c r="AIL71" s="1251"/>
      <c r="AIM71" s="1251"/>
      <c r="AIN71" s="1251"/>
      <c r="AIO71" s="1251"/>
      <c r="AIP71" s="1251"/>
      <c r="AIQ71" s="1251"/>
      <c r="AIR71" s="1251"/>
      <c r="AIS71" s="1251"/>
      <c r="AIT71" s="1251"/>
      <c r="AIU71" s="1251"/>
      <c r="AIV71" s="1251"/>
      <c r="AIW71" s="1251"/>
      <c r="AIX71" s="1251"/>
      <c r="AIY71" s="1251"/>
      <c r="AIZ71" s="1251"/>
      <c r="AJA71" s="1251"/>
      <c r="AJB71" s="1251"/>
      <c r="AJC71" s="1251"/>
      <c r="AJD71" s="1251"/>
      <c r="AJE71" s="1251"/>
      <c r="AJF71" s="1251"/>
      <c r="AJG71" s="1251"/>
      <c r="AJH71" s="1251"/>
      <c r="AJI71" s="1251"/>
      <c r="AJJ71" s="1251"/>
      <c r="AJK71" s="1251"/>
      <c r="AJL71" s="1251"/>
      <c r="AJM71" s="1251"/>
      <c r="AJN71" s="1251"/>
      <c r="AJO71" s="1251"/>
      <c r="AJP71" s="1251"/>
      <c r="AJQ71" s="1251"/>
      <c r="AJR71" s="1251"/>
      <c r="AJS71" s="1251"/>
      <c r="AJT71" s="1251"/>
      <c r="AJU71" s="1251"/>
      <c r="AJV71" s="1251"/>
      <c r="AJW71" s="1251"/>
      <c r="AJX71" s="1251"/>
      <c r="AJY71" s="1251"/>
      <c r="AJZ71" s="1251"/>
      <c r="AKA71" s="1251"/>
      <c r="AKB71" s="1251"/>
      <c r="AKC71" s="1251"/>
      <c r="AKD71" s="1251"/>
      <c r="AKE71" s="1251"/>
      <c r="AKF71" s="1251"/>
      <c r="AKG71" s="1251"/>
      <c r="AKH71" s="1251"/>
      <c r="AKI71" s="1251"/>
      <c r="AKJ71" s="1251"/>
      <c r="AKK71" s="1251"/>
      <c r="AKL71" s="1251"/>
      <c r="AKM71" s="1251"/>
      <c r="AKN71" s="1251"/>
      <c r="AKO71" s="1251"/>
      <c r="AKP71" s="1251"/>
      <c r="AKQ71" s="1251"/>
      <c r="AKR71" s="1251"/>
      <c r="AKS71" s="1251"/>
      <c r="AKT71" s="1251"/>
      <c r="AKU71" s="1251"/>
      <c r="AKV71" s="1251"/>
      <c r="AKW71" s="1251"/>
      <c r="AKX71" s="1251"/>
      <c r="AKY71" s="1251"/>
      <c r="AKZ71" s="1251"/>
      <c r="ALA71" s="1251"/>
      <c r="ALB71" s="1251"/>
      <c r="ALC71" s="1251"/>
      <c r="ALD71" s="1251"/>
      <c r="ALE71" s="1251"/>
      <c r="ALF71" s="1251"/>
      <c r="ALG71" s="1251"/>
      <c r="ALH71" s="1251"/>
      <c r="ALI71" s="1251"/>
      <c r="ALJ71" s="1251"/>
      <c r="ALK71" s="1251"/>
      <c r="ALL71" s="1251"/>
      <c r="ALM71" s="1251"/>
      <c r="ALN71" s="1251"/>
      <c r="ALO71" s="1251"/>
      <c r="ALP71" s="1251"/>
      <c r="ALQ71" s="1251"/>
      <c r="ALR71" s="1251"/>
      <c r="ALS71" s="1251"/>
      <c r="ALT71" s="1251"/>
      <c r="ALU71" s="1251"/>
      <c r="ALV71" s="1251"/>
      <c r="ALW71" s="1251"/>
      <c r="ALX71" s="1251"/>
      <c r="ALY71" s="1251"/>
      <c r="ALZ71" s="1251"/>
      <c r="AMA71" s="1251"/>
      <c r="AMB71" s="1251"/>
      <c r="AMC71" s="1251"/>
      <c r="AMD71" s="1251"/>
      <c r="AME71" s="1251"/>
      <c r="AMF71" s="1251"/>
      <c r="AMG71" s="1251"/>
      <c r="AMH71" s="1251"/>
      <c r="AMI71" s="1251"/>
      <c r="AMJ71" s="1251"/>
      <c r="AMK71" s="1251"/>
      <c r="AML71" s="1251"/>
      <c r="AMM71" s="1251"/>
      <c r="AMN71" s="1251"/>
      <c r="AMO71" s="1251"/>
      <c r="AMP71" s="1251"/>
      <c r="AMQ71" s="1251"/>
      <c r="AMR71" s="1251"/>
      <c r="AMS71" s="1251"/>
      <c r="AMT71" s="1251"/>
      <c r="AMU71" s="1251"/>
      <c r="AMV71" s="1251"/>
      <c r="AMW71" s="1251"/>
      <c r="AMX71" s="1251"/>
      <c r="AMY71" s="1251"/>
      <c r="AMZ71" s="1251"/>
      <c r="ANA71" s="1251"/>
      <c r="ANB71" s="1251"/>
      <c r="ANC71" s="1251"/>
      <c r="AND71" s="1251"/>
      <c r="ANE71" s="1251"/>
      <c r="ANF71" s="1251"/>
      <c r="ANG71" s="1251"/>
      <c r="ANH71" s="1251"/>
      <c r="ANI71" s="1251"/>
      <c r="ANJ71" s="1251"/>
      <c r="ANK71" s="1251"/>
      <c r="ANL71" s="1251"/>
      <c r="ANM71" s="1251"/>
      <c r="ANN71" s="1251"/>
      <c r="ANO71" s="1251"/>
      <c r="ANP71" s="1251"/>
      <c r="ANQ71" s="1251"/>
      <c r="ANR71" s="1251"/>
      <c r="ANS71" s="1251"/>
      <c r="ANT71" s="1251"/>
      <c r="ANU71" s="1251"/>
      <c r="ANV71" s="1251"/>
      <c r="ANW71" s="1251"/>
      <c r="ANX71" s="1251"/>
      <c r="ANY71" s="1251"/>
      <c r="ANZ71" s="1251"/>
      <c r="AOA71" s="1251"/>
      <c r="AOB71" s="1251"/>
      <c r="AOC71" s="1251"/>
      <c r="AOD71" s="1251"/>
      <c r="AOE71" s="1251"/>
      <c r="AOF71" s="1251"/>
      <c r="AOG71" s="1251"/>
      <c r="AOH71" s="1251"/>
      <c r="AOI71" s="1251"/>
      <c r="AOJ71" s="1251"/>
      <c r="AOK71" s="1251"/>
      <c r="AOL71" s="1251"/>
      <c r="AOM71" s="1251"/>
      <c r="AON71" s="1251"/>
      <c r="AOO71" s="1251"/>
      <c r="AOP71" s="1251"/>
      <c r="AOQ71" s="1251"/>
      <c r="AOR71" s="1251"/>
      <c r="AOS71" s="1251"/>
      <c r="AOT71" s="1251"/>
      <c r="AOU71" s="1251"/>
      <c r="AOV71" s="1251"/>
      <c r="AOW71" s="1251"/>
      <c r="AOX71" s="1251"/>
      <c r="AOY71" s="1251"/>
      <c r="AOZ71" s="1251"/>
      <c r="APA71" s="1251"/>
      <c r="APB71" s="1251"/>
      <c r="APC71" s="1251"/>
      <c r="APD71" s="1251"/>
      <c r="APE71" s="1251"/>
      <c r="APF71" s="1251"/>
      <c r="APG71" s="1251"/>
      <c r="APH71" s="1251"/>
      <c r="API71" s="1251"/>
      <c r="APJ71" s="1251"/>
      <c r="APK71" s="1251"/>
      <c r="APL71" s="1251"/>
      <c r="APM71" s="1251"/>
      <c r="APN71" s="1251"/>
      <c r="APO71" s="1251"/>
      <c r="APP71" s="1251"/>
      <c r="APQ71" s="1251"/>
      <c r="APR71" s="1251"/>
      <c r="APS71" s="1251"/>
      <c r="APT71" s="1251"/>
      <c r="APU71" s="1251"/>
      <c r="APV71" s="1251"/>
      <c r="APW71" s="1251"/>
      <c r="APX71" s="1251"/>
      <c r="APY71" s="1251"/>
      <c r="APZ71" s="1251"/>
      <c r="AQA71" s="1251"/>
      <c r="AQB71" s="1251"/>
      <c r="AQC71" s="1251"/>
      <c r="AQD71" s="1251"/>
      <c r="AQE71" s="1251"/>
      <c r="AQF71" s="1251"/>
      <c r="AQG71" s="1251"/>
      <c r="AQH71" s="1251"/>
      <c r="AQI71" s="1251"/>
      <c r="AQJ71" s="1251"/>
      <c r="AQK71" s="1251"/>
      <c r="AQL71" s="1251"/>
      <c r="AQM71" s="1251"/>
      <c r="AQN71" s="1251"/>
      <c r="AQO71" s="1251"/>
      <c r="AQP71" s="1251"/>
      <c r="AQQ71" s="1251"/>
      <c r="AQR71" s="1251"/>
      <c r="AQS71" s="1251"/>
      <c r="AQT71" s="1251"/>
      <c r="AQU71" s="1251"/>
      <c r="AQV71" s="1251"/>
      <c r="AQW71" s="1251"/>
      <c r="AQX71" s="1251"/>
      <c r="AQY71" s="1251"/>
      <c r="AQZ71" s="1251"/>
      <c r="ARA71" s="1251"/>
      <c r="ARB71" s="1251"/>
      <c r="ARC71" s="1251"/>
      <c r="ARD71" s="1251"/>
      <c r="ARE71" s="1251"/>
      <c r="ARF71" s="1251"/>
      <c r="ARG71" s="1251"/>
      <c r="ARH71" s="1251"/>
      <c r="ARI71" s="1251"/>
      <c r="ARJ71" s="1251"/>
      <c r="ARK71" s="1251"/>
      <c r="ARL71" s="1251"/>
      <c r="ARM71" s="1251"/>
      <c r="ARN71" s="1251"/>
      <c r="ARO71" s="1251"/>
      <c r="ARP71" s="1251"/>
      <c r="ARQ71" s="1251"/>
      <c r="ARR71" s="1251"/>
      <c r="ARS71" s="1251"/>
      <c r="ART71" s="1251"/>
      <c r="ARU71" s="1251"/>
      <c r="ARV71" s="1251"/>
      <c r="ARW71" s="1251"/>
      <c r="ARX71" s="1251"/>
      <c r="ARY71" s="1251"/>
      <c r="ARZ71" s="1251"/>
      <c r="ASA71" s="1251"/>
      <c r="ASB71" s="1251"/>
      <c r="ASC71" s="1251"/>
      <c r="ASD71" s="1251"/>
      <c r="ASE71" s="1251"/>
      <c r="ASF71" s="1251"/>
      <c r="ASG71" s="1251"/>
      <c r="ASH71" s="1251"/>
      <c r="ASI71" s="1251"/>
      <c r="ASJ71" s="1251"/>
      <c r="ASK71" s="1251"/>
      <c r="ASL71" s="1251"/>
      <c r="ASM71" s="1251"/>
      <c r="ASN71" s="1251"/>
      <c r="ASO71" s="1251"/>
      <c r="ASP71" s="1251"/>
      <c r="ASQ71" s="1251"/>
      <c r="ASR71" s="1251"/>
      <c r="ASS71" s="1251"/>
      <c r="AST71" s="1251"/>
      <c r="ASU71" s="1251"/>
      <c r="ASV71" s="1251"/>
      <c r="ASW71" s="1251"/>
      <c r="ASX71" s="1251"/>
      <c r="ASY71" s="1251"/>
      <c r="ASZ71" s="1251"/>
      <c r="ATA71" s="1251"/>
      <c r="ATB71" s="1251"/>
      <c r="ATC71" s="1251"/>
      <c r="ATD71" s="1251"/>
      <c r="ATE71" s="1251"/>
      <c r="ATF71" s="1251"/>
      <c r="ATG71" s="1251"/>
      <c r="ATH71" s="1251"/>
      <c r="ATI71" s="1251"/>
      <c r="ATJ71" s="1251"/>
      <c r="ATK71" s="1251"/>
      <c r="ATL71" s="1251"/>
      <c r="ATM71" s="1251"/>
      <c r="ATN71" s="1251"/>
      <c r="ATO71" s="1251"/>
      <c r="ATP71" s="1251"/>
      <c r="ATQ71" s="1251"/>
      <c r="ATR71" s="1251"/>
      <c r="ATS71" s="1251"/>
      <c r="ATT71" s="1251"/>
      <c r="ATU71" s="1251"/>
      <c r="ATV71" s="1251"/>
      <c r="ATW71" s="1251"/>
      <c r="ATX71" s="1251"/>
      <c r="ATY71" s="1251"/>
      <c r="ATZ71" s="1251"/>
      <c r="AUA71" s="1251"/>
      <c r="AUB71" s="1251"/>
      <c r="AUC71" s="1251"/>
      <c r="AUD71" s="1251"/>
      <c r="AUE71" s="1251"/>
      <c r="AUF71" s="1251"/>
      <c r="AUG71" s="1251"/>
      <c r="AUH71" s="1251"/>
      <c r="AUI71" s="1251"/>
      <c r="AUJ71" s="1251"/>
      <c r="AUK71" s="1251"/>
      <c r="AUL71" s="1251"/>
      <c r="AUM71" s="1251"/>
      <c r="AUN71" s="1251"/>
      <c r="AUO71" s="1251"/>
      <c r="AUP71" s="1251"/>
      <c r="AUQ71" s="1251"/>
      <c r="AUR71" s="1251"/>
      <c r="AUS71" s="1251"/>
      <c r="AUT71" s="1251"/>
      <c r="AUU71" s="1251"/>
      <c r="AUV71" s="1251"/>
      <c r="AUW71" s="1251"/>
      <c r="AUX71" s="1251"/>
      <c r="AUY71" s="1251"/>
      <c r="AUZ71" s="1251"/>
      <c r="AVA71" s="1251"/>
      <c r="AVB71" s="1251"/>
      <c r="AVC71" s="1251"/>
      <c r="AVD71" s="1251"/>
      <c r="AVE71" s="1251"/>
      <c r="AVF71" s="1251"/>
      <c r="AVG71" s="1251"/>
      <c r="AVH71" s="1251"/>
      <c r="AVI71" s="1251"/>
      <c r="AVJ71" s="1251"/>
      <c r="AVK71" s="1251"/>
      <c r="AVL71" s="1251"/>
      <c r="AVM71" s="1251"/>
      <c r="AVN71" s="1251"/>
      <c r="AVO71" s="1251"/>
      <c r="AVP71" s="1251"/>
      <c r="AVQ71" s="1251"/>
      <c r="AVR71" s="1251"/>
      <c r="AVS71" s="1251"/>
      <c r="AVT71" s="1251"/>
      <c r="AVU71" s="1251"/>
      <c r="AVV71" s="1251"/>
      <c r="AVW71" s="1251"/>
      <c r="AVX71" s="1251"/>
      <c r="AVY71" s="1251"/>
      <c r="AVZ71" s="1251"/>
      <c r="AWA71" s="1251"/>
      <c r="AWB71" s="1251"/>
      <c r="AWC71" s="1251"/>
      <c r="AWD71" s="1251"/>
      <c r="AWE71" s="1251"/>
      <c r="AWF71" s="1251"/>
      <c r="AWG71" s="1251"/>
      <c r="AWH71" s="1251"/>
      <c r="AWI71" s="1251"/>
      <c r="AWJ71" s="1251"/>
      <c r="AWK71" s="1251"/>
      <c r="AWL71" s="1251"/>
      <c r="AWM71" s="1251"/>
      <c r="AWN71" s="1251"/>
      <c r="AWO71" s="1251"/>
      <c r="AWP71" s="1251"/>
      <c r="AWQ71" s="1251"/>
      <c r="AWR71" s="1251"/>
      <c r="AWS71" s="1251"/>
      <c r="AWT71" s="1251"/>
      <c r="AWU71" s="1251"/>
      <c r="AWV71" s="1251"/>
      <c r="AWW71" s="1251"/>
      <c r="AWX71" s="1251"/>
      <c r="AWY71" s="1251"/>
      <c r="AWZ71" s="1251"/>
      <c r="AXA71" s="1251"/>
      <c r="AXB71" s="1251"/>
      <c r="AXC71" s="1251"/>
      <c r="AXD71" s="1251"/>
      <c r="AXE71" s="1251"/>
      <c r="AXF71" s="1251"/>
      <c r="AXG71" s="1251"/>
      <c r="AXH71" s="1251"/>
      <c r="AXI71" s="1251"/>
      <c r="AXJ71" s="1251"/>
      <c r="AXK71" s="1251"/>
      <c r="AXL71" s="1251"/>
      <c r="AXM71" s="1251"/>
      <c r="AXN71" s="1251"/>
      <c r="AXO71" s="1251"/>
      <c r="AXP71" s="1251"/>
      <c r="AXQ71" s="1251"/>
      <c r="AXR71" s="1251"/>
      <c r="AXS71" s="1251"/>
      <c r="AXT71" s="1251"/>
      <c r="AXU71" s="1251"/>
      <c r="AXV71" s="1251"/>
      <c r="AXW71" s="1251"/>
      <c r="AXX71" s="1251"/>
      <c r="AXY71" s="1251"/>
      <c r="AXZ71" s="1251"/>
      <c r="AYA71" s="1251"/>
      <c r="AYB71" s="1251"/>
      <c r="AYC71" s="1251"/>
      <c r="AYD71" s="1251"/>
      <c r="AYE71" s="1251"/>
      <c r="AYF71" s="1251"/>
      <c r="AYG71" s="1251"/>
      <c r="AYH71" s="1251"/>
      <c r="AYI71" s="1251"/>
      <c r="AYJ71" s="1251"/>
      <c r="AYK71" s="1251"/>
      <c r="AYL71" s="1251"/>
      <c r="AYM71" s="1251"/>
      <c r="AYN71" s="1251"/>
      <c r="AYO71" s="1251"/>
      <c r="AYP71" s="1251"/>
      <c r="AYQ71" s="1251"/>
      <c r="AYR71" s="1251"/>
      <c r="AYS71" s="1251"/>
      <c r="AYT71" s="1251"/>
      <c r="AYU71" s="1251"/>
      <c r="AYV71" s="1251"/>
      <c r="AYW71" s="1251"/>
      <c r="AYX71" s="1251"/>
      <c r="AYY71" s="1251"/>
      <c r="AYZ71" s="1251"/>
      <c r="AZA71" s="1251"/>
      <c r="AZB71" s="1251"/>
      <c r="AZC71" s="1251"/>
      <c r="AZD71" s="1251"/>
      <c r="AZE71" s="1251"/>
      <c r="AZF71" s="1251"/>
      <c r="AZG71" s="1251"/>
      <c r="AZH71" s="1251"/>
      <c r="AZI71" s="1251"/>
      <c r="AZJ71" s="1251"/>
      <c r="AZK71" s="1251"/>
      <c r="AZL71" s="1251"/>
      <c r="AZM71" s="1251"/>
      <c r="AZN71" s="1251"/>
      <c r="AZO71" s="1251"/>
      <c r="AZP71" s="1251"/>
      <c r="AZQ71" s="1251"/>
      <c r="AZR71" s="1251"/>
      <c r="AZS71" s="1251"/>
      <c r="AZT71" s="1251"/>
      <c r="AZU71" s="1251"/>
      <c r="AZV71" s="1251"/>
      <c r="AZW71" s="1251"/>
      <c r="AZX71" s="1251"/>
      <c r="AZY71" s="1251"/>
      <c r="AZZ71" s="1251"/>
      <c r="BAA71" s="1251"/>
      <c r="BAB71" s="1251"/>
      <c r="BAC71" s="1251"/>
      <c r="BAD71" s="1251"/>
      <c r="BAE71" s="1251"/>
      <c r="BAF71" s="1251"/>
      <c r="BAG71" s="1251"/>
      <c r="BAH71" s="1251"/>
      <c r="BAI71" s="1251"/>
      <c r="BAJ71" s="1251"/>
      <c r="BAK71" s="1251"/>
      <c r="BAL71" s="1251"/>
      <c r="BAM71" s="1251"/>
      <c r="BAN71" s="1251"/>
      <c r="BAO71" s="1251"/>
      <c r="BAP71" s="1251"/>
      <c r="BAQ71" s="1251"/>
      <c r="BAR71" s="1251"/>
      <c r="BAS71" s="1251"/>
      <c r="BAT71" s="1251"/>
      <c r="BAU71" s="1251"/>
      <c r="BAV71" s="1251"/>
      <c r="BAW71" s="1251"/>
      <c r="BAX71" s="1251"/>
      <c r="BAY71" s="1251"/>
      <c r="BAZ71" s="1251"/>
      <c r="BBA71" s="1251"/>
      <c r="BBB71" s="1251"/>
      <c r="BBC71" s="1251"/>
      <c r="BBD71" s="1251"/>
      <c r="BBE71" s="1251"/>
      <c r="BBF71" s="1251"/>
      <c r="BBG71" s="1251"/>
      <c r="BBH71" s="1251"/>
      <c r="BBI71" s="1251"/>
      <c r="BBJ71" s="1251"/>
      <c r="BBK71" s="1251"/>
      <c r="BBL71" s="1251"/>
      <c r="BBM71" s="1251"/>
      <c r="BBN71" s="1251"/>
      <c r="BBO71" s="1251"/>
      <c r="BBP71" s="1251"/>
      <c r="BBQ71" s="1251"/>
      <c r="BBR71" s="1251"/>
      <c r="BBS71" s="1251"/>
      <c r="BBT71" s="1251"/>
      <c r="BBU71" s="1251"/>
      <c r="BBV71" s="1251"/>
      <c r="BBW71" s="1251"/>
      <c r="BBX71" s="1251"/>
      <c r="BBY71" s="1251"/>
      <c r="BBZ71" s="1251"/>
      <c r="BCA71" s="1251"/>
      <c r="BCB71" s="1251"/>
      <c r="BCC71" s="1251"/>
      <c r="BCD71" s="1251"/>
      <c r="BCE71" s="1251"/>
      <c r="BCF71" s="1251"/>
      <c r="BCG71" s="1251"/>
      <c r="BCH71" s="1251"/>
      <c r="BCI71" s="1251"/>
      <c r="BCJ71" s="1251"/>
      <c r="BCK71" s="1251"/>
      <c r="BCL71" s="1251"/>
      <c r="BCM71" s="1251"/>
      <c r="BCN71" s="1251"/>
      <c r="BCO71" s="1251"/>
      <c r="BCP71" s="1251"/>
      <c r="BCQ71" s="1251"/>
      <c r="BCR71" s="1251"/>
      <c r="BCS71" s="1251"/>
      <c r="BCT71" s="1251"/>
      <c r="BCU71" s="1251"/>
      <c r="BCV71" s="1251"/>
      <c r="BCW71" s="1251"/>
      <c r="BCX71" s="1251"/>
      <c r="BCY71" s="1251"/>
      <c r="BCZ71" s="1251"/>
      <c r="BDA71" s="1251"/>
      <c r="BDB71" s="1251"/>
      <c r="BDC71" s="1251"/>
      <c r="BDD71" s="1251"/>
      <c r="BDE71" s="1251"/>
      <c r="BDF71" s="1251"/>
      <c r="BDG71" s="1251"/>
      <c r="BDH71" s="1251"/>
      <c r="BDI71" s="1251"/>
      <c r="BDJ71" s="1251"/>
      <c r="BDK71" s="1251"/>
      <c r="BDL71" s="1251"/>
      <c r="BDM71" s="1251"/>
      <c r="BDN71" s="1251"/>
      <c r="BDO71" s="1251"/>
      <c r="BDP71" s="1251"/>
      <c r="BDQ71" s="1251"/>
      <c r="BDR71" s="1251"/>
      <c r="BDS71" s="1251"/>
      <c r="BDT71" s="1251"/>
      <c r="BDU71" s="1251"/>
      <c r="BDV71" s="1251"/>
      <c r="BDW71" s="1251"/>
      <c r="BDX71" s="1251"/>
      <c r="BDY71" s="1251"/>
      <c r="BDZ71" s="1251"/>
      <c r="BEA71" s="1251"/>
      <c r="BEB71" s="1251"/>
      <c r="BEC71" s="1251"/>
      <c r="BED71" s="1251"/>
      <c r="BEE71" s="1251"/>
      <c r="BEF71" s="1251"/>
      <c r="BEG71" s="1251"/>
      <c r="BEH71" s="1251"/>
      <c r="BEI71" s="1251"/>
      <c r="BEJ71" s="1251"/>
      <c r="BEK71" s="1251"/>
      <c r="BEL71" s="1251"/>
      <c r="BEM71" s="1251"/>
      <c r="BEN71" s="1251"/>
      <c r="BEO71" s="1251"/>
      <c r="BEP71" s="1251"/>
      <c r="BEQ71" s="1251"/>
      <c r="BER71" s="1251"/>
      <c r="BES71" s="1251"/>
      <c r="BET71" s="1251"/>
      <c r="BEU71" s="1251"/>
      <c r="BEV71" s="1251"/>
      <c r="BEW71" s="1251"/>
      <c r="BEX71" s="1251"/>
      <c r="BEY71" s="1251"/>
      <c r="BEZ71" s="1251"/>
      <c r="BFA71" s="1251"/>
      <c r="BFB71" s="1251"/>
      <c r="BFC71" s="1251"/>
      <c r="BFD71" s="1251"/>
      <c r="BFE71" s="1251"/>
      <c r="BFF71" s="1251"/>
      <c r="BFG71" s="1251"/>
      <c r="BFH71" s="1251"/>
      <c r="BFI71" s="1251"/>
      <c r="BFJ71" s="1251"/>
      <c r="BFK71" s="1251"/>
      <c r="BFL71" s="1251"/>
      <c r="BFM71" s="1251"/>
      <c r="BFN71" s="1251"/>
      <c r="BFO71" s="1251"/>
      <c r="BFP71" s="1251"/>
      <c r="BFQ71" s="1251"/>
      <c r="BFR71" s="1251"/>
      <c r="BFS71" s="1251"/>
      <c r="BFT71" s="1251"/>
      <c r="BFU71" s="1251"/>
      <c r="BFV71" s="1251"/>
      <c r="BFW71" s="1251"/>
      <c r="BFX71" s="1251"/>
      <c r="BFY71" s="1251"/>
      <c r="BFZ71" s="1251"/>
      <c r="BGA71" s="1251"/>
      <c r="BGB71" s="1251"/>
      <c r="BGC71" s="1251"/>
      <c r="BGD71" s="1251"/>
      <c r="BGE71" s="1251"/>
      <c r="BGF71" s="1251"/>
      <c r="BGG71" s="1251"/>
      <c r="BGH71" s="1251"/>
      <c r="BGI71" s="1251"/>
      <c r="BGJ71" s="1251"/>
      <c r="BGK71" s="1251"/>
      <c r="BGL71" s="1251"/>
      <c r="BGM71" s="1251"/>
      <c r="BGN71" s="1251"/>
      <c r="BGO71" s="1251"/>
      <c r="BGP71" s="1251"/>
      <c r="BGQ71" s="1251"/>
      <c r="BGR71" s="1251"/>
      <c r="BGS71" s="1251"/>
      <c r="BGT71" s="1251"/>
      <c r="BGU71" s="1251"/>
      <c r="BGV71" s="1251"/>
      <c r="BGW71" s="1251"/>
      <c r="BGX71" s="1251"/>
      <c r="BGY71" s="1251"/>
      <c r="BGZ71" s="1251"/>
      <c r="BHA71" s="1251"/>
      <c r="BHB71" s="1251"/>
      <c r="BHC71" s="1251"/>
      <c r="BHD71" s="1251"/>
      <c r="BHE71" s="1251"/>
      <c r="BHF71" s="1251"/>
      <c r="BHG71" s="1251"/>
      <c r="BHH71" s="1251"/>
      <c r="BHI71" s="1251"/>
      <c r="BHJ71" s="1251"/>
      <c r="BHK71" s="1251"/>
      <c r="BHL71" s="1251"/>
      <c r="BHM71" s="1251"/>
      <c r="BHN71" s="1251"/>
      <c r="BHO71" s="1251"/>
      <c r="BHP71" s="1251"/>
      <c r="BHQ71" s="1251"/>
      <c r="BHR71" s="1251"/>
      <c r="BHS71" s="1251"/>
      <c r="BHT71" s="1251"/>
      <c r="BHU71" s="1251"/>
      <c r="BHV71" s="1251"/>
      <c r="BHW71" s="1251"/>
      <c r="BHX71" s="1251"/>
      <c r="BHY71" s="1251"/>
      <c r="BHZ71" s="1251"/>
      <c r="BIA71" s="1251"/>
      <c r="BIB71" s="1251"/>
      <c r="BIC71" s="1251"/>
      <c r="BID71" s="1251"/>
      <c r="BIE71" s="1251"/>
      <c r="BIF71" s="1251"/>
      <c r="BIG71" s="1251"/>
      <c r="BIH71" s="1251"/>
      <c r="BII71" s="1251"/>
      <c r="BIJ71" s="1251"/>
      <c r="BIK71" s="1251"/>
      <c r="BIL71" s="1251"/>
      <c r="BIM71" s="1251"/>
      <c r="BIN71" s="1251"/>
      <c r="BIO71" s="1251"/>
      <c r="BIP71" s="1251"/>
      <c r="BIQ71" s="1251"/>
      <c r="BIR71" s="1251"/>
      <c r="BIS71" s="1251"/>
      <c r="BIT71" s="1251"/>
      <c r="BIU71" s="1251"/>
      <c r="BIV71" s="1251"/>
      <c r="BIW71" s="1251"/>
      <c r="BIX71" s="1251"/>
      <c r="BIY71" s="1251"/>
      <c r="BIZ71" s="1251"/>
      <c r="BJA71" s="1251"/>
      <c r="BJB71" s="1251"/>
      <c r="BJC71" s="1251"/>
      <c r="BJD71" s="1251"/>
      <c r="BJE71" s="1251"/>
      <c r="BJF71" s="1251"/>
      <c r="BJG71" s="1251"/>
      <c r="BJH71" s="1251"/>
      <c r="BJI71" s="1251"/>
      <c r="BJJ71" s="1251"/>
      <c r="BJK71" s="1251"/>
      <c r="BJL71" s="1251"/>
      <c r="BJM71" s="1251"/>
      <c r="BJN71" s="1251"/>
      <c r="BJO71" s="1251"/>
      <c r="BJP71" s="1251"/>
      <c r="BJQ71" s="1251"/>
      <c r="BJR71" s="1251"/>
      <c r="BJS71" s="1251"/>
      <c r="BJT71" s="1251"/>
      <c r="BJU71" s="1251"/>
      <c r="BJV71" s="1251"/>
      <c r="BJW71" s="1251"/>
      <c r="BJX71" s="1251"/>
      <c r="BJY71" s="1251"/>
      <c r="BJZ71" s="1251"/>
      <c r="BKA71" s="1251"/>
      <c r="BKB71" s="1251"/>
      <c r="BKC71" s="1251"/>
      <c r="BKD71" s="1251"/>
      <c r="BKE71" s="1251"/>
      <c r="BKF71" s="1251"/>
      <c r="BKG71" s="1251"/>
      <c r="BKH71" s="1251"/>
      <c r="BKI71" s="1251"/>
      <c r="BKJ71" s="1251"/>
      <c r="BKK71" s="1251"/>
      <c r="BKL71" s="1251"/>
      <c r="BKM71" s="1251"/>
      <c r="BKN71" s="1251"/>
      <c r="BKO71" s="1251"/>
      <c r="BKP71" s="1251"/>
      <c r="BKQ71" s="1251"/>
      <c r="BKR71" s="1251"/>
      <c r="BKS71" s="1251"/>
      <c r="BKT71" s="1251"/>
      <c r="BKU71" s="1251"/>
      <c r="BKV71" s="1251"/>
      <c r="BKW71" s="1251"/>
      <c r="BKX71" s="1251"/>
      <c r="BKY71" s="1251"/>
      <c r="BKZ71" s="1251"/>
      <c r="BLA71" s="1251"/>
      <c r="BLB71" s="1251"/>
      <c r="BLC71" s="1251"/>
      <c r="BLD71" s="1251"/>
      <c r="BLE71" s="1251"/>
      <c r="BLF71" s="1251"/>
      <c r="BLG71" s="1251"/>
      <c r="BLH71" s="1251"/>
      <c r="BLI71" s="1251"/>
      <c r="BLJ71" s="1251"/>
      <c r="BLK71" s="1251"/>
      <c r="BLL71" s="1251"/>
      <c r="BLM71" s="1251"/>
      <c r="BLN71" s="1251"/>
      <c r="BLO71" s="1251"/>
      <c r="BLP71" s="1251"/>
      <c r="BLQ71" s="1251"/>
      <c r="BLR71" s="1251"/>
      <c r="BLS71" s="1251"/>
      <c r="BLT71" s="1251"/>
      <c r="BLU71" s="1251"/>
      <c r="BLV71" s="1251"/>
      <c r="BLW71" s="1251"/>
      <c r="BLX71" s="1251"/>
      <c r="BLY71" s="1251"/>
      <c r="BLZ71" s="1251"/>
      <c r="BMA71" s="1251"/>
      <c r="BMB71" s="1251"/>
      <c r="BMC71" s="1251"/>
      <c r="BMD71" s="1251"/>
      <c r="BME71" s="1251"/>
      <c r="BMF71" s="1251"/>
      <c r="BMG71" s="1251"/>
      <c r="BMH71" s="1251"/>
      <c r="BMI71" s="1251"/>
      <c r="BMJ71" s="1251"/>
      <c r="BMK71" s="1251"/>
      <c r="BML71" s="1251"/>
      <c r="BMM71" s="1251"/>
      <c r="BMN71" s="1251"/>
      <c r="BMO71" s="1251"/>
      <c r="BMP71" s="1251"/>
      <c r="BMQ71" s="1251"/>
      <c r="BMR71" s="1251"/>
      <c r="BMS71" s="1251"/>
      <c r="BMT71" s="1251"/>
      <c r="BMU71" s="1251"/>
      <c r="BMV71" s="1251"/>
      <c r="BMW71" s="1251"/>
      <c r="BMX71" s="1251"/>
      <c r="BMY71" s="1251"/>
      <c r="BMZ71" s="1251"/>
      <c r="BNA71" s="1251"/>
      <c r="BNB71" s="1251"/>
      <c r="BNC71" s="1251"/>
      <c r="BND71" s="1251"/>
      <c r="BNE71" s="1251"/>
      <c r="BNF71" s="1251"/>
      <c r="BNG71" s="1251"/>
      <c r="BNH71" s="1251"/>
      <c r="BNI71" s="1251"/>
      <c r="BNJ71" s="1251"/>
      <c r="BNK71" s="1251"/>
      <c r="BNL71" s="1251"/>
      <c r="BNM71" s="1251"/>
      <c r="BNN71" s="1251"/>
      <c r="BNO71" s="1251"/>
      <c r="BNP71" s="1251"/>
      <c r="BNQ71" s="1251"/>
      <c r="BNR71" s="1251"/>
      <c r="BNS71" s="1251"/>
      <c r="BNT71" s="1251"/>
      <c r="BNU71" s="1251"/>
      <c r="BNV71" s="1251"/>
      <c r="BNW71" s="1251"/>
      <c r="BNX71" s="1251"/>
      <c r="BNY71" s="1251"/>
      <c r="BNZ71" s="1251"/>
      <c r="BOA71" s="1251"/>
      <c r="BOB71" s="1251"/>
      <c r="BOC71" s="1251"/>
      <c r="BOD71" s="1251"/>
      <c r="BOE71" s="1251"/>
      <c r="BOF71" s="1251"/>
      <c r="BOG71" s="1251"/>
      <c r="BOH71" s="1251"/>
      <c r="BOI71" s="1251"/>
      <c r="BOJ71" s="1251"/>
      <c r="BOK71" s="1251"/>
      <c r="BOL71" s="1251"/>
      <c r="BOM71" s="1251"/>
      <c r="BON71" s="1251"/>
      <c r="BOO71" s="1251"/>
      <c r="BOP71" s="1251"/>
      <c r="BOQ71" s="1251"/>
      <c r="BOR71" s="1251"/>
      <c r="BOS71" s="1251"/>
      <c r="BOT71" s="1251"/>
      <c r="BOU71" s="1251"/>
      <c r="BOV71" s="1251"/>
      <c r="BOW71" s="1251"/>
      <c r="BOX71" s="1251"/>
      <c r="BOY71" s="1251"/>
      <c r="BOZ71" s="1251"/>
      <c r="BPA71" s="1251"/>
      <c r="BPB71" s="1251"/>
      <c r="BPC71" s="1251"/>
      <c r="BPD71" s="1251"/>
      <c r="BPE71" s="1251"/>
      <c r="BPF71" s="1251"/>
      <c r="BPG71" s="1251"/>
      <c r="BPH71" s="1251"/>
      <c r="BPI71" s="1251"/>
      <c r="BPJ71" s="1251"/>
      <c r="BPK71" s="1251"/>
      <c r="BPL71" s="1251"/>
      <c r="BPM71" s="1251"/>
      <c r="BPN71" s="1251"/>
      <c r="BPO71" s="1251"/>
      <c r="BPP71" s="1251"/>
      <c r="BPQ71" s="1251"/>
      <c r="BPR71" s="1251"/>
      <c r="BPS71" s="1251"/>
      <c r="BPT71" s="1251"/>
      <c r="BPU71" s="1251"/>
      <c r="BPV71" s="1251"/>
      <c r="BPW71" s="1251"/>
      <c r="BPX71" s="1251"/>
      <c r="BPY71" s="1251"/>
      <c r="BPZ71" s="1251"/>
      <c r="BQA71" s="1251"/>
      <c r="BQB71" s="1251"/>
      <c r="BQC71" s="1251"/>
      <c r="BQD71" s="1251"/>
      <c r="BQE71" s="1251"/>
      <c r="BQF71" s="1251"/>
      <c r="BQG71" s="1251"/>
      <c r="BQH71" s="1251"/>
      <c r="BQI71" s="1251"/>
      <c r="BQJ71" s="1251"/>
      <c r="BQK71" s="1251"/>
      <c r="BQL71" s="1251"/>
      <c r="BQM71" s="1251"/>
      <c r="BQN71" s="1251"/>
      <c r="BQO71" s="1251"/>
      <c r="BQP71" s="1251"/>
      <c r="BQQ71" s="1251"/>
      <c r="BQR71" s="1251"/>
      <c r="BQS71" s="1251"/>
      <c r="BQT71" s="1251"/>
      <c r="BQU71" s="1251"/>
      <c r="BQV71" s="1251"/>
      <c r="BQW71" s="1251"/>
      <c r="BQX71" s="1251"/>
      <c r="BQY71" s="1251"/>
      <c r="BQZ71" s="1251"/>
      <c r="BRA71" s="1251"/>
      <c r="BRB71" s="1251"/>
      <c r="BRC71" s="1251"/>
      <c r="BRD71" s="1251"/>
      <c r="BRE71" s="1251"/>
      <c r="BRF71" s="1251"/>
      <c r="BRG71" s="1251"/>
      <c r="BRH71" s="1251"/>
      <c r="BRI71" s="1251"/>
      <c r="BRJ71" s="1251"/>
      <c r="BRK71" s="1251"/>
      <c r="BRL71" s="1251"/>
      <c r="BRM71" s="1251"/>
      <c r="BRN71" s="1251"/>
      <c r="BRO71" s="1251"/>
      <c r="BRP71" s="1251"/>
      <c r="BRQ71" s="1251"/>
      <c r="BRR71" s="1251"/>
      <c r="BRS71" s="1251"/>
      <c r="BRT71" s="1251"/>
      <c r="BRU71" s="1251"/>
      <c r="BRV71" s="1251"/>
      <c r="BRW71" s="1251"/>
      <c r="BRX71" s="1251"/>
      <c r="BRY71" s="1251"/>
      <c r="BRZ71" s="1251"/>
      <c r="BSA71" s="1251"/>
      <c r="BSB71" s="1251"/>
      <c r="BSC71" s="1251"/>
      <c r="BSD71" s="1251"/>
      <c r="BSE71" s="1251"/>
      <c r="BSF71" s="1251"/>
      <c r="BSG71" s="1251"/>
      <c r="BSH71" s="1251"/>
      <c r="BSI71" s="1251"/>
      <c r="BSJ71" s="1251"/>
      <c r="BSK71" s="1251"/>
      <c r="BSL71" s="1251"/>
      <c r="BSM71" s="1251"/>
      <c r="BSN71" s="1251"/>
      <c r="BSO71" s="1251"/>
      <c r="BSP71" s="1251"/>
      <c r="BSQ71" s="1251"/>
      <c r="BSR71" s="1251"/>
      <c r="BSS71" s="1251"/>
      <c r="BST71" s="1251"/>
      <c r="BSU71" s="1251"/>
      <c r="BSV71" s="1251"/>
      <c r="BSW71" s="1251"/>
      <c r="BSX71" s="1251"/>
      <c r="BSY71" s="1251"/>
      <c r="BSZ71" s="1251"/>
      <c r="BTA71" s="1251"/>
      <c r="BTB71" s="1251"/>
      <c r="BTC71" s="1251"/>
      <c r="BTD71" s="1251"/>
      <c r="BTE71" s="1251"/>
      <c r="BTF71" s="1251"/>
      <c r="BTG71" s="1251"/>
      <c r="BTH71" s="1251"/>
      <c r="BTI71" s="1251"/>
    </row>
    <row r="72" spans="1:1881" s="1261" customFormat="1" ht="57.75" hidden="1" customHeight="1" thickBot="1" x14ac:dyDescent="0.35">
      <c r="A72" s="1248">
        <v>9</v>
      </c>
      <c r="B72" s="806" t="s">
        <v>60</v>
      </c>
      <c r="C72" s="806" t="s">
        <v>149</v>
      </c>
      <c r="D72" s="24" t="s">
        <v>1368</v>
      </c>
      <c r="E72" s="1249" t="e">
        <f>HLOOKUP($D$2,'2020 Data(H)'!$C$1:$CZ$426,7,FALSE)</f>
        <v>#N/A</v>
      </c>
      <c r="F72" s="1263">
        <v>0</v>
      </c>
      <c r="G72" s="727">
        <f>IF(F62-F64-F65-F66-F72=0,,"Error: Total assets less total liabilities do not equal total fund balance. Account numbers 379-4-5-380-9= 0  The amount of the formula is in the cell to the right")</f>
        <v>0</v>
      </c>
      <c r="H72" s="730">
        <f>F62-F64-F65-F66-F72</f>
        <v>0</v>
      </c>
      <c r="I72" s="760"/>
      <c r="J72" s="1252"/>
      <c r="K72" s="1251"/>
      <c r="L72" s="701"/>
      <c r="M72" s="1251"/>
      <c r="N72" s="1253"/>
      <c r="O72" s="1251"/>
      <c r="P72" s="1251"/>
      <c r="Q72" s="1251"/>
      <c r="R72" s="1251"/>
      <c r="S72" s="1251"/>
      <c r="T72" s="1251"/>
      <c r="U72" s="1251"/>
      <c r="V72" s="1251"/>
      <c r="W72" s="1251"/>
      <c r="X72" s="1251"/>
      <c r="Y72" s="1251"/>
      <c r="Z72" s="1248"/>
      <c r="AA72" s="1248"/>
      <c r="AB72" s="1248"/>
      <c r="AC72" s="1248"/>
      <c r="AD72" s="1248"/>
      <c r="AE72" s="1248"/>
      <c r="AF72" s="1248"/>
      <c r="AG72" s="1248"/>
      <c r="AH72" s="1248"/>
      <c r="AI72" s="1248"/>
      <c r="AJ72" s="1248"/>
      <c r="AK72" s="1248"/>
      <c r="AL72" s="1248"/>
      <c r="AM72" s="1248"/>
      <c r="AN72" s="1248"/>
      <c r="AO72" s="1248"/>
      <c r="AP72" s="1248"/>
      <c r="AQ72" s="1248"/>
      <c r="AR72" s="1248"/>
      <c r="AS72" s="1251"/>
      <c r="AT72" s="1251"/>
      <c r="AU72" s="1251"/>
      <c r="AV72" s="1251"/>
      <c r="AW72" s="1251"/>
      <c r="AX72" s="1251"/>
      <c r="AY72" s="1251"/>
      <c r="AZ72" s="1251"/>
      <c r="BA72" s="1251"/>
      <c r="BB72" s="1251"/>
      <c r="BC72" s="1251"/>
      <c r="BD72" s="1251"/>
      <c r="BE72" s="1251"/>
      <c r="BF72" s="1251"/>
      <c r="BG72" s="1251"/>
      <c r="BH72" s="1251"/>
      <c r="BI72" s="1251"/>
      <c r="BJ72" s="1251"/>
      <c r="BK72" s="1251"/>
      <c r="BL72" s="1251"/>
      <c r="BM72" s="1251"/>
      <c r="BN72" s="1251"/>
      <c r="BO72" s="1251"/>
      <c r="BP72" s="1251"/>
      <c r="BQ72" s="1251"/>
      <c r="BR72" s="1251"/>
      <c r="BS72" s="1251"/>
      <c r="BT72" s="1251"/>
      <c r="BU72" s="1251"/>
      <c r="BV72" s="1251"/>
      <c r="BW72" s="1251"/>
      <c r="BX72" s="1251"/>
      <c r="BY72" s="1251"/>
      <c r="BZ72" s="1251"/>
      <c r="CA72" s="1251"/>
      <c r="CB72" s="1251"/>
      <c r="CC72" s="1251"/>
      <c r="CD72" s="1251"/>
      <c r="CE72" s="1251"/>
      <c r="CF72" s="1251"/>
      <c r="CG72" s="1251"/>
      <c r="CH72" s="1251"/>
      <c r="CI72" s="1251"/>
      <c r="CJ72" s="1251"/>
      <c r="CK72" s="1251"/>
      <c r="CL72" s="1251"/>
      <c r="CM72" s="1251"/>
      <c r="CN72" s="1251"/>
      <c r="CO72" s="1251"/>
      <c r="CP72" s="1251"/>
      <c r="CQ72" s="1251"/>
      <c r="CR72" s="1251"/>
      <c r="CS72" s="1251"/>
      <c r="CT72" s="1251"/>
      <c r="CU72" s="1251"/>
      <c r="CV72" s="1251"/>
      <c r="CW72" s="1251"/>
      <c r="CX72" s="1251"/>
      <c r="CY72" s="1251"/>
      <c r="CZ72" s="1251"/>
      <c r="DA72" s="1251"/>
      <c r="DB72" s="1251"/>
      <c r="DC72" s="1251"/>
      <c r="DD72" s="1251"/>
      <c r="DE72" s="1251"/>
      <c r="DF72" s="1251"/>
      <c r="DG72" s="1251"/>
      <c r="DH72" s="1251"/>
      <c r="DI72" s="1251"/>
      <c r="DJ72" s="1251"/>
      <c r="DK72" s="1251"/>
      <c r="DL72" s="1251"/>
      <c r="DM72" s="1251"/>
      <c r="DN72" s="1251"/>
      <c r="DO72" s="1251"/>
      <c r="DP72" s="1251"/>
      <c r="DQ72" s="1251"/>
      <c r="DR72" s="1251"/>
      <c r="DS72" s="1251"/>
      <c r="DT72" s="1251"/>
      <c r="DU72" s="1251"/>
      <c r="DV72" s="1251"/>
      <c r="DW72" s="1251"/>
      <c r="DX72" s="1251"/>
      <c r="DY72" s="1251"/>
      <c r="DZ72" s="1251"/>
      <c r="EA72" s="1251"/>
      <c r="EB72" s="1251"/>
      <c r="EC72" s="1251"/>
      <c r="ED72" s="1251"/>
      <c r="EE72" s="1251"/>
      <c r="EF72" s="1251"/>
      <c r="EG72" s="1251"/>
      <c r="EH72" s="1251"/>
      <c r="EI72" s="1251"/>
      <c r="EJ72" s="1251"/>
      <c r="EK72" s="1251"/>
      <c r="EL72" s="1251"/>
      <c r="EM72" s="1251"/>
      <c r="EN72" s="1251"/>
      <c r="EO72" s="1251"/>
      <c r="EP72" s="1251"/>
      <c r="EQ72" s="1251"/>
      <c r="ER72" s="1251"/>
      <c r="ES72" s="1251"/>
      <c r="ET72" s="1251"/>
      <c r="EU72" s="1251"/>
      <c r="EV72" s="1251"/>
      <c r="EW72" s="1251"/>
      <c r="EX72" s="1251"/>
      <c r="EY72" s="1251"/>
      <c r="EZ72" s="1251"/>
      <c r="FA72" s="1251"/>
      <c r="FB72" s="1251"/>
      <c r="FC72" s="1251"/>
      <c r="FD72" s="1251"/>
      <c r="FE72" s="1251"/>
      <c r="FF72" s="1251"/>
      <c r="FG72" s="1251"/>
      <c r="FH72" s="1251"/>
      <c r="FI72" s="1251"/>
      <c r="FJ72" s="1251"/>
      <c r="FK72" s="1251"/>
      <c r="FL72" s="1251"/>
      <c r="FM72" s="1251"/>
      <c r="FN72" s="1251"/>
      <c r="FO72" s="1251"/>
      <c r="FP72" s="1251"/>
      <c r="FQ72" s="1251"/>
      <c r="FR72" s="1251"/>
      <c r="FS72" s="1251"/>
      <c r="FT72" s="1251"/>
      <c r="FU72" s="1251"/>
      <c r="FV72" s="1251"/>
      <c r="FW72" s="1251"/>
      <c r="FX72" s="1251"/>
      <c r="FY72" s="1251"/>
      <c r="FZ72" s="1251"/>
      <c r="GA72" s="1251"/>
      <c r="GB72" s="1251"/>
      <c r="GC72" s="1251"/>
      <c r="GD72" s="1251"/>
      <c r="GE72" s="1251"/>
      <c r="GF72" s="1251"/>
      <c r="GG72" s="1251"/>
      <c r="GH72" s="1251"/>
      <c r="GI72" s="1251"/>
      <c r="GJ72" s="1251"/>
      <c r="GK72" s="1251"/>
      <c r="GL72" s="1251"/>
      <c r="GM72" s="1251"/>
      <c r="GN72" s="1251"/>
      <c r="GO72" s="1251"/>
      <c r="GP72" s="1251"/>
      <c r="GQ72" s="1251"/>
      <c r="GR72" s="1251"/>
      <c r="GS72" s="1251"/>
      <c r="GT72" s="1251"/>
      <c r="GU72" s="1251"/>
      <c r="GV72" s="1251"/>
      <c r="GW72" s="1251"/>
      <c r="GX72" s="1251"/>
      <c r="GY72" s="1251"/>
      <c r="GZ72" s="1251"/>
      <c r="HA72" s="1251"/>
      <c r="HB72" s="1251"/>
      <c r="HC72" s="1251"/>
      <c r="HD72" s="1251"/>
      <c r="HE72" s="1251"/>
      <c r="HF72" s="1251"/>
      <c r="HG72" s="1251"/>
      <c r="HH72" s="1251"/>
      <c r="HI72" s="1251"/>
      <c r="HJ72" s="1251"/>
      <c r="HK72" s="1251"/>
      <c r="HL72" s="1251"/>
      <c r="HM72" s="1251"/>
      <c r="HN72" s="1251"/>
      <c r="HO72" s="1251"/>
      <c r="HP72" s="1251"/>
      <c r="HQ72" s="1251"/>
      <c r="HR72" s="1251"/>
      <c r="HS72" s="1251"/>
      <c r="HT72" s="1251"/>
      <c r="HU72" s="1251"/>
      <c r="HV72" s="1251"/>
      <c r="HW72" s="1251"/>
      <c r="HX72" s="1251"/>
      <c r="HY72" s="1251"/>
      <c r="HZ72" s="1251"/>
      <c r="IA72" s="1251"/>
      <c r="IB72" s="1251"/>
      <c r="IC72" s="1251"/>
      <c r="ID72" s="1251"/>
      <c r="IE72" s="1251"/>
      <c r="IF72" s="1251"/>
      <c r="IG72" s="1251"/>
      <c r="IH72" s="1251"/>
      <c r="II72" s="1251"/>
      <c r="IJ72" s="1251"/>
      <c r="IK72" s="1251"/>
      <c r="IL72" s="1251"/>
      <c r="IM72" s="1251"/>
      <c r="IN72" s="1251"/>
      <c r="IO72" s="1251"/>
      <c r="IP72" s="1251"/>
      <c r="IQ72" s="1251"/>
      <c r="IR72" s="1251"/>
      <c r="IS72" s="1251"/>
      <c r="IT72" s="1251"/>
      <c r="IU72" s="1251"/>
      <c r="IV72" s="1251"/>
      <c r="IW72" s="1251"/>
      <c r="IX72" s="1251"/>
      <c r="IY72" s="1251"/>
      <c r="IZ72" s="1251"/>
      <c r="JA72" s="1251"/>
      <c r="JB72" s="1251"/>
      <c r="JC72" s="1251"/>
      <c r="JD72" s="1251"/>
      <c r="JE72" s="1251"/>
      <c r="JF72" s="1251"/>
      <c r="JG72" s="1251"/>
      <c r="JH72" s="1251"/>
      <c r="JI72" s="1251"/>
      <c r="JJ72" s="1251"/>
      <c r="JK72" s="1251"/>
      <c r="JL72" s="1251"/>
      <c r="JM72" s="1251"/>
      <c r="JN72" s="1251"/>
      <c r="JO72" s="1251"/>
      <c r="JP72" s="1251"/>
      <c r="JQ72" s="1251"/>
      <c r="JR72" s="1251"/>
      <c r="JS72" s="1251"/>
      <c r="JT72" s="1251"/>
      <c r="JU72" s="1251"/>
      <c r="JV72" s="1251"/>
      <c r="JW72" s="1251"/>
      <c r="JX72" s="1251"/>
      <c r="JY72" s="1251"/>
      <c r="JZ72" s="1251"/>
      <c r="KA72" s="1251"/>
      <c r="KB72" s="1251"/>
      <c r="KC72" s="1251"/>
      <c r="KD72" s="1251"/>
      <c r="KE72" s="1251"/>
      <c r="KF72" s="1251"/>
      <c r="KG72" s="1251"/>
      <c r="KH72" s="1251"/>
      <c r="KI72" s="1251"/>
      <c r="KJ72" s="1251"/>
      <c r="KK72" s="1251"/>
      <c r="KL72" s="1251"/>
      <c r="KM72" s="1251"/>
      <c r="KN72" s="1251"/>
      <c r="KO72" s="1251"/>
      <c r="KP72" s="1251"/>
      <c r="KQ72" s="1251"/>
      <c r="KR72" s="1251"/>
      <c r="KS72" s="1251"/>
      <c r="KT72" s="1251"/>
      <c r="KU72" s="1251"/>
      <c r="KV72" s="1251"/>
      <c r="KW72" s="1251"/>
      <c r="KX72" s="1251"/>
      <c r="KY72" s="1251"/>
      <c r="KZ72" s="1251"/>
      <c r="LA72" s="1251"/>
      <c r="LB72" s="1251"/>
      <c r="LC72" s="1251"/>
      <c r="LD72" s="1251"/>
      <c r="LE72" s="1251"/>
      <c r="LF72" s="1251"/>
      <c r="LG72" s="1251"/>
      <c r="LH72" s="1251"/>
      <c r="LI72" s="1251"/>
      <c r="LJ72" s="1251"/>
      <c r="LK72" s="1251"/>
      <c r="LL72" s="1251"/>
      <c r="LM72" s="1251"/>
      <c r="LN72" s="1251"/>
      <c r="LO72" s="1251"/>
      <c r="LP72" s="1251"/>
      <c r="LQ72" s="1251"/>
      <c r="LR72" s="1251"/>
      <c r="LS72" s="1251"/>
      <c r="LT72" s="1251"/>
      <c r="LU72" s="1251"/>
      <c r="LV72" s="1251"/>
      <c r="LW72" s="1251"/>
      <c r="LX72" s="1251"/>
      <c r="LY72" s="1251"/>
      <c r="LZ72" s="1251"/>
      <c r="MA72" s="1251"/>
      <c r="MB72" s="1251"/>
      <c r="MC72" s="1251"/>
      <c r="MD72" s="1251"/>
      <c r="ME72" s="1251"/>
      <c r="MF72" s="1251"/>
      <c r="MG72" s="1251"/>
      <c r="MH72" s="1251"/>
      <c r="MI72" s="1251"/>
      <c r="MJ72" s="1251"/>
      <c r="MK72" s="1251"/>
      <c r="ML72" s="1251"/>
      <c r="MM72" s="1251"/>
      <c r="MN72" s="1251"/>
      <c r="MO72" s="1251"/>
      <c r="MP72" s="1251"/>
      <c r="MQ72" s="1251"/>
      <c r="MR72" s="1251"/>
      <c r="MS72" s="1251"/>
      <c r="MT72" s="1251"/>
      <c r="MU72" s="1251"/>
      <c r="MV72" s="1251"/>
      <c r="MW72" s="1251"/>
      <c r="MX72" s="1251"/>
      <c r="MY72" s="1251"/>
      <c r="MZ72" s="1251"/>
      <c r="NA72" s="1251"/>
      <c r="NB72" s="1251"/>
      <c r="NC72" s="1251"/>
      <c r="ND72" s="1251"/>
      <c r="NE72" s="1251"/>
      <c r="NF72" s="1251"/>
      <c r="NG72" s="1251"/>
      <c r="NH72" s="1251"/>
      <c r="NI72" s="1251"/>
      <c r="NJ72" s="1251"/>
      <c r="NK72" s="1251"/>
      <c r="NL72" s="1251"/>
      <c r="NM72" s="1251"/>
      <c r="NN72" s="1251"/>
      <c r="NO72" s="1251"/>
      <c r="NP72" s="1251"/>
      <c r="NQ72" s="1251"/>
      <c r="NR72" s="1251"/>
      <c r="NS72" s="1251"/>
      <c r="NT72" s="1251"/>
      <c r="NU72" s="1251"/>
      <c r="NV72" s="1251"/>
      <c r="NW72" s="1251"/>
      <c r="NX72" s="1251"/>
      <c r="NY72" s="1251"/>
      <c r="NZ72" s="1251"/>
      <c r="OA72" s="1251"/>
      <c r="OB72" s="1251"/>
      <c r="OC72" s="1251"/>
      <c r="OD72" s="1251"/>
      <c r="OE72" s="1251"/>
      <c r="OF72" s="1251"/>
      <c r="OG72" s="1251"/>
      <c r="OH72" s="1251"/>
      <c r="OI72" s="1251"/>
      <c r="OJ72" s="1251"/>
      <c r="OK72" s="1251"/>
      <c r="OL72" s="1251"/>
      <c r="OM72" s="1251"/>
      <c r="ON72" s="1251"/>
      <c r="OO72" s="1251"/>
      <c r="OP72" s="1251"/>
      <c r="OQ72" s="1251"/>
      <c r="OR72" s="1251"/>
      <c r="OS72" s="1251"/>
      <c r="OT72" s="1251"/>
      <c r="OU72" s="1251"/>
      <c r="OV72" s="1251"/>
      <c r="OW72" s="1251"/>
      <c r="OX72" s="1251"/>
      <c r="OY72" s="1251"/>
      <c r="OZ72" s="1251"/>
      <c r="PA72" s="1251"/>
      <c r="PB72" s="1251"/>
      <c r="PC72" s="1251"/>
      <c r="PD72" s="1251"/>
      <c r="PE72" s="1251"/>
      <c r="PF72" s="1251"/>
      <c r="PG72" s="1251"/>
      <c r="PH72" s="1251"/>
      <c r="PI72" s="1251"/>
      <c r="PJ72" s="1251"/>
      <c r="PK72" s="1251"/>
      <c r="PL72" s="1251"/>
      <c r="PM72" s="1251"/>
      <c r="PN72" s="1251"/>
      <c r="PO72" s="1251"/>
      <c r="PP72" s="1251"/>
      <c r="PQ72" s="1251"/>
      <c r="PR72" s="1251"/>
      <c r="PS72" s="1251"/>
      <c r="PT72" s="1251"/>
      <c r="PU72" s="1251"/>
      <c r="PV72" s="1251"/>
      <c r="PW72" s="1251"/>
      <c r="PX72" s="1251"/>
      <c r="PY72" s="1251"/>
      <c r="PZ72" s="1251"/>
      <c r="QA72" s="1251"/>
      <c r="QB72" s="1251"/>
      <c r="QC72" s="1251"/>
      <c r="QD72" s="1251"/>
      <c r="QE72" s="1251"/>
      <c r="QF72" s="1251"/>
      <c r="QG72" s="1251"/>
      <c r="QH72" s="1251"/>
      <c r="QI72" s="1251"/>
      <c r="QJ72" s="1251"/>
      <c r="QK72" s="1251"/>
      <c r="QL72" s="1251"/>
      <c r="QM72" s="1251"/>
      <c r="QN72" s="1251"/>
      <c r="QO72" s="1251"/>
      <c r="QP72" s="1251"/>
      <c r="QQ72" s="1251"/>
      <c r="QR72" s="1251"/>
      <c r="QS72" s="1251"/>
      <c r="QT72" s="1251"/>
      <c r="QU72" s="1251"/>
      <c r="QV72" s="1251"/>
      <c r="QW72" s="1251"/>
      <c r="QX72" s="1251"/>
      <c r="QY72" s="1251"/>
      <c r="QZ72" s="1251"/>
      <c r="RA72" s="1251"/>
      <c r="RB72" s="1251"/>
      <c r="RC72" s="1251"/>
      <c r="RD72" s="1251"/>
      <c r="RE72" s="1251"/>
      <c r="RF72" s="1251"/>
      <c r="RG72" s="1251"/>
      <c r="RH72" s="1251"/>
      <c r="RI72" s="1251"/>
      <c r="RJ72" s="1251"/>
      <c r="RK72" s="1251"/>
      <c r="RL72" s="1251"/>
      <c r="RM72" s="1251"/>
      <c r="RN72" s="1251"/>
      <c r="RO72" s="1251"/>
      <c r="RP72" s="1251"/>
      <c r="RQ72" s="1251"/>
      <c r="RR72" s="1251"/>
      <c r="RS72" s="1251"/>
      <c r="RT72" s="1251"/>
      <c r="RU72" s="1251"/>
      <c r="RV72" s="1251"/>
      <c r="RW72" s="1251"/>
      <c r="RX72" s="1251"/>
      <c r="RY72" s="1251"/>
      <c r="RZ72" s="1251"/>
      <c r="SA72" s="1251"/>
      <c r="SB72" s="1251"/>
      <c r="SC72" s="1251"/>
      <c r="SD72" s="1251"/>
      <c r="SE72" s="1251"/>
      <c r="SF72" s="1251"/>
      <c r="SG72" s="1251"/>
      <c r="SH72" s="1251"/>
      <c r="SI72" s="1251"/>
      <c r="SJ72" s="1251"/>
      <c r="SK72" s="1251"/>
      <c r="SL72" s="1251"/>
      <c r="SM72" s="1251"/>
      <c r="SN72" s="1251"/>
      <c r="SO72" s="1251"/>
      <c r="SP72" s="1251"/>
      <c r="SQ72" s="1251"/>
      <c r="SR72" s="1251"/>
      <c r="SS72" s="1251"/>
      <c r="ST72" s="1251"/>
      <c r="SU72" s="1251"/>
      <c r="SV72" s="1251"/>
      <c r="SW72" s="1251"/>
      <c r="SX72" s="1251"/>
      <c r="SY72" s="1251"/>
      <c r="SZ72" s="1251"/>
      <c r="TA72" s="1251"/>
      <c r="TB72" s="1251"/>
      <c r="TC72" s="1251"/>
      <c r="TD72" s="1251"/>
      <c r="TE72" s="1251"/>
      <c r="TF72" s="1251"/>
      <c r="TG72" s="1251"/>
      <c r="TH72" s="1251"/>
      <c r="TI72" s="1251"/>
      <c r="TJ72" s="1251"/>
      <c r="TK72" s="1251"/>
      <c r="TL72" s="1251"/>
      <c r="TM72" s="1251"/>
      <c r="TN72" s="1251"/>
      <c r="TO72" s="1251"/>
      <c r="TP72" s="1251"/>
      <c r="TQ72" s="1251"/>
      <c r="TR72" s="1251"/>
      <c r="TS72" s="1251"/>
      <c r="TT72" s="1251"/>
      <c r="TU72" s="1251"/>
      <c r="TV72" s="1251"/>
      <c r="TW72" s="1251"/>
      <c r="TX72" s="1251"/>
      <c r="TY72" s="1251"/>
      <c r="TZ72" s="1251"/>
      <c r="UA72" s="1251"/>
      <c r="UB72" s="1251"/>
      <c r="UC72" s="1251"/>
      <c r="UD72" s="1251"/>
      <c r="UE72" s="1251"/>
      <c r="UF72" s="1251"/>
      <c r="UG72" s="1251"/>
      <c r="UH72" s="1251"/>
      <c r="UI72" s="1251"/>
      <c r="UJ72" s="1251"/>
      <c r="UK72" s="1251"/>
      <c r="UL72" s="1251"/>
      <c r="UM72" s="1251"/>
      <c r="UN72" s="1251"/>
      <c r="UO72" s="1251"/>
      <c r="UP72" s="1251"/>
      <c r="UQ72" s="1251"/>
      <c r="UR72" s="1251"/>
      <c r="US72" s="1251"/>
      <c r="UT72" s="1251"/>
      <c r="UU72" s="1251"/>
      <c r="UV72" s="1251"/>
      <c r="UW72" s="1251"/>
      <c r="UX72" s="1251"/>
      <c r="UY72" s="1251"/>
      <c r="UZ72" s="1251"/>
      <c r="VA72" s="1251"/>
      <c r="VB72" s="1251"/>
      <c r="VC72" s="1251"/>
      <c r="VD72" s="1251"/>
      <c r="VE72" s="1251"/>
      <c r="VF72" s="1251"/>
      <c r="VG72" s="1251"/>
      <c r="VH72" s="1251"/>
      <c r="VI72" s="1251"/>
      <c r="VJ72" s="1251"/>
      <c r="VK72" s="1251"/>
      <c r="VL72" s="1251"/>
      <c r="VM72" s="1251"/>
      <c r="VN72" s="1251"/>
      <c r="VO72" s="1251"/>
      <c r="VP72" s="1251"/>
      <c r="VQ72" s="1251"/>
      <c r="VR72" s="1251"/>
      <c r="VS72" s="1251"/>
      <c r="VT72" s="1251"/>
      <c r="VU72" s="1251"/>
      <c r="VV72" s="1251"/>
      <c r="VW72" s="1251"/>
      <c r="VX72" s="1251"/>
      <c r="VY72" s="1251"/>
      <c r="VZ72" s="1251"/>
      <c r="WA72" s="1251"/>
      <c r="WB72" s="1251"/>
      <c r="WC72" s="1251"/>
      <c r="WD72" s="1251"/>
      <c r="WE72" s="1251"/>
      <c r="WF72" s="1251"/>
      <c r="WG72" s="1251"/>
      <c r="WH72" s="1251"/>
      <c r="WI72" s="1251"/>
      <c r="WJ72" s="1251"/>
      <c r="WK72" s="1251"/>
      <c r="WL72" s="1251"/>
      <c r="WM72" s="1251"/>
      <c r="WN72" s="1251"/>
      <c r="WO72" s="1251"/>
      <c r="WP72" s="1251"/>
      <c r="WQ72" s="1251"/>
      <c r="WR72" s="1251"/>
      <c r="WS72" s="1251"/>
      <c r="WT72" s="1251"/>
      <c r="WU72" s="1251"/>
      <c r="WV72" s="1251"/>
      <c r="WW72" s="1251"/>
      <c r="WX72" s="1251"/>
      <c r="WY72" s="1251"/>
      <c r="WZ72" s="1251"/>
      <c r="XA72" s="1251"/>
      <c r="XB72" s="1251"/>
      <c r="XC72" s="1251"/>
      <c r="XD72" s="1251"/>
      <c r="XE72" s="1251"/>
      <c r="XF72" s="1251"/>
      <c r="XG72" s="1251"/>
      <c r="XH72" s="1251"/>
      <c r="XI72" s="1251"/>
      <c r="XJ72" s="1251"/>
      <c r="XK72" s="1251"/>
      <c r="XL72" s="1251"/>
      <c r="XM72" s="1251"/>
      <c r="XN72" s="1251"/>
      <c r="XO72" s="1251"/>
      <c r="XP72" s="1251"/>
      <c r="XQ72" s="1251"/>
      <c r="XR72" s="1251"/>
      <c r="XS72" s="1251"/>
      <c r="XT72" s="1251"/>
      <c r="XU72" s="1251"/>
      <c r="XV72" s="1251"/>
      <c r="XW72" s="1251"/>
      <c r="XX72" s="1251"/>
      <c r="XY72" s="1251"/>
      <c r="XZ72" s="1251"/>
      <c r="YA72" s="1251"/>
      <c r="YB72" s="1251"/>
      <c r="YC72" s="1251"/>
      <c r="YD72" s="1251"/>
      <c r="YE72" s="1251"/>
      <c r="YF72" s="1251"/>
      <c r="YG72" s="1251"/>
      <c r="YH72" s="1251"/>
      <c r="YI72" s="1251"/>
      <c r="YJ72" s="1251"/>
      <c r="YK72" s="1251"/>
      <c r="YL72" s="1251"/>
      <c r="YM72" s="1251"/>
      <c r="YN72" s="1251"/>
      <c r="YO72" s="1251"/>
      <c r="YP72" s="1251"/>
      <c r="YQ72" s="1251"/>
      <c r="YR72" s="1251"/>
      <c r="YS72" s="1251"/>
      <c r="YT72" s="1251"/>
      <c r="YU72" s="1251"/>
      <c r="YV72" s="1251"/>
      <c r="YW72" s="1251"/>
      <c r="YX72" s="1251"/>
      <c r="YY72" s="1251"/>
      <c r="YZ72" s="1251"/>
      <c r="ZA72" s="1251"/>
      <c r="ZB72" s="1251"/>
      <c r="ZC72" s="1251"/>
      <c r="ZD72" s="1251"/>
      <c r="ZE72" s="1251"/>
      <c r="ZF72" s="1251"/>
      <c r="ZG72" s="1251"/>
      <c r="ZH72" s="1251"/>
      <c r="ZI72" s="1251"/>
      <c r="ZJ72" s="1251"/>
      <c r="ZK72" s="1251"/>
      <c r="ZL72" s="1251"/>
      <c r="ZM72" s="1251"/>
      <c r="ZN72" s="1251"/>
      <c r="ZO72" s="1251"/>
      <c r="ZP72" s="1251"/>
      <c r="ZQ72" s="1251"/>
      <c r="ZR72" s="1251"/>
      <c r="ZS72" s="1251"/>
      <c r="ZT72" s="1251"/>
      <c r="ZU72" s="1251"/>
      <c r="ZV72" s="1251"/>
      <c r="ZW72" s="1251"/>
      <c r="ZX72" s="1251"/>
      <c r="ZY72" s="1251"/>
      <c r="ZZ72" s="1251"/>
      <c r="AAA72" s="1251"/>
      <c r="AAB72" s="1251"/>
      <c r="AAC72" s="1251"/>
      <c r="AAD72" s="1251"/>
      <c r="AAE72" s="1251"/>
      <c r="AAF72" s="1251"/>
      <c r="AAG72" s="1251"/>
      <c r="AAH72" s="1251"/>
      <c r="AAI72" s="1251"/>
      <c r="AAJ72" s="1251"/>
      <c r="AAK72" s="1251"/>
      <c r="AAL72" s="1251"/>
      <c r="AAM72" s="1251"/>
      <c r="AAN72" s="1251"/>
      <c r="AAO72" s="1251"/>
      <c r="AAP72" s="1251"/>
      <c r="AAQ72" s="1251"/>
      <c r="AAR72" s="1251"/>
      <c r="AAS72" s="1251"/>
      <c r="AAT72" s="1251"/>
      <c r="AAU72" s="1251"/>
      <c r="AAV72" s="1251"/>
      <c r="AAW72" s="1251"/>
      <c r="AAX72" s="1251"/>
      <c r="AAY72" s="1251"/>
      <c r="AAZ72" s="1251"/>
      <c r="ABA72" s="1251"/>
      <c r="ABB72" s="1251"/>
      <c r="ABC72" s="1251"/>
      <c r="ABD72" s="1251"/>
      <c r="ABE72" s="1251"/>
      <c r="ABF72" s="1251"/>
      <c r="ABG72" s="1251"/>
      <c r="ABH72" s="1251"/>
      <c r="ABI72" s="1251"/>
      <c r="ABJ72" s="1251"/>
      <c r="ABK72" s="1251"/>
      <c r="ABL72" s="1251"/>
      <c r="ABM72" s="1251"/>
      <c r="ABN72" s="1251"/>
      <c r="ABO72" s="1251"/>
      <c r="ABP72" s="1251"/>
      <c r="ABQ72" s="1251"/>
      <c r="ABR72" s="1251"/>
      <c r="ABS72" s="1251"/>
      <c r="ABT72" s="1251"/>
      <c r="ABU72" s="1251"/>
      <c r="ABV72" s="1251"/>
      <c r="ABW72" s="1251"/>
      <c r="ABX72" s="1251"/>
      <c r="ABY72" s="1251"/>
      <c r="ABZ72" s="1251"/>
      <c r="ACA72" s="1251"/>
      <c r="ACB72" s="1251"/>
      <c r="ACC72" s="1251"/>
      <c r="ACD72" s="1251"/>
      <c r="ACE72" s="1251"/>
      <c r="ACF72" s="1251"/>
      <c r="ACG72" s="1251"/>
      <c r="ACH72" s="1251"/>
      <c r="ACI72" s="1251"/>
      <c r="ACJ72" s="1251"/>
      <c r="ACK72" s="1251"/>
      <c r="ACL72" s="1251"/>
      <c r="ACM72" s="1251"/>
      <c r="ACN72" s="1251"/>
      <c r="ACO72" s="1251"/>
      <c r="ACP72" s="1251"/>
      <c r="ACQ72" s="1251"/>
      <c r="ACR72" s="1251"/>
      <c r="ACS72" s="1251"/>
      <c r="ACT72" s="1251"/>
      <c r="ACU72" s="1251"/>
      <c r="ACV72" s="1251"/>
      <c r="ACW72" s="1251"/>
      <c r="ACX72" s="1251"/>
      <c r="ACY72" s="1251"/>
      <c r="ACZ72" s="1251"/>
      <c r="ADA72" s="1251"/>
      <c r="ADB72" s="1251"/>
      <c r="ADC72" s="1251"/>
      <c r="ADD72" s="1251"/>
      <c r="ADE72" s="1251"/>
      <c r="ADF72" s="1251"/>
      <c r="ADG72" s="1251"/>
      <c r="ADH72" s="1251"/>
      <c r="ADI72" s="1251"/>
      <c r="ADJ72" s="1251"/>
      <c r="ADK72" s="1251"/>
      <c r="ADL72" s="1251"/>
      <c r="ADM72" s="1251"/>
      <c r="ADN72" s="1251"/>
      <c r="ADO72" s="1251"/>
      <c r="ADP72" s="1251"/>
      <c r="ADQ72" s="1251"/>
      <c r="ADR72" s="1251"/>
      <c r="ADS72" s="1251"/>
      <c r="ADT72" s="1251"/>
      <c r="ADU72" s="1251"/>
      <c r="ADV72" s="1251"/>
      <c r="ADW72" s="1251"/>
      <c r="ADX72" s="1251"/>
      <c r="ADY72" s="1251"/>
      <c r="ADZ72" s="1251"/>
      <c r="AEA72" s="1251"/>
      <c r="AEB72" s="1251"/>
      <c r="AEC72" s="1251"/>
      <c r="AED72" s="1251"/>
      <c r="AEE72" s="1251"/>
      <c r="AEF72" s="1251"/>
      <c r="AEG72" s="1251"/>
      <c r="AEH72" s="1251"/>
      <c r="AEI72" s="1251"/>
      <c r="AEJ72" s="1251"/>
      <c r="AEK72" s="1251"/>
      <c r="AEL72" s="1251"/>
      <c r="AEM72" s="1251"/>
      <c r="AEN72" s="1251"/>
      <c r="AEO72" s="1251"/>
      <c r="AEP72" s="1251"/>
      <c r="AEQ72" s="1251"/>
      <c r="AER72" s="1251"/>
      <c r="AES72" s="1251"/>
      <c r="AET72" s="1251"/>
      <c r="AEU72" s="1251"/>
      <c r="AEV72" s="1251"/>
      <c r="AEW72" s="1251"/>
      <c r="AEX72" s="1251"/>
      <c r="AEY72" s="1251"/>
      <c r="AEZ72" s="1251"/>
      <c r="AFA72" s="1251"/>
      <c r="AFB72" s="1251"/>
      <c r="AFC72" s="1251"/>
      <c r="AFD72" s="1251"/>
      <c r="AFE72" s="1251"/>
      <c r="AFF72" s="1251"/>
      <c r="AFG72" s="1251"/>
      <c r="AFH72" s="1251"/>
      <c r="AFI72" s="1251"/>
      <c r="AFJ72" s="1251"/>
      <c r="AFK72" s="1251"/>
      <c r="AFL72" s="1251"/>
      <c r="AFM72" s="1251"/>
      <c r="AFN72" s="1251"/>
      <c r="AFO72" s="1251"/>
      <c r="AFP72" s="1251"/>
      <c r="AFQ72" s="1251"/>
      <c r="AFR72" s="1251"/>
      <c r="AFS72" s="1251"/>
      <c r="AFT72" s="1251"/>
      <c r="AFU72" s="1251"/>
      <c r="AFV72" s="1251"/>
      <c r="AFW72" s="1251"/>
      <c r="AFX72" s="1251"/>
      <c r="AFY72" s="1251"/>
      <c r="AFZ72" s="1251"/>
      <c r="AGA72" s="1251"/>
      <c r="AGB72" s="1251"/>
      <c r="AGC72" s="1251"/>
      <c r="AGD72" s="1251"/>
      <c r="AGE72" s="1251"/>
      <c r="AGF72" s="1251"/>
      <c r="AGG72" s="1251"/>
      <c r="AGH72" s="1251"/>
      <c r="AGI72" s="1251"/>
      <c r="AGJ72" s="1251"/>
      <c r="AGK72" s="1251"/>
      <c r="AGL72" s="1251"/>
      <c r="AGM72" s="1251"/>
      <c r="AGN72" s="1251"/>
      <c r="AGO72" s="1251"/>
      <c r="AGP72" s="1251"/>
      <c r="AGQ72" s="1251"/>
      <c r="AGR72" s="1251"/>
      <c r="AGS72" s="1251"/>
      <c r="AGT72" s="1251"/>
      <c r="AGU72" s="1251"/>
      <c r="AGV72" s="1251"/>
      <c r="AGW72" s="1251"/>
      <c r="AGX72" s="1251"/>
      <c r="AGY72" s="1251"/>
      <c r="AGZ72" s="1251"/>
      <c r="AHA72" s="1251"/>
      <c r="AHB72" s="1251"/>
      <c r="AHC72" s="1251"/>
      <c r="AHD72" s="1251"/>
      <c r="AHE72" s="1251"/>
      <c r="AHF72" s="1251"/>
      <c r="AHG72" s="1251"/>
      <c r="AHH72" s="1251"/>
      <c r="AHI72" s="1251"/>
      <c r="AHJ72" s="1251"/>
      <c r="AHK72" s="1251"/>
      <c r="AHL72" s="1251"/>
      <c r="AHM72" s="1251"/>
      <c r="AHN72" s="1251"/>
      <c r="AHO72" s="1251"/>
      <c r="AHP72" s="1251"/>
      <c r="AHQ72" s="1251"/>
      <c r="AHR72" s="1251"/>
      <c r="AHS72" s="1251"/>
      <c r="AHT72" s="1251"/>
      <c r="AHU72" s="1251"/>
      <c r="AHV72" s="1251"/>
      <c r="AHW72" s="1251"/>
      <c r="AHX72" s="1251"/>
      <c r="AHY72" s="1251"/>
      <c r="AHZ72" s="1251"/>
      <c r="AIA72" s="1251"/>
      <c r="AIB72" s="1251"/>
      <c r="AIC72" s="1251"/>
      <c r="AID72" s="1251"/>
      <c r="AIE72" s="1251"/>
      <c r="AIF72" s="1251"/>
      <c r="AIG72" s="1251"/>
      <c r="AIH72" s="1251"/>
      <c r="AII72" s="1251"/>
      <c r="AIJ72" s="1251"/>
      <c r="AIK72" s="1251"/>
      <c r="AIL72" s="1251"/>
      <c r="AIM72" s="1251"/>
      <c r="AIN72" s="1251"/>
      <c r="AIO72" s="1251"/>
      <c r="AIP72" s="1251"/>
      <c r="AIQ72" s="1251"/>
      <c r="AIR72" s="1251"/>
      <c r="AIS72" s="1251"/>
      <c r="AIT72" s="1251"/>
      <c r="AIU72" s="1251"/>
      <c r="AIV72" s="1251"/>
      <c r="AIW72" s="1251"/>
      <c r="AIX72" s="1251"/>
      <c r="AIY72" s="1251"/>
      <c r="AIZ72" s="1251"/>
      <c r="AJA72" s="1251"/>
      <c r="AJB72" s="1251"/>
      <c r="AJC72" s="1251"/>
      <c r="AJD72" s="1251"/>
      <c r="AJE72" s="1251"/>
      <c r="AJF72" s="1251"/>
      <c r="AJG72" s="1251"/>
      <c r="AJH72" s="1251"/>
      <c r="AJI72" s="1251"/>
      <c r="AJJ72" s="1251"/>
      <c r="AJK72" s="1251"/>
      <c r="AJL72" s="1251"/>
      <c r="AJM72" s="1251"/>
      <c r="AJN72" s="1251"/>
      <c r="AJO72" s="1251"/>
      <c r="AJP72" s="1251"/>
      <c r="AJQ72" s="1251"/>
      <c r="AJR72" s="1251"/>
      <c r="AJS72" s="1251"/>
      <c r="AJT72" s="1251"/>
      <c r="AJU72" s="1251"/>
      <c r="AJV72" s="1251"/>
      <c r="AJW72" s="1251"/>
      <c r="AJX72" s="1251"/>
      <c r="AJY72" s="1251"/>
      <c r="AJZ72" s="1251"/>
      <c r="AKA72" s="1251"/>
      <c r="AKB72" s="1251"/>
      <c r="AKC72" s="1251"/>
      <c r="AKD72" s="1251"/>
      <c r="AKE72" s="1251"/>
      <c r="AKF72" s="1251"/>
      <c r="AKG72" s="1251"/>
      <c r="AKH72" s="1251"/>
      <c r="AKI72" s="1251"/>
      <c r="AKJ72" s="1251"/>
      <c r="AKK72" s="1251"/>
      <c r="AKL72" s="1251"/>
      <c r="AKM72" s="1251"/>
      <c r="AKN72" s="1251"/>
      <c r="AKO72" s="1251"/>
      <c r="AKP72" s="1251"/>
      <c r="AKQ72" s="1251"/>
      <c r="AKR72" s="1251"/>
      <c r="AKS72" s="1251"/>
      <c r="AKT72" s="1251"/>
      <c r="AKU72" s="1251"/>
      <c r="AKV72" s="1251"/>
      <c r="AKW72" s="1251"/>
      <c r="AKX72" s="1251"/>
      <c r="AKY72" s="1251"/>
      <c r="AKZ72" s="1251"/>
      <c r="ALA72" s="1251"/>
      <c r="ALB72" s="1251"/>
      <c r="ALC72" s="1251"/>
      <c r="ALD72" s="1251"/>
      <c r="ALE72" s="1251"/>
      <c r="ALF72" s="1251"/>
      <c r="ALG72" s="1251"/>
      <c r="ALH72" s="1251"/>
      <c r="ALI72" s="1251"/>
      <c r="ALJ72" s="1251"/>
      <c r="ALK72" s="1251"/>
      <c r="ALL72" s="1251"/>
      <c r="ALM72" s="1251"/>
      <c r="ALN72" s="1251"/>
      <c r="ALO72" s="1251"/>
      <c r="ALP72" s="1251"/>
      <c r="ALQ72" s="1251"/>
      <c r="ALR72" s="1251"/>
      <c r="ALS72" s="1251"/>
      <c r="ALT72" s="1251"/>
      <c r="ALU72" s="1251"/>
      <c r="ALV72" s="1251"/>
      <c r="ALW72" s="1251"/>
      <c r="ALX72" s="1251"/>
      <c r="ALY72" s="1251"/>
      <c r="ALZ72" s="1251"/>
      <c r="AMA72" s="1251"/>
      <c r="AMB72" s="1251"/>
      <c r="AMC72" s="1251"/>
      <c r="AMD72" s="1251"/>
      <c r="AME72" s="1251"/>
      <c r="AMF72" s="1251"/>
      <c r="AMG72" s="1251"/>
      <c r="AMH72" s="1251"/>
      <c r="AMI72" s="1251"/>
      <c r="AMJ72" s="1251"/>
      <c r="AMK72" s="1251"/>
      <c r="AML72" s="1251"/>
      <c r="AMM72" s="1251"/>
      <c r="AMN72" s="1251"/>
      <c r="AMO72" s="1251"/>
      <c r="AMP72" s="1251"/>
      <c r="AMQ72" s="1251"/>
      <c r="AMR72" s="1251"/>
      <c r="AMS72" s="1251"/>
      <c r="AMT72" s="1251"/>
      <c r="AMU72" s="1251"/>
      <c r="AMV72" s="1251"/>
      <c r="AMW72" s="1251"/>
      <c r="AMX72" s="1251"/>
      <c r="AMY72" s="1251"/>
      <c r="AMZ72" s="1251"/>
      <c r="ANA72" s="1251"/>
      <c r="ANB72" s="1251"/>
      <c r="ANC72" s="1251"/>
      <c r="AND72" s="1251"/>
      <c r="ANE72" s="1251"/>
      <c r="ANF72" s="1251"/>
      <c r="ANG72" s="1251"/>
      <c r="ANH72" s="1251"/>
      <c r="ANI72" s="1251"/>
      <c r="ANJ72" s="1251"/>
      <c r="ANK72" s="1251"/>
      <c r="ANL72" s="1251"/>
      <c r="ANM72" s="1251"/>
      <c r="ANN72" s="1251"/>
      <c r="ANO72" s="1251"/>
      <c r="ANP72" s="1251"/>
      <c r="ANQ72" s="1251"/>
      <c r="ANR72" s="1251"/>
      <c r="ANS72" s="1251"/>
      <c r="ANT72" s="1251"/>
      <c r="ANU72" s="1251"/>
      <c r="ANV72" s="1251"/>
      <c r="ANW72" s="1251"/>
      <c r="ANX72" s="1251"/>
      <c r="ANY72" s="1251"/>
      <c r="ANZ72" s="1251"/>
      <c r="AOA72" s="1251"/>
      <c r="AOB72" s="1251"/>
      <c r="AOC72" s="1251"/>
      <c r="AOD72" s="1251"/>
      <c r="AOE72" s="1251"/>
      <c r="AOF72" s="1251"/>
      <c r="AOG72" s="1251"/>
      <c r="AOH72" s="1251"/>
      <c r="AOI72" s="1251"/>
      <c r="AOJ72" s="1251"/>
      <c r="AOK72" s="1251"/>
      <c r="AOL72" s="1251"/>
      <c r="AOM72" s="1251"/>
      <c r="AON72" s="1251"/>
      <c r="AOO72" s="1251"/>
      <c r="AOP72" s="1251"/>
      <c r="AOQ72" s="1251"/>
      <c r="AOR72" s="1251"/>
      <c r="AOS72" s="1251"/>
      <c r="AOT72" s="1251"/>
      <c r="AOU72" s="1251"/>
      <c r="AOV72" s="1251"/>
      <c r="AOW72" s="1251"/>
      <c r="AOX72" s="1251"/>
      <c r="AOY72" s="1251"/>
      <c r="AOZ72" s="1251"/>
      <c r="APA72" s="1251"/>
      <c r="APB72" s="1251"/>
      <c r="APC72" s="1251"/>
      <c r="APD72" s="1251"/>
      <c r="APE72" s="1251"/>
      <c r="APF72" s="1251"/>
      <c r="APG72" s="1251"/>
      <c r="APH72" s="1251"/>
      <c r="API72" s="1251"/>
      <c r="APJ72" s="1251"/>
      <c r="APK72" s="1251"/>
      <c r="APL72" s="1251"/>
      <c r="APM72" s="1251"/>
      <c r="APN72" s="1251"/>
      <c r="APO72" s="1251"/>
      <c r="APP72" s="1251"/>
      <c r="APQ72" s="1251"/>
      <c r="APR72" s="1251"/>
      <c r="APS72" s="1251"/>
      <c r="APT72" s="1251"/>
      <c r="APU72" s="1251"/>
      <c r="APV72" s="1251"/>
      <c r="APW72" s="1251"/>
      <c r="APX72" s="1251"/>
      <c r="APY72" s="1251"/>
      <c r="APZ72" s="1251"/>
      <c r="AQA72" s="1251"/>
      <c r="AQB72" s="1251"/>
      <c r="AQC72" s="1251"/>
      <c r="AQD72" s="1251"/>
      <c r="AQE72" s="1251"/>
      <c r="AQF72" s="1251"/>
      <c r="AQG72" s="1251"/>
      <c r="AQH72" s="1251"/>
      <c r="AQI72" s="1251"/>
      <c r="AQJ72" s="1251"/>
      <c r="AQK72" s="1251"/>
      <c r="AQL72" s="1251"/>
      <c r="AQM72" s="1251"/>
      <c r="AQN72" s="1251"/>
      <c r="AQO72" s="1251"/>
      <c r="AQP72" s="1251"/>
      <c r="AQQ72" s="1251"/>
      <c r="AQR72" s="1251"/>
      <c r="AQS72" s="1251"/>
      <c r="AQT72" s="1251"/>
      <c r="AQU72" s="1251"/>
      <c r="AQV72" s="1251"/>
      <c r="AQW72" s="1251"/>
      <c r="AQX72" s="1251"/>
      <c r="AQY72" s="1251"/>
      <c r="AQZ72" s="1251"/>
      <c r="ARA72" s="1251"/>
      <c r="ARB72" s="1251"/>
      <c r="ARC72" s="1251"/>
      <c r="ARD72" s="1251"/>
      <c r="ARE72" s="1251"/>
      <c r="ARF72" s="1251"/>
      <c r="ARG72" s="1251"/>
      <c r="ARH72" s="1251"/>
      <c r="ARI72" s="1251"/>
      <c r="ARJ72" s="1251"/>
      <c r="ARK72" s="1251"/>
      <c r="ARL72" s="1251"/>
      <c r="ARM72" s="1251"/>
      <c r="ARN72" s="1251"/>
      <c r="ARO72" s="1251"/>
      <c r="ARP72" s="1251"/>
      <c r="ARQ72" s="1251"/>
      <c r="ARR72" s="1251"/>
      <c r="ARS72" s="1251"/>
      <c r="ART72" s="1251"/>
      <c r="ARU72" s="1251"/>
      <c r="ARV72" s="1251"/>
      <c r="ARW72" s="1251"/>
      <c r="ARX72" s="1251"/>
      <c r="ARY72" s="1251"/>
      <c r="ARZ72" s="1251"/>
      <c r="ASA72" s="1251"/>
      <c r="ASB72" s="1251"/>
      <c r="ASC72" s="1251"/>
      <c r="ASD72" s="1251"/>
      <c r="ASE72" s="1251"/>
      <c r="ASF72" s="1251"/>
      <c r="ASG72" s="1251"/>
      <c r="ASH72" s="1251"/>
      <c r="ASI72" s="1251"/>
      <c r="ASJ72" s="1251"/>
      <c r="ASK72" s="1251"/>
      <c r="ASL72" s="1251"/>
      <c r="ASM72" s="1251"/>
      <c r="ASN72" s="1251"/>
      <c r="ASO72" s="1251"/>
      <c r="ASP72" s="1251"/>
      <c r="ASQ72" s="1251"/>
      <c r="ASR72" s="1251"/>
      <c r="ASS72" s="1251"/>
      <c r="AST72" s="1251"/>
      <c r="ASU72" s="1251"/>
      <c r="ASV72" s="1251"/>
      <c r="ASW72" s="1251"/>
      <c r="ASX72" s="1251"/>
      <c r="ASY72" s="1251"/>
      <c r="ASZ72" s="1251"/>
      <c r="ATA72" s="1251"/>
      <c r="ATB72" s="1251"/>
      <c r="ATC72" s="1251"/>
      <c r="ATD72" s="1251"/>
      <c r="ATE72" s="1251"/>
      <c r="ATF72" s="1251"/>
      <c r="ATG72" s="1251"/>
      <c r="ATH72" s="1251"/>
      <c r="ATI72" s="1251"/>
      <c r="ATJ72" s="1251"/>
      <c r="ATK72" s="1251"/>
      <c r="ATL72" s="1251"/>
      <c r="ATM72" s="1251"/>
      <c r="ATN72" s="1251"/>
      <c r="ATO72" s="1251"/>
      <c r="ATP72" s="1251"/>
      <c r="ATQ72" s="1251"/>
      <c r="ATR72" s="1251"/>
      <c r="ATS72" s="1251"/>
      <c r="ATT72" s="1251"/>
      <c r="ATU72" s="1251"/>
      <c r="ATV72" s="1251"/>
      <c r="ATW72" s="1251"/>
      <c r="ATX72" s="1251"/>
      <c r="ATY72" s="1251"/>
      <c r="ATZ72" s="1251"/>
      <c r="AUA72" s="1251"/>
      <c r="AUB72" s="1251"/>
      <c r="AUC72" s="1251"/>
      <c r="AUD72" s="1251"/>
      <c r="AUE72" s="1251"/>
      <c r="AUF72" s="1251"/>
      <c r="AUG72" s="1251"/>
      <c r="AUH72" s="1251"/>
      <c r="AUI72" s="1251"/>
      <c r="AUJ72" s="1251"/>
      <c r="AUK72" s="1251"/>
      <c r="AUL72" s="1251"/>
      <c r="AUM72" s="1251"/>
      <c r="AUN72" s="1251"/>
      <c r="AUO72" s="1251"/>
      <c r="AUP72" s="1251"/>
      <c r="AUQ72" s="1251"/>
      <c r="AUR72" s="1251"/>
      <c r="AUS72" s="1251"/>
      <c r="AUT72" s="1251"/>
      <c r="AUU72" s="1251"/>
      <c r="AUV72" s="1251"/>
      <c r="AUW72" s="1251"/>
      <c r="AUX72" s="1251"/>
      <c r="AUY72" s="1251"/>
      <c r="AUZ72" s="1251"/>
      <c r="AVA72" s="1251"/>
      <c r="AVB72" s="1251"/>
      <c r="AVC72" s="1251"/>
      <c r="AVD72" s="1251"/>
      <c r="AVE72" s="1251"/>
      <c r="AVF72" s="1251"/>
      <c r="AVG72" s="1251"/>
      <c r="AVH72" s="1251"/>
      <c r="AVI72" s="1251"/>
      <c r="AVJ72" s="1251"/>
      <c r="AVK72" s="1251"/>
      <c r="AVL72" s="1251"/>
      <c r="AVM72" s="1251"/>
      <c r="AVN72" s="1251"/>
      <c r="AVO72" s="1251"/>
      <c r="AVP72" s="1251"/>
      <c r="AVQ72" s="1251"/>
      <c r="AVR72" s="1251"/>
      <c r="AVS72" s="1251"/>
      <c r="AVT72" s="1251"/>
      <c r="AVU72" s="1251"/>
      <c r="AVV72" s="1251"/>
      <c r="AVW72" s="1251"/>
      <c r="AVX72" s="1251"/>
      <c r="AVY72" s="1251"/>
      <c r="AVZ72" s="1251"/>
      <c r="AWA72" s="1251"/>
      <c r="AWB72" s="1251"/>
      <c r="AWC72" s="1251"/>
      <c r="AWD72" s="1251"/>
      <c r="AWE72" s="1251"/>
      <c r="AWF72" s="1251"/>
      <c r="AWG72" s="1251"/>
      <c r="AWH72" s="1251"/>
      <c r="AWI72" s="1251"/>
      <c r="AWJ72" s="1251"/>
      <c r="AWK72" s="1251"/>
      <c r="AWL72" s="1251"/>
      <c r="AWM72" s="1251"/>
      <c r="AWN72" s="1251"/>
      <c r="AWO72" s="1251"/>
      <c r="AWP72" s="1251"/>
      <c r="AWQ72" s="1251"/>
      <c r="AWR72" s="1251"/>
      <c r="AWS72" s="1251"/>
      <c r="AWT72" s="1251"/>
      <c r="AWU72" s="1251"/>
      <c r="AWV72" s="1251"/>
      <c r="AWW72" s="1251"/>
      <c r="AWX72" s="1251"/>
      <c r="AWY72" s="1251"/>
      <c r="AWZ72" s="1251"/>
      <c r="AXA72" s="1251"/>
      <c r="AXB72" s="1251"/>
      <c r="AXC72" s="1251"/>
      <c r="AXD72" s="1251"/>
      <c r="AXE72" s="1251"/>
      <c r="AXF72" s="1251"/>
      <c r="AXG72" s="1251"/>
      <c r="AXH72" s="1251"/>
      <c r="AXI72" s="1251"/>
      <c r="AXJ72" s="1251"/>
      <c r="AXK72" s="1251"/>
      <c r="AXL72" s="1251"/>
      <c r="AXM72" s="1251"/>
      <c r="AXN72" s="1251"/>
      <c r="AXO72" s="1251"/>
      <c r="AXP72" s="1251"/>
      <c r="AXQ72" s="1251"/>
      <c r="AXR72" s="1251"/>
      <c r="AXS72" s="1251"/>
      <c r="AXT72" s="1251"/>
      <c r="AXU72" s="1251"/>
      <c r="AXV72" s="1251"/>
      <c r="AXW72" s="1251"/>
      <c r="AXX72" s="1251"/>
      <c r="AXY72" s="1251"/>
      <c r="AXZ72" s="1251"/>
      <c r="AYA72" s="1251"/>
      <c r="AYB72" s="1251"/>
      <c r="AYC72" s="1251"/>
      <c r="AYD72" s="1251"/>
      <c r="AYE72" s="1251"/>
      <c r="AYF72" s="1251"/>
      <c r="AYG72" s="1251"/>
      <c r="AYH72" s="1251"/>
      <c r="AYI72" s="1251"/>
      <c r="AYJ72" s="1251"/>
      <c r="AYK72" s="1251"/>
      <c r="AYL72" s="1251"/>
      <c r="AYM72" s="1251"/>
      <c r="AYN72" s="1251"/>
      <c r="AYO72" s="1251"/>
      <c r="AYP72" s="1251"/>
      <c r="AYQ72" s="1251"/>
      <c r="AYR72" s="1251"/>
      <c r="AYS72" s="1251"/>
      <c r="AYT72" s="1251"/>
      <c r="AYU72" s="1251"/>
      <c r="AYV72" s="1251"/>
      <c r="AYW72" s="1251"/>
      <c r="AYX72" s="1251"/>
      <c r="AYY72" s="1251"/>
      <c r="AYZ72" s="1251"/>
      <c r="AZA72" s="1251"/>
      <c r="AZB72" s="1251"/>
      <c r="AZC72" s="1251"/>
      <c r="AZD72" s="1251"/>
      <c r="AZE72" s="1251"/>
      <c r="AZF72" s="1251"/>
      <c r="AZG72" s="1251"/>
      <c r="AZH72" s="1251"/>
      <c r="AZI72" s="1251"/>
      <c r="AZJ72" s="1251"/>
      <c r="AZK72" s="1251"/>
      <c r="AZL72" s="1251"/>
      <c r="AZM72" s="1251"/>
      <c r="AZN72" s="1251"/>
      <c r="AZO72" s="1251"/>
      <c r="AZP72" s="1251"/>
      <c r="AZQ72" s="1251"/>
      <c r="AZR72" s="1251"/>
      <c r="AZS72" s="1251"/>
      <c r="AZT72" s="1251"/>
      <c r="AZU72" s="1251"/>
      <c r="AZV72" s="1251"/>
      <c r="AZW72" s="1251"/>
      <c r="AZX72" s="1251"/>
      <c r="AZY72" s="1251"/>
      <c r="AZZ72" s="1251"/>
      <c r="BAA72" s="1251"/>
      <c r="BAB72" s="1251"/>
      <c r="BAC72" s="1251"/>
      <c r="BAD72" s="1251"/>
      <c r="BAE72" s="1251"/>
      <c r="BAF72" s="1251"/>
      <c r="BAG72" s="1251"/>
      <c r="BAH72" s="1251"/>
      <c r="BAI72" s="1251"/>
      <c r="BAJ72" s="1251"/>
      <c r="BAK72" s="1251"/>
      <c r="BAL72" s="1251"/>
      <c r="BAM72" s="1251"/>
      <c r="BAN72" s="1251"/>
      <c r="BAO72" s="1251"/>
      <c r="BAP72" s="1251"/>
      <c r="BAQ72" s="1251"/>
      <c r="BAR72" s="1251"/>
      <c r="BAS72" s="1251"/>
      <c r="BAT72" s="1251"/>
      <c r="BAU72" s="1251"/>
      <c r="BAV72" s="1251"/>
      <c r="BAW72" s="1251"/>
      <c r="BAX72" s="1251"/>
      <c r="BAY72" s="1251"/>
      <c r="BAZ72" s="1251"/>
      <c r="BBA72" s="1251"/>
      <c r="BBB72" s="1251"/>
      <c r="BBC72" s="1251"/>
      <c r="BBD72" s="1251"/>
      <c r="BBE72" s="1251"/>
      <c r="BBF72" s="1251"/>
      <c r="BBG72" s="1251"/>
      <c r="BBH72" s="1251"/>
      <c r="BBI72" s="1251"/>
      <c r="BBJ72" s="1251"/>
      <c r="BBK72" s="1251"/>
      <c r="BBL72" s="1251"/>
      <c r="BBM72" s="1251"/>
      <c r="BBN72" s="1251"/>
      <c r="BBO72" s="1251"/>
      <c r="BBP72" s="1251"/>
      <c r="BBQ72" s="1251"/>
      <c r="BBR72" s="1251"/>
      <c r="BBS72" s="1251"/>
      <c r="BBT72" s="1251"/>
      <c r="BBU72" s="1251"/>
      <c r="BBV72" s="1251"/>
      <c r="BBW72" s="1251"/>
      <c r="BBX72" s="1251"/>
      <c r="BBY72" s="1251"/>
      <c r="BBZ72" s="1251"/>
      <c r="BCA72" s="1251"/>
      <c r="BCB72" s="1251"/>
      <c r="BCC72" s="1251"/>
      <c r="BCD72" s="1251"/>
      <c r="BCE72" s="1251"/>
      <c r="BCF72" s="1251"/>
      <c r="BCG72" s="1251"/>
      <c r="BCH72" s="1251"/>
      <c r="BCI72" s="1251"/>
      <c r="BCJ72" s="1251"/>
      <c r="BCK72" s="1251"/>
      <c r="BCL72" s="1251"/>
      <c r="BCM72" s="1251"/>
      <c r="BCN72" s="1251"/>
      <c r="BCO72" s="1251"/>
      <c r="BCP72" s="1251"/>
      <c r="BCQ72" s="1251"/>
      <c r="BCR72" s="1251"/>
      <c r="BCS72" s="1251"/>
      <c r="BCT72" s="1251"/>
      <c r="BCU72" s="1251"/>
      <c r="BCV72" s="1251"/>
      <c r="BCW72" s="1251"/>
      <c r="BCX72" s="1251"/>
      <c r="BCY72" s="1251"/>
      <c r="BCZ72" s="1251"/>
      <c r="BDA72" s="1251"/>
      <c r="BDB72" s="1251"/>
      <c r="BDC72" s="1251"/>
      <c r="BDD72" s="1251"/>
      <c r="BDE72" s="1251"/>
      <c r="BDF72" s="1251"/>
      <c r="BDG72" s="1251"/>
      <c r="BDH72" s="1251"/>
      <c r="BDI72" s="1251"/>
      <c r="BDJ72" s="1251"/>
      <c r="BDK72" s="1251"/>
      <c r="BDL72" s="1251"/>
      <c r="BDM72" s="1251"/>
      <c r="BDN72" s="1251"/>
      <c r="BDO72" s="1251"/>
      <c r="BDP72" s="1251"/>
      <c r="BDQ72" s="1251"/>
      <c r="BDR72" s="1251"/>
      <c r="BDS72" s="1251"/>
      <c r="BDT72" s="1251"/>
      <c r="BDU72" s="1251"/>
      <c r="BDV72" s="1251"/>
      <c r="BDW72" s="1251"/>
      <c r="BDX72" s="1251"/>
      <c r="BDY72" s="1251"/>
      <c r="BDZ72" s="1251"/>
      <c r="BEA72" s="1251"/>
      <c r="BEB72" s="1251"/>
      <c r="BEC72" s="1251"/>
      <c r="BED72" s="1251"/>
      <c r="BEE72" s="1251"/>
      <c r="BEF72" s="1251"/>
      <c r="BEG72" s="1251"/>
      <c r="BEH72" s="1251"/>
      <c r="BEI72" s="1251"/>
      <c r="BEJ72" s="1251"/>
      <c r="BEK72" s="1251"/>
      <c r="BEL72" s="1251"/>
      <c r="BEM72" s="1251"/>
      <c r="BEN72" s="1251"/>
      <c r="BEO72" s="1251"/>
      <c r="BEP72" s="1251"/>
      <c r="BEQ72" s="1251"/>
      <c r="BER72" s="1251"/>
      <c r="BES72" s="1251"/>
      <c r="BET72" s="1251"/>
      <c r="BEU72" s="1251"/>
      <c r="BEV72" s="1251"/>
      <c r="BEW72" s="1251"/>
      <c r="BEX72" s="1251"/>
      <c r="BEY72" s="1251"/>
      <c r="BEZ72" s="1251"/>
      <c r="BFA72" s="1251"/>
      <c r="BFB72" s="1251"/>
      <c r="BFC72" s="1251"/>
      <c r="BFD72" s="1251"/>
      <c r="BFE72" s="1251"/>
      <c r="BFF72" s="1251"/>
      <c r="BFG72" s="1251"/>
      <c r="BFH72" s="1251"/>
      <c r="BFI72" s="1251"/>
      <c r="BFJ72" s="1251"/>
      <c r="BFK72" s="1251"/>
      <c r="BFL72" s="1251"/>
      <c r="BFM72" s="1251"/>
      <c r="BFN72" s="1251"/>
      <c r="BFO72" s="1251"/>
      <c r="BFP72" s="1251"/>
      <c r="BFQ72" s="1251"/>
      <c r="BFR72" s="1251"/>
      <c r="BFS72" s="1251"/>
      <c r="BFT72" s="1251"/>
      <c r="BFU72" s="1251"/>
      <c r="BFV72" s="1251"/>
      <c r="BFW72" s="1251"/>
      <c r="BFX72" s="1251"/>
      <c r="BFY72" s="1251"/>
      <c r="BFZ72" s="1251"/>
      <c r="BGA72" s="1251"/>
      <c r="BGB72" s="1251"/>
      <c r="BGC72" s="1251"/>
      <c r="BGD72" s="1251"/>
      <c r="BGE72" s="1251"/>
      <c r="BGF72" s="1251"/>
      <c r="BGG72" s="1251"/>
      <c r="BGH72" s="1251"/>
      <c r="BGI72" s="1251"/>
      <c r="BGJ72" s="1251"/>
      <c r="BGK72" s="1251"/>
      <c r="BGL72" s="1251"/>
      <c r="BGM72" s="1251"/>
      <c r="BGN72" s="1251"/>
      <c r="BGO72" s="1251"/>
      <c r="BGP72" s="1251"/>
      <c r="BGQ72" s="1251"/>
      <c r="BGR72" s="1251"/>
      <c r="BGS72" s="1251"/>
      <c r="BGT72" s="1251"/>
      <c r="BGU72" s="1251"/>
      <c r="BGV72" s="1251"/>
      <c r="BGW72" s="1251"/>
      <c r="BGX72" s="1251"/>
      <c r="BGY72" s="1251"/>
      <c r="BGZ72" s="1251"/>
      <c r="BHA72" s="1251"/>
      <c r="BHB72" s="1251"/>
      <c r="BHC72" s="1251"/>
      <c r="BHD72" s="1251"/>
      <c r="BHE72" s="1251"/>
      <c r="BHF72" s="1251"/>
      <c r="BHG72" s="1251"/>
      <c r="BHH72" s="1251"/>
      <c r="BHI72" s="1251"/>
      <c r="BHJ72" s="1251"/>
      <c r="BHK72" s="1251"/>
      <c r="BHL72" s="1251"/>
      <c r="BHM72" s="1251"/>
      <c r="BHN72" s="1251"/>
      <c r="BHO72" s="1251"/>
      <c r="BHP72" s="1251"/>
      <c r="BHQ72" s="1251"/>
      <c r="BHR72" s="1251"/>
      <c r="BHS72" s="1251"/>
      <c r="BHT72" s="1251"/>
      <c r="BHU72" s="1251"/>
      <c r="BHV72" s="1251"/>
      <c r="BHW72" s="1251"/>
      <c r="BHX72" s="1251"/>
      <c r="BHY72" s="1251"/>
      <c r="BHZ72" s="1251"/>
      <c r="BIA72" s="1251"/>
      <c r="BIB72" s="1251"/>
      <c r="BIC72" s="1251"/>
      <c r="BID72" s="1251"/>
      <c r="BIE72" s="1251"/>
      <c r="BIF72" s="1251"/>
      <c r="BIG72" s="1251"/>
      <c r="BIH72" s="1251"/>
      <c r="BII72" s="1251"/>
      <c r="BIJ72" s="1251"/>
      <c r="BIK72" s="1251"/>
      <c r="BIL72" s="1251"/>
      <c r="BIM72" s="1251"/>
      <c r="BIN72" s="1251"/>
      <c r="BIO72" s="1251"/>
      <c r="BIP72" s="1251"/>
      <c r="BIQ72" s="1251"/>
      <c r="BIR72" s="1251"/>
      <c r="BIS72" s="1251"/>
      <c r="BIT72" s="1251"/>
      <c r="BIU72" s="1251"/>
      <c r="BIV72" s="1251"/>
      <c r="BIW72" s="1251"/>
      <c r="BIX72" s="1251"/>
      <c r="BIY72" s="1251"/>
      <c r="BIZ72" s="1251"/>
      <c r="BJA72" s="1251"/>
      <c r="BJB72" s="1251"/>
      <c r="BJC72" s="1251"/>
      <c r="BJD72" s="1251"/>
      <c r="BJE72" s="1251"/>
      <c r="BJF72" s="1251"/>
      <c r="BJG72" s="1251"/>
      <c r="BJH72" s="1251"/>
      <c r="BJI72" s="1251"/>
      <c r="BJJ72" s="1251"/>
      <c r="BJK72" s="1251"/>
      <c r="BJL72" s="1251"/>
      <c r="BJM72" s="1251"/>
      <c r="BJN72" s="1251"/>
      <c r="BJO72" s="1251"/>
      <c r="BJP72" s="1251"/>
      <c r="BJQ72" s="1251"/>
      <c r="BJR72" s="1251"/>
      <c r="BJS72" s="1251"/>
      <c r="BJT72" s="1251"/>
      <c r="BJU72" s="1251"/>
      <c r="BJV72" s="1251"/>
      <c r="BJW72" s="1251"/>
      <c r="BJX72" s="1251"/>
      <c r="BJY72" s="1251"/>
      <c r="BJZ72" s="1251"/>
      <c r="BKA72" s="1251"/>
      <c r="BKB72" s="1251"/>
      <c r="BKC72" s="1251"/>
      <c r="BKD72" s="1251"/>
      <c r="BKE72" s="1251"/>
      <c r="BKF72" s="1251"/>
      <c r="BKG72" s="1251"/>
      <c r="BKH72" s="1251"/>
      <c r="BKI72" s="1251"/>
      <c r="BKJ72" s="1251"/>
      <c r="BKK72" s="1251"/>
      <c r="BKL72" s="1251"/>
      <c r="BKM72" s="1251"/>
      <c r="BKN72" s="1251"/>
      <c r="BKO72" s="1251"/>
      <c r="BKP72" s="1251"/>
      <c r="BKQ72" s="1251"/>
      <c r="BKR72" s="1251"/>
      <c r="BKS72" s="1251"/>
      <c r="BKT72" s="1251"/>
      <c r="BKU72" s="1251"/>
      <c r="BKV72" s="1251"/>
      <c r="BKW72" s="1251"/>
      <c r="BKX72" s="1251"/>
      <c r="BKY72" s="1251"/>
      <c r="BKZ72" s="1251"/>
      <c r="BLA72" s="1251"/>
      <c r="BLB72" s="1251"/>
      <c r="BLC72" s="1251"/>
      <c r="BLD72" s="1251"/>
      <c r="BLE72" s="1251"/>
      <c r="BLF72" s="1251"/>
      <c r="BLG72" s="1251"/>
      <c r="BLH72" s="1251"/>
      <c r="BLI72" s="1251"/>
      <c r="BLJ72" s="1251"/>
      <c r="BLK72" s="1251"/>
      <c r="BLL72" s="1251"/>
      <c r="BLM72" s="1251"/>
      <c r="BLN72" s="1251"/>
      <c r="BLO72" s="1251"/>
      <c r="BLP72" s="1251"/>
      <c r="BLQ72" s="1251"/>
      <c r="BLR72" s="1251"/>
      <c r="BLS72" s="1251"/>
      <c r="BLT72" s="1251"/>
      <c r="BLU72" s="1251"/>
      <c r="BLV72" s="1251"/>
      <c r="BLW72" s="1251"/>
      <c r="BLX72" s="1251"/>
      <c r="BLY72" s="1251"/>
      <c r="BLZ72" s="1251"/>
      <c r="BMA72" s="1251"/>
      <c r="BMB72" s="1251"/>
      <c r="BMC72" s="1251"/>
      <c r="BMD72" s="1251"/>
      <c r="BME72" s="1251"/>
      <c r="BMF72" s="1251"/>
      <c r="BMG72" s="1251"/>
      <c r="BMH72" s="1251"/>
      <c r="BMI72" s="1251"/>
      <c r="BMJ72" s="1251"/>
      <c r="BMK72" s="1251"/>
      <c r="BML72" s="1251"/>
      <c r="BMM72" s="1251"/>
      <c r="BMN72" s="1251"/>
      <c r="BMO72" s="1251"/>
      <c r="BMP72" s="1251"/>
      <c r="BMQ72" s="1251"/>
      <c r="BMR72" s="1251"/>
      <c r="BMS72" s="1251"/>
      <c r="BMT72" s="1251"/>
      <c r="BMU72" s="1251"/>
      <c r="BMV72" s="1251"/>
      <c r="BMW72" s="1251"/>
      <c r="BMX72" s="1251"/>
      <c r="BMY72" s="1251"/>
      <c r="BMZ72" s="1251"/>
      <c r="BNA72" s="1251"/>
      <c r="BNB72" s="1251"/>
      <c r="BNC72" s="1251"/>
      <c r="BND72" s="1251"/>
      <c r="BNE72" s="1251"/>
      <c r="BNF72" s="1251"/>
      <c r="BNG72" s="1251"/>
      <c r="BNH72" s="1251"/>
      <c r="BNI72" s="1251"/>
      <c r="BNJ72" s="1251"/>
      <c r="BNK72" s="1251"/>
      <c r="BNL72" s="1251"/>
      <c r="BNM72" s="1251"/>
      <c r="BNN72" s="1251"/>
      <c r="BNO72" s="1251"/>
      <c r="BNP72" s="1251"/>
      <c r="BNQ72" s="1251"/>
      <c r="BNR72" s="1251"/>
      <c r="BNS72" s="1251"/>
      <c r="BNT72" s="1251"/>
      <c r="BNU72" s="1251"/>
      <c r="BNV72" s="1251"/>
      <c r="BNW72" s="1251"/>
      <c r="BNX72" s="1251"/>
      <c r="BNY72" s="1251"/>
      <c r="BNZ72" s="1251"/>
      <c r="BOA72" s="1251"/>
      <c r="BOB72" s="1251"/>
      <c r="BOC72" s="1251"/>
      <c r="BOD72" s="1251"/>
      <c r="BOE72" s="1251"/>
      <c r="BOF72" s="1251"/>
      <c r="BOG72" s="1251"/>
      <c r="BOH72" s="1251"/>
      <c r="BOI72" s="1251"/>
      <c r="BOJ72" s="1251"/>
      <c r="BOK72" s="1251"/>
      <c r="BOL72" s="1251"/>
      <c r="BOM72" s="1251"/>
      <c r="BON72" s="1251"/>
      <c r="BOO72" s="1251"/>
      <c r="BOP72" s="1251"/>
      <c r="BOQ72" s="1251"/>
      <c r="BOR72" s="1251"/>
      <c r="BOS72" s="1251"/>
      <c r="BOT72" s="1251"/>
      <c r="BOU72" s="1251"/>
      <c r="BOV72" s="1251"/>
      <c r="BOW72" s="1251"/>
      <c r="BOX72" s="1251"/>
      <c r="BOY72" s="1251"/>
      <c r="BOZ72" s="1251"/>
      <c r="BPA72" s="1251"/>
      <c r="BPB72" s="1251"/>
      <c r="BPC72" s="1251"/>
      <c r="BPD72" s="1251"/>
      <c r="BPE72" s="1251"/>
      <c r="BPF72" s="1251"/>
      <c r="BPG72" s="1251"/>
      <c r="BPH72" s="1251"/>
      <c r="BPI72" s="1251"/>
      <c r="BPJ72" s="1251"/>
      <c r="BPK72" s="1251"/>
      <c r="BPL72" s="1251"/>
      <c r="BPM72" s="1251"/>
      <c r="BPN72" s="1251"/>
      <c r="BPO72" s="1251"/>
      <c r="BPP72" s="1251"/>
      <c r="BPQ72" s="1251"/>
      <c r="BPR72" s="1251"/>
      <c r="BPS72" s="1251"/>
      <c r="BPT72" s="1251"/>
      <c r="BPU72" s="1251"/>
      <c r="BPV72" s="1251"/>
      <c r="BPW72" s="1251"/>
      <c r="BPX72" s="1251"/>
      <c r="BPY72" s="1251"/>
      <c r="BPZ72" s="1251"/>
      <c r="BQA72" s="1251"/>
      <c r="BQB72" s="1251"/>
      <c r="BQC72" s="1251"/>
      <c r="BQD72" s="1251"/>
      <c r="BQE72" s="1251"/>
      <c r="BQF72" s="1251"/>
      <c r="BQG72" s="1251"/>
      <c r="BQH72" s="1251"/>
      <c r="BQI72" s="1251"/>
      <c r="BQJ72" s="1251"/>
      <c r="BQK72" s="1251"/>
      <c r="BQL72" s="1251"/>
      <c r="BQM72" s="1251"/>
      <c r="BQN72" s="1251"/>
      <c r="BQO72" s="1251"/>
      <c r="BQP72" s="1251"/>
      <c r="BQQ72" s="1251"/>
      <c r="BQR72" s="1251"/>
      <c r="BQS72" s="1251"/>
      <c r="BQT72" s="1251"/>
      <c r="BQU72" s="1251"/>
      <c r="BQV72" s="1251"/>
      <c r="BQW72" s="1251"/>
      <c r="BQX72" s="1251"/>
      <c r="BQY72" s="1251"/>
      <c r="BQZ72" s="1251"/>
      <c r="BRA72" s="1251"/>
      <c r="BRB72" s="1251"/>
      <c r="BRC72" s="1251"/>
      <c r="BRD72" s="1251"/>
      <c r="BRE72" s="1251"/>
      <c r="BRF72" s="1251"/>
      <c r="BRG72" s="1251"/>
      <c r="BRH72" s="1251"/>
      <c r="BRI72" s="1251"/>
      <c r="BRJ72" s="1251"/>
      <c r="BRK72" s="1251"/>
      <c r="BRL72" s="1251"/>
      <c r="BRM72" s="1251"/>
      <c r="BRN72" s="1251"/>
      <c r="BRO72" s="1251"/>
      <c r="BRP72" s="1251"/>
      <c r="BRQ72" s="1251"/>
      <c r="BRR72" s="1251"/>
      <c r="BRS72" s="1251"/>
      <c r="BRT72" s="1251"/>
      <c r="BRU72" s="1251"/>
      <c r="BRV72" s="1251"/>
      <c r="BRW72" s="1251"/>
      <c r="BRX72" s="1251"/>
      <c r="BRY72" s="1251"/>
      <c r="BRZ72" s="1251"/>
      <c r="BSA72" s="1251"/>
      <c r="BSB72" s="1251"/>
      <c r="BSC72" s="1251"/>
      <c r="BSD72" s="1251"/>
      <c r="BSE72" s="1251"/>
      <c r="BSF72" s="1251"/>
      <c r="BSG72" s="1251"/>
      <c r="BSH72" s="1251"/>
      <c r="BSI72" s="1251"/>
      <c r="BSJ72" s="1251"/>
      <c r="BSK72" s="1251"/>
      <c r="BSL72" s="1251"/>
      <c r="BSM72" s="1251"/>
      <c r="BSN72" s="1251"/>
      <c r="BSO72" s="1251"/>
      <c r="BSP72" s="1251"/>
      <c r="BSQ72" s="1251"/>
      <c r="BSR72" s="1251"/>
      <c r="BSS72" s="1251"/>
      <c r="BST72" s="1251"/>
      <c r="BSU72" s="1251"/>
      <c r="BSV72" s="1251"/>
      <c r="BSW72" s="1251"/>
      <c r="BSX72" s="1251"/>
      <c r="BSY72" s="1251"/>
      <c r="BSZ72" s="1251"/>
      <c r="BTA72" s="1251"/>
      <c r="BTB72" s="1251"/>
      <c r="BTC72" s="1251"/>
      <c r="BTD72" s="1251"/>
      <c r="BTE72" s="1251"/>
      <c r="BTF72" s="1251"/>
      <c r="BTG72" s="1251"/>
      <c r="BTH72" s="1251"/>
      <c r="BTI72" s="1251"/>
    </row>
    <row r="73" spans="1:1881" s="1251" customFormat="1" ht="63.75" hidden="1" customHeight="1" thickBot="1" x14ac:dyDescent="0.35">
      <c r="A73" s="1248">
        <v>540</v>
      </c>
      <c r="B73" s="635" t="s">
        <v>59</v>
      </c>
      <c r="C73" s="635" t="s">
        <v>1369</v>
      </c>
      <c r="D73" s="29" t="s">
        <v>685</v>
      </c>
      <c r="E73" s="1249" t="e">
        <f>HLOOKUP($D$2,'2020 Data(H)'!$C$1:$CZ$426,190,FALSE)</f>
        <v>#N/A</v>
      </c>
      <c r="F73" s="1263">
        <v>0</v>
      </c>
      <c r="G73" s="727"/>
      <c r="H73" s="728"/>
      <c r="I73" s="1264"/>
      <c r="J73" s="1252"/>
      <c r="L73" s="701"/>
      <c r="N73" s="1253"/>
      <c r="Z73" s="1248"/>
      <c r="AA73" s="1248"/>
      <c r="AB73" s="1248"/>
      <c r="AC73" s="1248"/>
      <c r="AD73" s="1248"/>
      <c r="AE73" s="1248"/>
      <c r="AF73" s="1248"/>
      <c r="AG73" s="1248"/>
      <c r="AH73" s="1248"/>
      <c r="AI73" s="1248"/>
      <c r="AJ73" s="1248"/>
      <c r="AK73" s="1248"/>
      <c r="AL73" s="1248"/>
      <c r="AM73" s="1248"/>
      <c r="AN73" s="1248"/>
      <c r="AO73" s="1248"/>
      <c r="AP73" s="1248"/>
      <c r="AQ73" s="1248"/>
      <c r="AR73" s="1248"/>
    </row>
    <row r="74" spans="1:1881" s="1261" customFormat="1" ht="30" hidden="1" customHeight="1" thickBot="1" x14ac:dyDescent="0.35">
      <c r="A74" s="1248"/>
      <c r="B74" s="829" t="s">
        <v>151</v>
      </c>
      <c r="C74" s="830"/>
      <c r="D74" s="851"/>
      <c r="E74" s="834"/>
      <c r="F74" s="1258"/>
      <c r="G74" s="836"/>
      <c r="H74" s="17"/>
      <c r="I74" s="760"/>
      <c r="J74" s="1251"/>
      <c r="K74" s="1251"/>
      <c r="L74" s="701"/>
      <c r="M74" s="1251"/>
      <c r="N74" s="1253"/>
      <c r="O74" s="1251"/>
      <c r="P74" s="1251"/>
      <c r="Q74" s="1251"/>
      <c r="R74" s="1251"/>
      <c r="S74" s="1251"/>
      <c r="T74" s="1251"/>
      <c r="U74" s="1251"/>
      <c r="V74" s="1251"/>
      <c r="W74" s="1251"/>
      <c r="X74" s="1251"/>
      <c r="Y74" s="1251"/>
      <c r="Z74" s="1248"/>
      <c r="AA74" s="1248"/>
      <c r="AB74" s="1248"/>
      <c r="AC74" s="1248"/>
      <c r="AD74" s="1248"/>
      <c r="AE74" s="1248"/>
      <c r="AF74" s="1248"/>
      <c r="AG74" s="1248"/>
      <c r="AH74" s="1248"/>
      <c r="AI74" s="1248"/>
      <c r="AJ74" s="1248"/>
      <c r="AK74" s="1248"/>
      <c r="AL74" s="1248"/>
      <c r="AM74" s="1248"/>
      <c r="AN74" s="1248"/>
      <c r="AO74" s="1248"/>
      <c r="AP74" s="1248"/>
      <c r="AQ74" s="1248"/>
      <c r="AR74" s="1248"/>
      <c r="AS74" s="1251"/>
      <c r="AT74" s="1251"/>
      <c r="AU74" s="1251"/>
      <c r="AV74" s="1251"/>
      <c r="AW74" s="1251"/>
      <c r="AX74" s="1251"/>
      <c r="AY74" s="1251"/>
      <c r="AZ74" s="1251"/>
      <c r="BA74" s="1251"/>
      <c r="BB74" s="1251"/>
      <c r="BC74" s="1251"/>
      <c r="BD74" s="1251"/>
      <c r="BE74" s="1251"/>
      <c r="BF74" s="1251"/>
      <c r="BG74" s="1251"/>
      <c r="BH74" s="1251"/>
      <c r="BI74" s="1251"/>
      <c r="BJ74" s="1251"/>
      <c r="BK74" s="1251"/>
      <c r="BL74" s="1251"/>
      <c r="BM74" s="1251"/>
      <c r="BN74" s="1251"/>
      <c r="BO74" s="1251"/>
      <c r="BP74" s="1251"/>
      <c r="BQ74" s="1251"/>
      <c r="BR74" s="1251"/>
      <c r="BS74" s="1251"/>
      <c r="BT74" s="1251"/>
      <c r="BU74" s="1251"/>
      <c r="BV74" s="1251"/>
      <c r="BW74" s="1251"/>
      <c r="BX74" s="1251"/>
      <c r="BY74" s="1251"/>
      <c r="BZ74" s="1251"/>
      <c r="CA74" s="1251"/>
      <c r="CB74" s="1251"/>
      <c r="CC74" s="1251"/>
      <c r="CD74" s="1251"/>
      <c r="CE74" s="1251"/>
      <c r="CF74" s="1251"/>
      <c r="CG74" s="1251"/>
      <c r="CH74" s="1251"/>
      <c r="CI74" s="1251"/>
      <c r="CJ74" s="1251"/>
      <c r="CK74" s="1251"/>
      <c r="CL74" s="1251"/>
      <c r="CM74" s="1251"/>
      <c r="CN74" s="1251"/>
      <c r="CO74" s="1251"/>
      <c r="CP74" s="1251"/>
      <c r="CQ74" s="1251"/>
      <c r="CR74" s="1251"/>
      <c r="CS74" s="1251"/>
      <c r="CT74" s="1251"/>
      <c r="CU74" s="1251"/>
      <c r="CV74" s="1251"/>
      <c r="CW74" s="1251"/>
      <c r="CX74" s="1251"/>
      <c r="CY74" s="1251"/>
      <c r="CZ74" s="1251"/>
      <c r="DA74" s="1251"/>
      <c r="DB74" s="1251"/>
      <c r="DC74" s="1251"/>
      <c r="DD74" s="1251"/>
      <c r="DE74" s="1251"/>
      <c r="DF74" s="1251"/>
      <c r="DG74" s="1251"/>
      <c r="DH74" s="1251"/>
      <c r="DI74" s="1251"/>
      <c r="DJ74" s="1251"/>
      <c r="DK74" s="1251"/>
      <c r="DL74" s="1251"/>
      <c r="DM74" s="1251"/>
      <c r="DN74" s="1251"/>
      <c r="DO74" s="1251"/>
      <c r="DP74" s="1251"/>
      <c r="DQ74" s="1251"/>
      <c r="DR74" s="1251"/>
      <c r="DS74" s="1251"/>
      <c r="DT74" s="1251"/>
      <c r="DU74" s="1251"/>
      <c r="DV74" s="1251"/>
      <c r="DW74" s="1251"/>
      <c r="DX74" s="1251"/>
      <c r="DY74" s="1251"/>
      <c r="DZ74" s="1251"/>
      <c r="EA74" s="1251"/>
      <c r="EB74" s="1251"/>
      <c r="EC74" s="1251"/>
      <c r="ED74" s="1251"/>
      <c r="EE74" s="1251"/>
      <c r="EF74" s="1251"/>
      <c r="EG74" s="1251"/>
      <c r="EH74" s="1251"/>
      <c r="EI74" s="1251"/>
      <c r="EJ74" s="1251"/>
      <c r="EK74" s="1251"/>
      <c r="EL74" s="1251"/>
      <c r="EM74" s="1251"/>
      <c r="EN74" s="1251"/>
      <c r="EO74" s="1251"/>
      <c r="EP74" s="1251"/>
      <c r="EQ74" s="1251"/>
      <c r="ER74" s="1251"/>
      <c r="ES74" s="1251"/>
      <c r="ET74" s="1251"/>
      <c r="EU74" s="1251"/>
      <c r="EV74" s="1251"/>
      <c r="EW74" s="1251"/>
      <c r="EX74" s="1251"/>
      <c r="EY74" s="1251"/>
      <c r="EZ74" s="1251"/>
      <c r="FA74" s="1251"/>
      <c r="FB74" s="1251"/>
      <c r="FC74" s="1251"/>
      <c r="FD74" s="1251"/>
      <c r="FE74" s="1251"/>
      <c r="FF74" s="1251"/>
      <c r="FG74" s="1251"/>
      <c r="FH74" s="1251"/>
      <c r="FI74" s="1251"/>
      <c r="FJ74" s="1251"/>
      <c r="FK74" s="1251"/>
      <c r="FL74" s="1251"/>
      <c r="FM74" s="1251"/>
      <c r="FN74" s="1251"/>
      <c r="FO74" s="1251"/>
      <c r="FP74" s="1251"/>
      <c r="FQ74" s="1251"/>
      <c r="FR74" s="1251"/>
      <c r="FS74" s="1251"/>
      <c r="FT74" s="1251"/>
      <c r="FU74" s="1251"/>
      <c r="FV74" s="1251"/>
      <c r="FW74" s="1251"/>
      <c r="FX74" s="1251"/>
      <c r="FY74" s="1251"/>
      <c r="FZ74" s="1251"/>
      <c r="GA74" s="1251"/>
      <c r="GB74" s="1251"/>
      <c r="GC74" s="1251"/>
      <c r="GD74" s="1251"/>
      <c r="GE74" s="1251"/>
      <c r="GF74" s="1251"/>
      <c r="GG74" s="1251"/>
      <c r="GH74" s="1251"/>
      <c r="GI74" s="1251"/>
      <c r="GJ74" s="1251"/>
      <c r="GK74" s="1251"/>
      <c r="GL74" s="1251"/>
      <c r="GM74" s="1251"/>
      <c r="GN74" s="1251"/>
      <c r="GO74" s="1251"/>
      <c r="GP74" s="1251"/>
      <c r="GQ74" s="1251"/>
      <c r="GR74" s="1251"/>
      <c r="GS74" s="1251"/>
      <c r="GT74" s="1251"/>
      <c r="GU74" s="1251"/>
      <c r="GV74" s="1251"/>
      <c r="GW74" s="1251"/>
      <c r="GX74" s="1251"/>
      <c r="GY74" s="1251"/>
      <c r="GZ74" s="1251"/>
      <c r="HA74" s="1251"/>
      <c r="HB74" s="1251"/>
      <c r="HC74" s="1251"/>
      <c r="HD74" s="1251"/>
      <c r="HE74" s="1251"/>
      <c r="HF74" s="1251"/>
      <c r="HG74" s="1251"/>
      <c r="HH74" s="1251"/>
      <c r="HI74" s="1251"/>
      <c r="HJ74" s="1251"/>
      <c r="HK74" s="1251"/>
      <c r="HL74" s="1251"/>
      <c r="HM74" s="1251"/>
      <c r="HN74" s="1251"/>
      <c r="HO74" s="1251"/>
      <c r="HP74" s="1251"/>
      <c r="HQ74" s="1251"/>
      <c r="HR74" s="1251"/>
      <c r="HS74" s="1251"/>
      <c r="HT74" s="1251"/>
      <c r="HU74" s="1251"/>
      <c r="HV74" s="1251"/>
      <c r="HW74" s="1251"/>
      <c r="HX74" s="1251"/>
      <c r="HY74" s="1251"/>
      <c r="HZ74" s="1251"/>
      <c r="IA74" s="1251"/>
      <c r="IB74" s="1251"/>
      <c r="IC74" s="1251"/>
      <c r="ID74" s="1251"/>
      <c r="IE74" s="1251"/>
      <c r="IF74" s="1251"/>
      <c r="IG74" s="1251"/>
      <c r="IH74" s="1251"/>
      <c r="II74" s="1251"/>
      <c r="IJ74" s="1251"/>
      <c r="IK74" s="1251"/>
      <c r="IL74" s="1251"/>
      <c r="IM74" s="1251"/>
      <c r="IN74" s="1251"/>
      <c r="IO74" s="1251"/>
      <c r="IP74" s="1251"/>
      <c r="IQ74" s="1251"/>
      <c r="IR74" s="1251"/>
      <c r="IS74" s="1251"/>
      <c r="IT74" s="1251"/>
      <c r="IU74" s="1251"/>
      <c r="IV74" s="1251"/>
      <c r="IW74" s="1251"/>
      <c r="IX74" s="1251"/>
      <c r="IY74" s="1251"/>
      <c r="IZ74" s="1251"/>
      <c r="JA74" s="1251"/>
      <c r="JB74" s="1251"/>
      <c r="JC74" s="1251"/>
      <c r="JD74" s="1251"/>
      <c r="JE74" s="1251"/>
      <c r="JF74" s="1251"/>
      <c r="JG74" s="1251"/>
      <c r="JH74" s="1251"/>
      <c r="JI74" s="1251"/>
      <c r="JJ74" s="1251"/>
      <c r="JK74" s="1251"/>
      <c r="JL74" s="1251"/>
      <c r="JM74" s="1251"/>
      <c r="JN74" s="1251"/>
      <c r="JO74" s="1251"/>
      <c r="JP74" s="1251"/>
      <c r="JQ74" s="1251"/>
      <c r="JR74" s="1251"/>
      <c r="JS74" s="1251"/>
      <c r="JT74" s="1251"/>
      <c r="JU74" s="1251"/>
      <c r="JV74" s="1251"/>
      <c r="JW74" s="1251"/>
      <c r="JX74" s="1251"/>
      <c r="JY74" s="1251"/>
      <c r="JZ74" s="1251"/>
      <c r="KA74" s="1251"/>
      <c r="KB74" s="1251"/>
      <c r="KC74" s="1251"/>
      <c r="KD74" s="1251"/>
      <c r="KE74" s="1251"/>
      <c r="KF74" s="1251"/>
      <c r="KG74" s="1251"/>
      <c r="KH74" s="1251"/>
      <c r="KI74" s="1251"/>
      <c r="KJ74" s="1251"/>
      <c r="KK74" s="1251"/>
      <c r="KL74" s="1251"/>
      <c r="KM74" s="1251"/>
      <c r="KN74" s="1251"/>
      <c r="KO74" s="1251"/>
      <c r="KP74" s="1251"/>
      <c r="KQ74" s="1251"/>
      <c r="KR74" s="1251"/>
      <c r="KS74" s="1251"/>
      <c r="KT74" s="1251"/>
      <c r="KU74" s="1251"/>
      <c r="KV74" s="1251"/>
      <c r="KW74" s="1251"/>
      <c r="KX74" s="1251"/>
      <c r="KY74" s="1251"/>
      <c r="KZ74" s="1251"/>
      <c r="LA74" s="1251"/>
      <c r="LB74" s="1251"/>
      <c r="LC74" s="1251"/>
      <c r="LD74" s="1251"/>
      <c r="LE74" s="1251"/>
      <c r="LF74" s="1251"/>
      <c r="LG74" s="1251"/>
      <c r="LH74" s="1251"/>
      <c r="LI74" s="1251"/>
      <c r="LJ74" s="1251"/>
      <c r="LK74" s="1251"/>
      <c r="LL74" s="1251"/>
      <c r="LM74" s="1251"/>
      <c r="LN74" s="1251"/>
      <c r="LO74" s="1251"/>
      <c r="LP74" s="1251"/>
      <c r="LQ74" s="1251"/>
      <c r="LR74" s="1251"/>
      <c r="LS74" s="1251"/>
      <c r="LT74" s="1251"/>
      <c r="LU74" s="1251"/>
      <c r="LV74" s="1251"/>
      <c r="LW74" s="1251"/>
      <c r="LX74" s="1251"/>
      <c r="LY74" s="1251"/>
      <c r="LZ74" s="1251"/>
      <c r="MA74" s="1251"/>
      <c r="MB74" s="1251"/>
      <c r="MC74" s="1251"/>
      <c r="MD74" s="1251"/>
      <c r="ME74" s="1251"/>
      <c r="MF74" s="1251"/>
      <c r="MG74" s="1251"/>
      <c r="MH74" s="1251"/>
      <c r="MI74" s="1251"/>
      <c r="MJ74" s="1251"/>
      <c r="MK74" s="1251"/>
      <c r="ML74" s="1251"/>
      <c r="MM74" s="1251"/>
      <c r="MN74" s="1251"/>
      <c r="MO74" s="1251"/>
      <c r="MP74" s="1251"/>
      <c r="MQ74" s="1251"/>
      <c r="MR74" s="1251"/>
      <c r="MS74" s="1251"/>
      <c r="MT74" s="1251"/>
      <c r="MU74" s="1251"/>
      <c r="MV74" s="1251"/>
      <c r="MW74" s="1251"/>
      <c r="MX74" s="1251"/>
      <c r="MY74" s="1251"/>
      <c r="MZ74" s="1251"/>
      <c r="NA74" s="1251"/>
      <c r="NB74" s="1251"/>
      <c r="NC74" s="1251"/>
      <c r="ND74" s="1251"/>
      <c r="NE74" s="1251"/>
      <c r="NF74" s="1251"/>
      <c r="NG74" s="1251"/>
      <c r="NH74" s="1251"/>
      <c r="NI74" s="1251"/>
      <c r="NJ74" s="1251"/>
      <c r="NK74" s="1251"/>
      <c r="NL74" s="1251"/>
      <c r="NM74" s="1251"/>
      <c r="NN74" s="1251"/>
      <c r="NO74" s="1251"/>
      <c r="NP74" s="1251"/>
      <c r="NQ74" s="1251"/>
      <c r="NR74" s="1251"/>
      <c r="NS74" s="1251"/>
      <c r="NT74" s="1251"/>
      <c r="NU74" s="1251"/>
      <c r="NV74" s="1251"/>
      <c r="NW74" s="1251"/>
      <c r="NX74" s="1251"/>
      <c r="NY74" s="1251"/>
      <c r="NZ74" s="1251"/>
      <c r="OA74" s="1251"/>
      <c r="OB74" s="1251"/>
      <c r="OC74" s="1251"/>
      <c r="OD74" s="1251"/>
      <c r="OE74" s="1251"/>
      <c r="OF74" s="1251"/>
      <c r="OG74" s="1251"/>
      <c r="OH74" s="1251"/>
      <c r="OI74" s="1251"/>
      <c r="OJ74" s="1251"/>
      <c r="OK74" s="1251"/>
      <c r="OL74" s="1251"/>
      <c r="OM74" s="1251"/>
      <c r="ON74" s="1251"/>
      <c r="OO74" s="1251"/>
      <c r="OP74" s="1251"/>
      <c r="OQ74" s="1251"/>
      <c r="OR74" s="1251"/>
      <c r="OS74" s="1251"/>
      <c r="OT74" s="1251"/>
      <c r="OU74" s="1251"/>
      <c r="OV74" s="1251"/>
      <c r="OW74" s="1251"/>
      <c r="OX74" s="1251"/>
      <c r="OY74" s="1251"/>
      <c r="OZ74" s="1251"/>
      <c r="PA74" s="1251"/>
      <c r="PB74" s="1251"/>
      <c r="PC74" s="1251"/>
      <c r="PD74" s="1251"/>
      <c r="PE74" s="1251"/>
      <c r="PF74" s="1251"/>
      <c r="PG74" s="1251"/>
      <c r="PH74" s="1251"/>
      <c r="PI74" s="1251"/>
      <c r="PJ74" s="1251"/>
      <c r="PK74" s="1251"/>
      <c r="PL74" s="1251"/>
      <c r="PM74" s="1251"/>
      <c r="PN74" s="1251"/>
      <c r="PO74" s="1251"/>
      <c r="PP74" s="1251"/>
      <c r="PQ74" s="1251"/>
      <c r="PR74" s="1251"/>
      <c r="PS74" s="1251"/>
      <c r="PT74" s="1251"/>
      <c r="PU74" s="1251"/>
      <c r="PV74" s="1251"/>
      <c r="PW74" s="1251"/>
      <c r="PX74" s="1251"/>
      <c r="PY74" s="1251"/>
      <c r="PZ74" s="1251"/>
      <c r="QA74" s="1251"/>
      <c r="QB74" s="1251"/>
      <c r="QC74" s="1251"/>
      <c r="QD74" s="1251"/>
      <c r="QE74" s="1251"/>
      <c r="QF74" s="1251"/>
      <c r="QG74" s="1251"/>
      <c r="QH74" s="1251"/>
      <c r="QI74" s="1251"/>
      <c r="QJ74" s="1251"/>
      <c r="QK74" s="1251"/>
      <c r="QL74" s="1251"/>
      <c r="QM74" s="1251"/>
      <c r="QN74" s="1251"/>
      <c r="QO74" s="1251"/>
      <c r="QP74" s="1251"/>
      <c r="QQ74" s="1251"/>
      <c r="QR74" s="1251"/>
      <c r="QS74" s="1251"/>
      <c r="QT74" s="1251"/>
      <c r="QU74" s="1251"/>
      <c r="QV74" s="1251"/>
      <c r="QW74" s="1251"/>
      <c r="QX74" s="1251"/>
      <c r="QY74" s="1251"/>
      <c r="QZ74" s="1251"/>
      <c r="RA74" s="1251"/>
      <c r="RB74" s="1251"/>
      <c r="RC74" s="1251"/>
      <c r="RD74" s="1251"/>
      <c r="RE74" s="1251"/>
      <c r="RF74" s="1251"/>
      <c r="RG74" s="1251"/>
      <c r="RH74" s="1251"/>
      <c r="RI74" s="1251"/>
      <c r="RJ74" s="1251"/>
      <c r="RK74" s="1251"/>
      <c r="RL74" s="1251"/>
      <c r="RM74" s="1251"/>
      <c r="RN74" s="1251"/>
      <c r="RO74" s="1251"/>
      <c r="RP74" s="1251"/>
      <c r="RQ74" s="1251"/>
      <c r="RR74" s="1251"/>
      <c r="RS74" s="1251"/>
      <c r="RT74" s="1251"/>
      <c r="RU74" s="1251"/>
      <c r="RV74" s="1251"/>
      <c r="RW74" s="1251"/>
      <c r="RX74" s="1251"/>
      <c r="RY74" s="1251"/>
      <c r="RZ74" s="1251"/>
      <c r="SA74" s="1251"/>
      <c r="SB74" s="1251"/>
      <c r="SC74" s="1251"/>
      <c r="SD74" s="1251"/>
      <c r="SE74" s="1251"/>
      <c r="SF74" s="1251"/>
      <c r="SG74" s="1251"/>
      <c r="SH74" s="1251"/>
      <c r="SI74" s="1251"/>
      <c r="SJ74" s="1251"/>
      <c r="SK74" s="1251"/>
      <c r="SL74" s="1251"/>
      <c r="SM74" s="1251"/>
      <c r="SN74" s="1251"/>
      <c r="SO74" s="1251"/>
      <c r="SP74" s="1251"/>
      <c r="SQ74" s="1251"/>
      <c r="SR74" s="1251"/>
      <c r="SS74" s="1251"/>
      <c r="ST74" s="1251"/>
      <c r="SU74" s="1251"/>
      <c r="SV74" s="1251"/>
      <c r="SW74" s="1251"/>
      <c r="SX74" s="1251"/>
      <c r="SY74" s="1251"/>
      <c r="SZ74" s="1251"/>
      <c r="TA74" s="1251"/>
      <c r="TB74" s="1251"/>
      <c r="TC74" s="1251"/>
      <c r="TD74" s="1251"/>
      <c r="TE74" s="1251"/>
      <c r="TF74" s="1251"/>
      <c r="TG74" s="1251"/>
      <c r="TH74" s="1251"/>
      <c r="TI74" s="1251"/>
      <c r="TJ74" s="1251"/>
      <c r="TK74" s="1251"/>
      <c r="TL74" s="1251"/>
      <c r="TM74" s="1251"/>
      <c r="TN74" s="1251"/>
      <c r="TO74" s="1251"/>
      <c r="TP74" s="1251"/>
      <c r="TQ74" s="1251"/>
      <c r="TR74" s="1251"/>
      <c r="TS74" s="1251"/>
      <c r="TT74" s="1251"/>
      <c r="TU74" s="1251"/>
      <c r="TV74" s="1251"/>
      <c r="TW74" s="1251"/>
      <c r="TX74" s="1251"/>
      <c r="TY74" s="1251"/>
      <c r="TZ74" s="1251"/>
      <c r="UA74" s="1251"/>
      <c r="UB74" s="1251"/>
      <c r="UC74" s="1251"/>
      <c r="UD74" s="1251"/>
      <c r="UE74" s="1251"/>
      <c r="UF74" s="1251"/>
      <c r="UG74" s="1251"/>
      <c r="UH74" s="1251"/>
      <c r="UI74" s="1251"/>
      <c r="UJ74" s="1251"/>
      <c r="UK74" s="1251"/>
      <c r="UL74" s="1251"/>
      <c r="UM74" s="1251"/>
      <c r="UN74" s="1251"/>
      <c r="UO74" s="1251"/>
      <c r="UP74" s="1251"/>
      <c r="UQ74" s="1251"/>
      <c r="UR74" s="1251"/>
      <c r="US74" s="1251"/>
      <c r="UT74" s="1251"/>
      <c r="UU74" s="1251"/>
      <c r="UV74" s="1251"/>
      <c r="UW74" s="1251"/>
      <c r="UX74" s="1251"/>
      <c r="UY74" s="1251"/>
      <c r="UZ74" s="1251"/>
      <c r="VA74" s="1251"/>
      <c r="VB74" s="1251"/>
      <c r="VC74" s="1251"/>
      <c r="VD74" s="1251"/>
      <c r="VE74" s="1251"/>
      <c r="VF74" s="1251"/>
      <c r="VG74" s="1251"/>
      <c r="VH74" s="1251"/>
      <c r="VI74" s="1251"/>
      <c r="VJ74" s="1251"/>
      <c r="VK74" s="1251"/>
      <c r="VL74" s="1251"/>
      <c r="VM74" s="1251"/>
      <c r="VN74" s="1251"/>
      <c r="VO74" s="1251"/>
      <c r="VP74" s="1251"/>
      <c r="VQ74" s="1251"/>
      <c r="VR74" s="1251"/>
      <c r="VS74" s="1251"/>
      <c r="VT74" s="1251"/>
      <c r="VU74" s="1251"/>
      <c r="VV74" s="1251"/>
      <c r="VW74" s="1251"/>
      <c r="VX74" s="1251"/>
      <c r="VY74" s="1251"/>
      <c r="VZ74" s="1251"/>
      <c r="WA74" s="1251"/>
      <c r="WB74" s="1251"/>
      <c r="WC74" s="1251"/>
      <c r="WD74" s="1251"/>
      <c r="WE74" s="1251"/>
      <c r="WF74" s="1251"/>
      <c r="WG74" s="1251"/>
      <c r="WH74" s="1251"/>
      <c r="WI74" s="1251"/>
      <c r="WJ74" s="1251"/>
      <c r="WK74" s="1251"/>
      <c r="WL74" s="1251"/>
      <c r="WM74" s="1251"/>
      <c r="WN74" s="1251"/>
      <c r="WO74" s="1251"/>
      <c r="WP74" s="1251"/>
      <c r="WQ74" s="1251"/>
      <c r="WR74" s="1251"/>
      <c r="WS74" s="1251"/>
      <c r="WT74" s="1251"/>
      <c r="WU74" s="1251"/>
      <c r="WV74" s="1251"/>
      <c r="WW74" s="1251"/>
      <c r="WX74" s="1251"/>
      <c r="WY74" s="1251"/>
      <c r="WZ74" s="1251"/>
      <c r="XA74" s="1251"/>
      <c r="XB74" s="1251"/>
      <c r="XC74" s="1251"/>
      <c r="XD74" s="1251"/>
      <c r="XE74" s="1251"/>
      <c r="XF74" s="1251"/>
      <c r="XG74" s="1251"/>
      <c r="XH74" s="1251"/>
      <c r="XI74" s="1251"/>
      <c r="XJ74" s="1251"/>
      <c r="XK74" s="1251"/>
      <c r="XL74" s="1251"/>
      <c r="XM74" s="1251"/>
      <c r="XN74" s="1251"/>
      <c r="XO74" s="1251"/>
      <c r="XP74" s="1251"/>
      <c r="XQ74" s="1251"/>
      <c r="XR74" s="1251"/>
      <c r="XS74" s="1251"/>
      <c r="XT74" s="1251"/>
      <c r="XU74" s="1251"/>
      <c r="XV74" s="1251"/>
      <c r="XW74" s="1251"/>
      <c r="XX74" s="1251"/>
      <c r="XY74" s="1251"/>
      <c r="XZ74" s="1251"/>
      <c r="YA74" s="1251"/>
      <c r="YB74" s="1251"/>
      <c r="YC74" s="1251"/>
      <c r="YD74" s="1251"/>
      <c r="YE74" s="1251"/>
      <c r="YF74" s="1251"/>
      <c r="YG74" s="1251"/>
      <c r="YH74" s="1251"/>
      <c r="YI74" s="1251"/>
      <c r="YJ74" s="1251"/>
      <c r="YK74" s="1251"/>
      <c r="YL74" s="1251"/>
      <c r="YM74" s="1251"/>
      <c r="YN74" s="1251"/>
      <c r="YO74" s="1251"/>
      <c r="YP74" s="1251"/>
      <c r="YQ74" s="1251"/>
      <c r="YR74" s="1251"/>
      <c r="YS74" s="1251"/>
      <c r="YT74" s="1251"/>
      <c r="YU74" s="1251"/>
      <c r="YV74" s="1251"/>
      <c r="YW74" s="1251"/>
      <c r="YX74" s="1251"/>
      <c r="YY74" s="1251"/>
      <c r="YZ74" s="1251"/>
      <c r="ZA74" s="1251"/>
      <c r="ZB74" s="1251"/>
      <c r="ZC74" s="1251"/>
      <c r="ZD74" s="1251"/>
      <c r="ZE74" s="1251"/>
      <c r="ZF74" s="1251"/>
      <c r="ZG74" s="1251"/>
      <c r="ZH74" s="1251"/>
      <c r="ZI74" s="1251"/>
      <c r="ZJ74" s="1251"/>
      <c r="ZK74" s="1251"/>
      <c r="ZL74" s="1251"/>
      <c r="ZM74" s="1251"/>
      <c r="ZN74" s="1251"/>
      <c r="ZO74" s="1251"/>
      <c r="ZP74" s="1251"/>
      <c r="ZQ74" s="1251"/>
      <c r="ZR74" s="1251"/>
      <c r="ZS74" s="1251"/>
      <c r="ZT74" s="1251"/>
      <c r="ZU74" s="1251"/>
      <c r="ZV74" s="1251"/>
      <c r="ZW74" s="1251"/>
      <c r="ZX74" s="1251"/>
      <c r="ZY74" s="1251"/>
      <c r="ZZ74" s="1251"/>
      <c r="AAA74" s="1251"/>
      <c r="AAB74" s="1251"/>
      <c r="AAC74" s="1251"/>
      <c r="AAD74" s="1251"/>
      <c r="AAE74" s="1251"/>
      <c r="AAF74" s="1251"/>
      <c r="AAG74" s="1251"/>
      <c r="AAH74" s="1251"/>
      <c r="AAI74" s="1251"/>
      <c r="AAJ74" s="1251"/>
      <c r="AAK74" s="1251"/>
      <c r="AAL74" s="1251"/>
      <c r="AAM74" s="1251"/>
      <c r="AAN74" s="1251"/>
      <c r="AAO74" s="1251"/>
      <c r="AAP74" s="1251"/>
      <c r="AAQ74" s="1251"/>
      <c r="AAR74" s="1251"/>
      <c r="AAS74" s="1251"/>
      <c r="AAT74" s="1251"/>
      <c r="AAU74" s="1251"/>
      <c r="AAV74" s="1251"/>
      <c r="AAW74" s="1251"/>
      <c r="AAX74" s="1251"/>
      <c r="AAY74" s="1251"/>
      <c r="AAZ74" s="1251"/>
      <c r="ABA74" s="1251"/>
      <c r="ABB74" s="1251"/>
      <c r="ABC74" s="1251"/>
      <c r="ABD74" s="1251"/>
      <c r="ABE74" s="1251"/>
      <c r="ABF74" s="1251"/>
      <c r="ABG74" s="1251"/>
      <c r="ABH74" s="1251"/>
      <c r="ABI74" s="1251"/>
      <c r="ABJ74" s="1251"/>
      <c r="ABK74" s="1251"/>
      <c r="ABL74" s="1251"/>
      <c r="ABM74" s="1251"/>
      <c r="ABN74" s="1251"/>
      <c r="ABO74" s="1251"/>
      <c r="ABP74" s="1251"/>
      <c r="ABQ74" s="1251"/>
      <c r="ABR74" s="1251"/>
      <c r="ABS74" s="1251"/>
      <c r="ABT74" s="1251"/>
      <c r="ABU74" s="1251"/>
      <c r="ABV74" s="1251"/>
      <c r="ABW74" s="1251"/>
      <c r="ABX74" s="1251"/>
      <c r="ABY74" s="1251"/>
      <c r="ABZ74" s="1251"/>
      <c r="ACA74" s="1251"/>
      <c r="ACB74" s="1251"/>
      <c r="ACC74" s="1251"/>
      <c r="ACD74" s="1251"/>
      <c r="ACE74" s="1251"/>
      <c r="ACF74" s="1251"/>
      <c r="ACG74" s="1251"/>
      <c r="ACH74" s="1251"/>
      <c r="ACI74" s="1251"/>
      <c r="ACJ74" s="1251"/>
      <c r="ACK74" s="1251"/>
      <c r="ACL74" s="1251"/>
      <c r="ACM74" s="1251"/>
      <c r="ACN74" s="1251"/>
      <c r="ACO74" s="1251"/>
      <c r="ACP74" s="1251"/>
      <c r="ACQ74" s="1251"/>
      <c r="ACR74" s="1251"/>
      <c r="ACS74" s="1251"/>
      <c r="ACT74" s="1251"/>
      <c r="ACU74" s="1251"/>
      <c r="ACV74" s="1251"/>
      <c r="ACW74" s="1251"/>
      <c r="ACX74" s="1251"/>
      <c r="ACY74" s="1251"/>
      <c r="ACZ74" s="1251"/>
      <c r="ADA74" s="1251"/>
      <c r="ADB74" s="1251"/>
      <c r="ADC74" s="1251"/>
      <c r="ADD74" s="1251"/>
      <c r="ADE74" s="1251"/>
      <c r="ADF74" s="1251"/>
      <c r="ADG74" s="1251"/>
      <c r="ADH74" s="1251"/>
      <c r="ADI74" s="1251"/>
      <c r="ADJ74" s="1251"/>
      <c r="ADK74" s="1251"/>
      <c r="ADL74" s="1251"/>
      <c r="ADM74" s="1251"/>
      <c r="ADN74" s="1251"/>
      <c r="ADO74" s="1251"/>
      <c r="ADP74" s="1251"/>
      <c r="ADQ74" s="1251"/>
      <c r="ADR74" s="1251"/>
      <c r="ADS74" s="1251"/>
      <c r="ADT74" s="1251"/>
      <c r="ADU74" s="1251"/>
      <c r="ADV74" s="1251"/>
      <c r="ADW74" s="1251"/>
      <c r="ADX74" s="1251"/>
      <c r="ADY74" s="1251"/>
      <c r="ADZ74" s="1251"/>
      <c r="AEA74" s="1251"/>
      <c r="AEB74" s="1251"/>
      <c r="AEC74" s="1251"/>
      <c r="AED74" s="1251"/>
      <c r="AEE74" s="1251"/>
      <c r="AEF74" s="1251"/>
      <c r="AEG74" s="1251"/>
      <c r="AEH74" s="1251"/>
      <c r="AEI74" s="1251"/>
      <c r="AEJ74" s="1251"/>
      <c r="AEK74" s="1251"/>
      <c r="AEL74" s="1251"/>
      <c r="AEM74" s="1251"/>
      <c r="AEN74" s="1251"/>
      <c r="AEO74" s="1251"/>
      <c r="AEP74" s="1251"/>
      <c r="AEQ74" s="1251"/>
      <c r="AER74" s="1251"/>
      <c r="AES74" s="1251"/>
      <c r="AET74" s="1251"/>
      <c r="AEU74" s="1251"/>
      <c r="AEV74" s="1251"/>
      <c r="AEW74" s="1251"/>
      <c r="AEX74" s="1251"/>
      <c r="AEY74" s="1251"/>
      <c r="AEZ74" s="1251"/>
      <c r="AFA74" s="1251"/>
      <c r="AFB74" s="1251"/>
      <c r="AFC74" s="1251"/>
      <c r="AFD74" s="1251"/>
      <c r="AFE74" s="1251"/>
      <c r="AFF74" s="1251"/>
      <c r="AFG74" s="1251"/>
      <c r="AFH74" s="1251"/>
      <c r="AFI74" s="1251"/>
      <c r="AFJ74" s="1251"/>
      <c r="AFK74" s="1251"/>
      <c r="AFL74" s="1251"/>
      <c r="AFM74" s="1251"/>
      <c r="AFN74" s="1251"/>
      <c r="AFO74" s="1251"/>
      <c r="AFP74" s="1251"/>
      <c r="AFQ74" s="1251"/>
      <c r="AFR74" s="1251"/>
      <c r="AFS74" s="1251"/>
      <c r="AFT74" s="1251"/>
      <c r="AFU74" s="1251"/>
      <c r="AFV74" s="1251"/>
      <c r="AFW74" s="1251"/>
      <c r="AFX74" s="1251"/>
      <c r="AFY74" s="1251"/>
      <c r="AFZ74" s="1251"/>
      <c r="AGA74" s="1251"/>
      <c r="AGB74" s="1251"/>
      <c r="AGC74" s="1251"/>
      <c r="AGD74" s="1251"/>
      <c r="AGE74" s="1251"/>
      <c r="AGF74" s="1251"/>
      <c r="AGG74" s="1251"/>
      <c r="AGH74" s="1251"/>
      <c r="AGI74" s="1251"/>
      <c r="AGJ74" s="1251"/>
      <c r="AGK74" s="1251"/>
      <c r="AGL74" s="1251"/>
      <c r="AGM74" s="1251"/>
      <c r="AGN74" s="1251"/>
      <c r="AGO74" s="1251"/>
      <c r="AGP74" s="1251"/>
      <c r="AGQ74" s="1251"/>
      <c r="AGR74" s="1251"/>
      <c r="AGS74" s="1251"/>
      <c r="AGT74" s="1251"/>
      <c r="AGU74" s="1251"/>
      <c r="AGV74" s="1251"/>
      <c r="AGW74" s="1251"/>
      <c r="AGX74" s="1251"/>
      <c r="AGY74" s="1251"/>
      <c r="AGZ74" s="1251"/>
      <c r="AHA74" s="1251"/>
      <c r="AHB74" s="1251"/>
      <c r="AHC74" s="1251"/>
      <c r="AHD74" s="1251"/>
      <c r="AHE74" s="1251"/>
      <c r="AHF74" s="1251"/>
      <c r="AHG74" s="1251"/>
      <c r="AHH74" s="1251"/>
      <c r="AHI74" s="1251"/>
      <c r="AHJ74" s="1251"/>
      <c r="AHK74" s="1251"/>
      <c r="AHL74" s="1251"/>
      <c r="AHM74" s="1251"/>
      <c r="AHN74" s="1251"/>
      <c r="AHO74" s="1251"/>
      <c r="AHP74" s="1251"/>
      <c r="AHQ74" s="1251"/>
      <c r="AHR74" s="1251"/>
      <c r="AHS74" s="1251"/>
      <c r="AHT74" s="1251"/>
      <c r="AHU74" s="1251"/>
      <c r="AHV74" s="1251"/>
      <c r="AHW74" s="1251"/>
      <c r="AHX74" s="1251"/>
      <c r="AHY74" s="1251"/>
      <c r="AHZ74" s="1251"/>
      <c r="AIA74" s="1251"/>
      <c r="AIB74" s="1251"/>
      <c r="AIC74" s="1251"/>
      <c r="AID74" s="1251"/>
      <c r="AIE74" s="1251"/>
      <c r="AIF74" s="1251"/>
      <c r="AIG74" s="1251"/>
      <c r="AIH74" s="1251"/>
      <c r="AII74" s="1251"/>
      <c r="AIJ74" s="1251"/>
      <c r="AIK74" s="1251"/>
      <c r="AIL74" s="1251"/>
      <c r="AIM74" s="1251"/>
      <c r="AIN74" s="1251"/>
      <c r="AIO74" s="1251"/>
      <c r="AIP74" s="1251"/>
      <c r="AIQ74" s="1251"/>
      <c r="AIR74" s="1251"/>
      <c r="AIS74" s="1251"/>
      <c r="AIT74" s="1251"/>
      <c r="AIU74" s="1251"/>
      <c r="AIV74" s="1251"/>
      <c r="AIW74" s="1251"/>
      <c r="AIX74" s="1251"/>
      <c r="AIY74" s="1251"/>
      <c r="AIZ74" s="1251"/>
      <c r="AJA74" s="1251"/>
      <c r="AJB74" s="1251"/>
      <c r="AJC74" s="1251"/>
      <c r="AJD74" s="1251"/>
      <c r="AJE74" s="1251"/>
      <c r="AJF74" s="1251"/>
      <c r="AJG74" s="1251"/>
      <c r="AJH74" s="1251"/>
      <c r="AJI74" s="1251"/>
      <c r="AJJ74" s="1251"/>
      <c r="AJK74" s="1251"/>
      <c r="AJL74" s="1251"/>
      <c r="AJM74" s="1251"/>
      <c r="AJN74" s="1251"/>
      <c r="AJO74" s="1251"/>
      <c r="AJP74" s="1251"/>
      <c r="AJQ74" s="1251"/>
      <c r="AJR74" s="1251"/>
      <c r="AJS74" s="1251"/>
      <c r="AJT74" s="1251"/>
      <c r="AJU74" s="1251"/>
      <c r="AJV74" s="1251"/>
      <c r="AJW74" s="1251"/>
      <c r="AJX74" s="1251"/>
      <c r="AJY74" s="1251"/>
      <c r="AJZ74" s="1251"/>
      <c r="AKA74" s="1251"/>
      <c r="AKB74" s="1251"/>
      <c r="AKC74" s="1251"/>
      <c r="AKD74" s="1251"/>
      <c r="AKE74" s="1251"/>
      <c r="AKF74" s="1251"/>
      <c r="AKG74" s="1251"/>
      <c r="AKH74" s="1251"/>
      <c r="AKI74" s="1251"/>
      <c r="AKJ74" s="1251"/>
      <c r="AKK74" s="1251"/>
      <c r="AKL74" s="1251"/>
      <c r="AKM74" s="1251"/>
      <c r="AKN74" s="1251"/>
      <c r="AKO74" s="1251"/>
      <c r="AKP74" s="1251"/>
      <c r="AKQ74" s="1251"/>
      <c r="AKR74" s="1251"/>
      <c r="AKS74" s="1251"/>
      <c r="AKT74" s="1251"/>
      <c r="AKU74" s="1251"/>
      <c r="AKV74" s="1251"/>
      <c r="AKW74" s="1251"/>
      <c r="AKX74" s="1251"/>
      <c r="AKY74" s="1251"/>
      <c r="AKZ74" s="1251"/>
      <c r="ALA74" s="1251"/>
      <c r="ALB74" s="1251"/>
      <c r="ALC74" s="1251"/>
      <c r="ALD74" s="1251"/>
      <c r="ALE74" s="1251"/>
      <c r="ALF74" s="1251"/>
      <c r="ALG74" s="1251"/>
      <c r="ALH74" s="1251"/>
      <c r="ALI74" s="1251"/>
      <c r="ALJ74" s="1251"/>
      <c r="ALK74" s="1251"/>
      <c r="ALL74" s="1251"/>
      <c r="ALM74" s="1251"/>
      <c r="ALN74" s="1251"/>
      <c r="ALO74" s="1251"/>
      <c r="ALP74" s="1251"/>
      <c r="ALQ74" s="1251"/>
      <c r="ALR74" s="1251"/>
      <c r="ALS74" s="1251"/>
      <c r="ALT74" s="1251"/>
      <c r="ALU74" s="1251"/>
      <c r="ALV74" s="1251"/>
      <c r="ALW74" s="1251"/>
      <c r="ALX74" s="1251"/>
      <c r="ALY74" s="1251"/>
      <c r="ALZ74" s="1251"/>
      <c r="AMA74" s="1251"/>
      <c r="AMB74" s="1251"/>
      <c r="AMC74" s="1251"/>
      <c r="AMD74" s="1251"/>
      <c r="AME74" s="1251"/>
      <c r="AMF74" s="1251"/>
      <c r="AMG74" s="1251"/>
      <c r="AMH74" s="1251"/>
      <c r="AMI74" s="1251"/>
      <c r="AMJ74" s="1251"/>
      <c r="AMK74" s="1251"/>
      <c r="AML74" s="1251"/>
      <c r="AMM74" s="1251"/>
      <c r="AMN74" s="1251"/>
      <c r="AMO74" s="1251"/>
      <c r="AMP74" s="1251"/>
      <c r="AMQ74" s="1251"/>
      <c r="AMR74" s="1251"/>
      <c r="AMS74" s="1251"/>
      <c r="AMT74" s="1251"/>
      <c r="AMU74" s="1251"/>
      <c r="AMV74" s="1251"/>
      <c r="AMW74" s="1251"/>
      <c r="AMX74" s="1251"/>
      <c r="AMY74" s="1251"/>
      <c r="AMZ74" s="1251"/>
      <c r="ANA74" s="1251"/>
      <c r="ANB74" s="1251"/>
      <c r="ANC74" s="1251"/>
      <c r="AND74" s="1251"/>
      <c r="ANE74" s="1251"/>
      <c r="ANF74" s="1251"/>
      <c r="ANG74" s="1251"/>
      <c r="ANH74" s="1251"/>
      <c r="ANI74" s="1251"/>
      <c r="ANJ74" s="1251"/>
      <c r="ANK74" s="1251"/>
      <c r="ANL74" s="1251"/>
      <c r="ANM74" s="1251"/>
      <c r="ANN74" s="1251"/>
      <c r="ANO74" s="1251"/>
      <c r="ANP74" s="1251"/>
      <c r="ANQ74" s="1251"/>
      <c r="ANR74" s="1251"/>
      <c r="ANS74" s="1251"/>
      <c r="ANT74" s="1251"/>
      <c r="ANU74" s="1251"/>
      <c r="ANV74" s="1251"/>
      <c r="ANW74" s="1251"/>
      <c r="ANX74" s="1251"/>
      <c r="ANY74" s="1251"/>
      <c r="ANZ74" s="1251"/>
      <c r="AOA74" s="1251"/>
      <c r="AOB74" s="1251"/>
      <c r="AOC74" s="1251"/>
      <c r="AOD74" s="1251"/>
      <c r="AOE74" s="1251"/>
      <c r="AOF74" s="1251"/>
      <c r="AOG74" s="1251"/>
      <c r="AOH74" s="1251"/>
      <c r="AOI74" s="1251"/>
      <c r="AOJ74" s="1251"/>
      <c r="AOK74" s="1251"/>
      <c r="AOL74" s="1251"/>
      <c r="AOM74" s="1251"/>
      <c r="AON74" s="1251"/>
      <c r="AOO74" s="1251"/>
      <c r="AOP74" s="1251"/>
      <c r="AOQ74" s="1251"/>
      <c r="AOR74" s="1251"/>
      <c r="AOS74" s="1251"/>
      <c r="AOT74" s="1251"/>
      <c r="AOU74" s="1251"/>
      <c r="AOV74" s="1251"/>
      <c r="AOW74" s="1251"/>
      <c r="AOX74" s="1251"/>
      <c r="AOY74" s="1251"/>
      <c r="AOZ74" s="1251"/>
      <c r="APA74" s="1251"/>
      <c r="APB74" s="1251"/>
      <c r="APC74" s="1251"/>
      <c r="APD74" s="1251"/>
      <c r="APE74" s="1251"/>
      <c r="APF74" s="1251"/>
      <c r="APG74" s="1251"/>
      <c r="APH74" s="1251"/>
      <c r="API74" s="1251"/>
      <c r="APJ74" s="1251"/>
      <c r="APK74" s="1251"/>
      <c r="APL74" s="1251"/>
      <c r="APM74" s="1251"/>
      <c r="APN74" s="1251"/>
      <c r="APO74" s="1251"/>
      <c r="APP74" s="1251"/>
      <c r="APQ74" s="1251"/>
      <c r="APR74" s="1251"/>
      <c r="APS74" s="1251"/>
      <c r="APT74" s="1251"/>
      <c r="APU74" s="1251"/>
      <c r="APV74" s="1251"/>
      <c r="APW74" s="1251"/>
      <c r="APX74" s="1251"/>
      <c r="APY74" s="1251"/>
      <c r="APZ74" s="1251"/>
      <c r="AQA74" s="1251"/>
      <c r="AQB74" s="1251"/>
      <c r="AQC74" s="1251"/>
      <c r="AQD74" s="1251"/>
      <c r="AQE74" s="1251"/>
      <c r="AQF74" s="1251"/>
      <c r="AQG74" s="1251"/>
      <c r="AQH74" s="1251"/>
      <c r="AQI74" s="1251"/>
      <c r="AQJ74" s="1251"/>
      <c r="AQK74" s="1251"/>
      <c r="AQL74" s="1251"/>
      <c r="AQM74" s="1251"/>
      <c r="AQN74" s="1251"/>
      <c r="AQO74" s="1251"/>
      <c r="AQP74" s="1251"/>
      <c r="AQQ74" s="1251"/>
      <c r="AQR74" s="1251"/>
      <c r="AQS74" s="1251"/>
      <c r="AQT74" s="1251"/>
      <c r="AQU74" s="1251"/>
      <c r="AQV74" s="1251"/>
      <c r="AQW74" s="1251"/>
      <c r="AQX74" s="1251"/>
      <c r="AQY74" s="1251"/>
      <c r="AQZ74" s="1251"/>
      <c r="ARA74" s="1251"/>
      <c r="ARB74" s="1251"/>
      <c r="ARC74" s="1251"/>
      <c r="ARD74" s="1251"/>
      <c r="ARE74" s="1251"/>
      <c r="ARF74" s="1251"/>
      <c r="ARG74" s="1251"/>
      <c r="ARH74" s="1251"/>
      <c r="ARI74" s="1251"/>
      <c r="ARJ74" s="1251"/>
      <c r="ARK74" s="1251"/>
      <c r="ARL74" s="1251"/>
      <c r="ARM74" s="1251"/>
      <c r="ARN74" s="1251"/>
      <c r="ARO74" s="1251"/>
      <c r="ARP74" s="1251"/>
      <c r="ARQ74" s="1251"/>
      <c r="ARR74" s="1251"/>
      <c r="ARS74" s="1251"/>
      <c r="ART74" s="1251"/>
      <c r="ARU74" s="1251"/>
      <c r="ARV74" s="1251"/>
      <c r="ARW74" s="1251"/>
      <c r="ARX74" s="1251"/>
      <c r="ARY74" s="1251"/>
      <c r="ARZ74" s="1251"/>
      <c r="ASA74" s="1251"/>
      <c r="ASB74" s="1251"/>
      <c r="ASC74" s="1251"/>
      <c r="ASD74" s="1251"/>
      <c r="ASE74" s="1251"/>
      <c r="ASF74" s="1251"/>
      <c r="ASG74" s="1251"/>
      <c r="ASH74" s="1251"/>
      <c r="ASI74" s="1251"/>
      <c r="ASJ74" s="1251"/>
      <c r="ASK74" s="1251"/>
      <c r="ASL74" s="1251"/>
      <c r="ASM74" s="1251"/>
      <c r="ASN74" s="1251"/>
      <c r="ASO74" s="1251"/>
      <c r="ASP74" s="1251"/>
      <c r="ASQ74" s="1251"/>
      <c r="ASR74" s="1251"/>
      <c r="ASS74" s="1251"/>
      <c r="AST74" s="1251"/>
      <c r="ASU74" s="1251"/>
      <c r="ASV74" s="1251"/>
      <c r="ASW74" s="1251"/>
      <c r="ASX74" s="1251"/>
      <c r="ASY74" s="1251"/>
      <c r="ASZ74" s="1251"/>
      <c r="ATA74" s="1251"/>
      <c r="ATB74" s="1251"/>
      <c r="ATC74" s="1251"/>
      <c r="ATD74" s="1251"/>
      <c r="ATE74" s="1251"/>
      <c r="ATF74" s="1251"/>
      <c r="ATG74" s="1251"/>
      <c r="ATH74" s="1251"/>
      <c r="ATI74" s="1251"/>
      <c r="ATJ74" s="1251"/>
      <c r="ATK74" s="1251"/>
      <c r="ATL74" s="1251"/>
      <c r="ATM74" s="1251"/>
      <c r="ATN74" s="1251"/>
      <c r="ATO74" s="1251"/>
      <c r="ATP74" s="1251"/>
      <c r="ATQ74" s="1251"/>
      <c r="ATR74" s="1251"/>
      <c r="ATS74" s="1251"/>
      <c r="ATT74" s="1251"/>
      <c r="ATU74" s="1251"/>
      <c r="ATV74" s="1251"/>
      <c r="ATW74" s="1251"/>
      <c r="ATX74" s="1251"/>
      <c r="ATY74" s="1251"/>
      <c r="ATZ74" s="1251"/>
      <c r="AUA74" s="1251"/>
      <c r="AUB74" s="1251"/>
      <c r="AUC74" s="1251"/>
      <c r="AUD74" s="1251"/>
      <c r="AUE74" s="1251"/>
      <c r="AUF74" s="1251"/>
      <c r="AUG74" s="1251"/>
      <c r="AUH74" s="1251"/>
      <c r="AUI74" s="1251"/>
      <c r="AUJ74" s="1251"/>
      <c r="AUK74" s="1251"/>
      <c r="AUL74" s="1251"/>
      <c r="AUM74" s="1251"/>
      <c r="AUN74" s="1251"/>
      <c r="AUO74" s="1251"/>
      <c r="AUP74" s="1251"/>
      <c r="AUQ74" s="1251"/>
      <c r="AUR74" s="1251"/>
      <c r="AUS74" s="1251"/>
      <c r="AUT74" s="1251"/>
      <c r="AUU74" s="1251"/>
      <c r="AUV74" s="1251"/>
      <c r="AUW74" s="1251"/>
      <c r="AUX74" s="1251"/>
      <c r="AUY74" s="1251"/>
      <c r="AUZ74" s="1251"/>
      <c r="AVA74" s="1251"/>
      <c r="AVB74" s="1251"/>
      <c r="AVC74" s="1251"/>
      <c r="AVD74" s="1251"/>
      <c r="AVE74" s="1251"/>
      <c r="AVF74" s="1251"/>
      <c r="AVG74" s="1251"/>
      <c r="AVH74" s="1251"/>
      <c r="AVI74" s="1251"/>
      <c r="AVJ74" s="1251"/>
      <c r="AVK74" s="1251"/>
      <c r="AVL74" s="1251"/>
      <c r="AVM74" s="1251"/>
      <c r="AVN74" s="1251"/>
      <c r="AVO74" s="1251"/>
      <c r="AVP74" s="1251"/>
      <c r="AVQ74" s="1251"/>
      <c r="AVR74" s="1251"/>
      <c r="AVS74" s="1251"/>
      <c r="AVT74" s="1251"/>
      <c r="AVU74" s="1251"/>
      <c r="AVV74" s="1251"/>
      <c r="AVW74" s="1251"/>
      <c r="AVX74" s="1251"/>
      <c r="AVY74" s="1251"/>
      <c r="AVZ74" s="1251"/>
      <c r="AWA74" s="1251"/>
      <c r="AWB74" s="1251"/>
      <c r="AWC74" s="1251"/>
      <c r="AWD74" s="1251"/>
      <c r="AWE74" s="1251"/>
      <c r="AWF74" s="1251"/>
      <c r="AWG74" s="1251"/>
      <c r="AWH74" s="1251"/>
      <c r="AWI74" s="1251"/>
      <c r="AWJ74" s="1251"/>
      <c r="AWK74" s="1251"/>
      <c r="AWL74" s="1251"/>
      <c r="AWM74" s="1251"/>
      <c r="AWN74" s="1251"/>
      <c r="AWO74" s="1251"/>
      <c r="AWP74" s="1251"/>
      <c r="AWQ74" s="1251"/>
      <c r="AWR74" s="1251"/>
      <c r="AWS74" s="1251"/>
      <c r="AWT74" s="1251"/>
      <c r="AWU74" s="1251"/>
      <c r="AWV74" s="1251"/>
      <c r="AWW74" s="1251"/>
      <c r="AWX74" s="1251"/>
      <c r="AWY74" s="1251"/>
      <c r="AWZ74" s="1251"/>
      <c r="AXA74" s="1251"/>
      <c r="AXB74" s="1251"/>
      <c r="AXC74" s="1251"/>
      <c r="AXD74" s="1251"/>
      <c r="AXE74" s="1251"/>
      <c r="AXF74" s="1251"/>
      <c r="AXG74" s="1251"/>
      <c r="AXH74" s="1251"/>
      <c r="AXI74" s="1251"/>
      <c r="AXJ74" s="1251"/>
      <c r="AXK74" s="1251"/>
      <c r="AXL74" s="1251"/>
      <c r="AXM74" s="1251"/>
      <c r="AXN74" s="1251"/>
      <c r="AXO74" s="1251"/>
      <c r="AXP74" s="1251"/>
      <c r="AXQ74" s="1251"/>
      <c r="AXR74" s="1251"/>
      <c r="AXS74" s="1251"/>
      <c r="AXT74" s="1251"/>
      <c r="AXU74" s="1251"/>
      <c r="AXV74" s="1251"/>
      <c r="AXW74" s="1251"/>
      <c r="AXX74" s="1251"/>
      <c r="AXY74" s="1251"/>
      <c r="AXZ74" s="1251"/>
      <c r="AYA74" s="1251"/>
      <c r="AYB74" s="1251"/>
      <c r="AYC74" s="1251"/>
      <c r="AYD74" s="1251"/>
      <c r="AYE74" s="1251"/>
      <c r="AYF74" s="1251"/>
      <c r="AYG74" s="1251"/>
      <c r="AYH74" s="1251"/>
      <c r="AYI74" s="1251"/>
      <c r="AYJ74" s="1251"/>
      <c r="AYK74" s="1251"/>
      <c r="AYL74" s="1251"/>
      <c r="AYM74" s="1251"/>
      <c r="AYN74" s="1251"/>
      <c r="AYO74" s="1251"/>
      <c r="AYP74" s="1251"/>
      <c r="AYQ74" s="1251"/>
      <c r="AYR74" s="1251"/>
      <c r="AYS74" s="1251"/>
      <c r="AYT74" s="1251"/>
      <c r="AYU74" s="1251"/>
      <c r="AYV74" s="1251"/>
      <c r="AYW74" s="1251"/>
      <c r="AYX74" s="1251"/>
      <c r="AYY74" s="1251"/>
      <c r="AYZ74" s="1251"/>
      <c r="AZA74" s="1251"/>
      <c r="AZB74" s="1251"/>
      <c r="AZC74" s="1251"/>
      <c r="AZD74" s="1251"/>
      <c r="AZE74" s="1251"/>
      <c r="AZF74" s="1251"/>
      <c r="AZG74" s="1251"/>
      <c r="AZH74" s="1251"/>
      <c r="AZI74" s="1251"/>
      <c r="AZJ74" s="1251"/>
      <c r="AZK74" s="1251"/>
      <c r="AZL74" s="1251"/>
      <c r="AZM74" s="1251"/>
      <c r="AZN74" s="1251"/>
      <c r="AZO74" s="1251"/>
      <c r="AZP74" s="1251"/>
      <c r="AZQ74" s="1251"/>
      <c r="AZR74" s="1251"/>
      <c r="AZS74" s="1251"/>
      <c r="AZT74" s="1251"/>
      <c r="AZU74" s="1251"/>
      <c r="AZV74" s="1251"/>
      <c r="AZW74" s="1251"/>
      <c r="AZX74" s="1251"/>
      <c r="AZY74" s="1251"/>
      <c r="AZZ74" s="1251"/>
      <c r="BAA74" s="1251"/>
      <c r="BAB74" s="1251"/>
      <c r="BAC74" s="1251"/>
      <c r="BAD74" s="1251"/>
      <c r="BAE74" s="1251"/>
      <c r="BAF74" s="1251"/>
      <c r="BAG74" s="1251"/>
      <c r="BAH74" s="1251"/>
      <c r="BAI74" s="1251"/>
      <c r="BAJ74" s="1251"/>
      <c r="BAK74" s="1251"/>
      <c r="BAL74" s="1251"/>
      <c r="BAM74" s="1251"/>
      <c r="BAN74" s="1251"/>
      <c r="BAO74" s="1251"/>
      <c r="BAP74" s="1251"/>
      <c r="BAQ74" s="1251"/>
      <c r="BAR74" s="1251"/>
      <c r="BAS74" s="1251"/>
      <c r="BAT74" s="1251"/>
      <c r="BAU74" s="1251"/>
      <c r="BAV74" s="1251"/>
      <c r="BAW74" s="1251"/>
      <c r="BAX74" s="1251"/>
      <c r="BAY74" s="1251"/>
      <c r="BAZ74" s="1251"/>
      <c r="BBA74" s="1251"/>
      <c r="BBB74" s="1251"/>
      <c r="BBC74" s="1251"/>
      <c r="BBD74" s="1251"/>
      <c r="BBE74" s="1251"/>
      <c r="BBF74" s="1251"/>
      <c r="BBG74" s="1251"/>
      <c r="BBH74" s="1251"/>
      <c r="BBI74" s="1251"/>
      <c r="BBJ74" s="1251"/>
      <c r="BBK74" s="1251"/>
      <c r="BBL74" s="1251"/>
      <c r="BBM74" s="1251"/>
      <c r="BBN74" s="1251"/>
      <c r="BBO74" s="1251"/>
      <c r="BBP74" s="1251"/>
      <c r="BBQ74" s="1251"/>
      <c r="BBR74" s="1251"/>
      <c r="BBS74" s="1251"/>
      <c r="BBT74" s="1251"/>
      <c r="BBU74" s="1251"/>
      <c r="BBV74" s="1251"/>
      <c r="BBW74" s="1251"/>
      <c r="BBX74" s="1251"/>
      <c r="BBY74" s="1251"/>
      <c r="BBZ74" s="1251"/>
      <c r="BCA74" s="1251"/>
      <c r="BCB74" s="1251"/>
      <c r="BCC74" s="1251"/>
      <c r="BCD74" s="1251"/>
      <c r="BCE74" s="1251"/>
      <c r="BCF74" s="1251"/>
      <c r="BCG74" s="1251"/>
      <c r="BCH74" s="1251"/>
      <c r="BCI74" s="1251"/>
      <c r="BCJ74" s="1251"/>
      <c r="BCK74" s="1251"/>
      <c r="BCL74" s="1251"/>
      <c r="BCM74" s="1251"/>
      <c r="BCN74" s="1251"/>
      <c r="BCO74" s="1251"/>
      <c r="BCP74" s="1251"/>
      <c r="BCQ74" s="1251"/>
      <c r="BCR74" s="1251"/>
      <c r="BCS74" s="1251"/>
      <c r="BCT74" s="1251"/>
      <c r="BCU74" s="1251"/>
      <c r="BCV74" s="1251"/>
      <c r="BCW74" s="1251"/>
      <c r="BCX74" s="1251"/>
      <c r="BCY74" s="1251"/>
      <c r="BCZ74" s="1251"/>
      <c r="BDA74" s="1251"/>
      <c r="BDB74" s="1251"/>
      <c r="BDC74" s="1251"/>
      <c r="BDD74" s="1251"/>
      <c r="BDE74" s="1251"/>
      <c r="BDF74" s="1251"/>
      <c r="BDG74" s="1251"/>
      <c r="BDH74" s="1251"/>
      <c r="BDI74" s="1251"/>
      <c r="BDJ74" s="1251"/>
      <c r="BDK74" s="1251"/>
      <c r="BDL74" s="1251"/>
      <c r="BDM74" s="1251"/>
      <c r="BDN74" s="1251"/>
      <c r="BDO74" s="1251"/>
      <c r="BDP74" s="1251"/>
      <c r="BDQ74" s="1251"/>
      <c r="BDR74" s="1251"/>
      <c r="BDS74" s="1251"/>
      <c r="BDT74" s="1251"/>
      <c r="BDU74" s="1251"/>
      <c r="BDV74" s="1251"/>
      <c r="BDW74" s="1251"/>
      <c r="BDX74" s="1251"/>
      <c r="BDY74" s="1251"/>
      <c r="BDZ74" s="1251"/>
      <c r="BEA74" s="1251"/>
      <c r="BEB74" s="1251"/>
      <c r="BEC74" s="1251"/>
      <c r="BED74" s="1251"/>
      <c r="BEE74" s="1251"/>
      <c r="BEF74" s="1251"/>
      <c r="BEG74" s="1251"/>
      <c r="BEH74" s="1251"/>
      <c r="BEI74" s="1251"/>
      <c r="BEJ74" s="1251"/>
      <c r="BEK74" s="1251"/>
      <c r="BEL74" s="1251"/>
      <c r="BEM74" s="1251"/>
      <c r="BEN74" s="1251"/>
      <c r="BEO74" s="1251"/>
      <c r="BEP74" s="1251"/>
      <c r="BEQ74" s="1251"/>
      <c r="BER74" s="1251"/>
      <c r="BES74" s="1251"/>
      <c r="BET74" s="1251"/>
      <c r="BEU74" s="1251"/>
      <c r="BEV74" s="1251"/>
      <c r="BEW74" s="1251"/>
      <c r="BEX74" s="1251"/>
      <c r="BEY74" s="1251"/>
      <c r="BEZ74" s="1251"/>
      <c r="BFA74" s="1251"/>
      <c r="BFB74" s="1251"/>
      <c r="BFC74" s="1251"/>
      <c r="BFD74" s="1251"/>
      <c r="BFE74" s="1251"/>
      <c r="BFF74" s="1251"/>
      <c r="BFG74" s="1251"/>
      <c r="BFH74" s="1251"/>
      <c r="BFI74" s="1251"/>
      <c r="BFJ74" s="1251"/>
      <c r="BFK74" s="1251"/>
      <c r="BFL74" s="1251"/>
      <c r="BFM74" s="1251"/>
      <c r="BFN74" s="1251"/>
      <c r="BFO74" s="1251"/>
      <c r="BFP74" s="1251"/>
      <c r="BFQ74" s="1251"/>
      <c r="BFR74" s="1251"/>
      <c r="BFS74" s="1251"/>
      <c r="BFT74" s="1251"/>
      <c r="BFU74" s="1251"/>
      <c r="BFV74" s="1251"/>
      <c r="BFW74" s="1251"/>
      <c r="BFX74" s="1251"/>
      <c r="BFY74" s="1251"/>
      <c r="BFZ74" s="1251"/>
      <c r="BGA74" s="1251"/>
      <c r="BGB74" s="1251"/>
      <c r="BGC74" s="1251"/>
      <c r="BGD74" s="1251"/>
      <c r="BGE74" s="1251"/>
      <c r="BGF74" s="1251"/>
      <c r="BGG74" s="1251"/>
      <c r="BGH74" s="1251"/>
      <c r="BGI74" s="1251"/>
      <c r="BGJ74" s="1251"/>
      <c r="BGK74" s="1251"/>
      <c r="BGL74" s="1251"/>
      <c r="BGM74" s="1251"/>
      <c r="BGN74" s="1251"/>
      <c r="BGO74" s="1251"/>
      <c r="BGP74" s="1251"/>
      <c r="BGQ74" s="1251"/>
      <c r="BGR74" s="1251"/>
      <c r="BGS74" s="1251"/>
      <c r="BGT74" s="1251"/>
      <c r="BGU74" s="1251"/>
      <c r="BGV74" s="1251"/>
      <c r="BGW74" s="1251"/>
      <c r="BGX74" s="1251"/>
      <c r="BGY74" s="1251"/>
      <c r="BGZ74" s="1251"/>
      <c r="BHA74" s="1251"/>
      <c r="BHB74" s="1251"/>
      <c r="BHC74" s="1251"/>
      <c r="BHD74" s="1251"/>
      <c r="BHE74" s="1251"/>
      <c r="BHF74" s="1251"/>
      <c r="BHG74" s="1251"/>
      <c r="BHH74" s="1251"/>
      <c r="BHI74" s="1251"/>
      <c r="BHJ74" s="1251"/>
      <c r="BHK74" s="1251"/>
      <c r="BHL74" s="1251"/>
      <c r="BHM74" s="1251"/>
      <c r="BHN74" s="1251"/>
      <c r="BHO74" s="1251"/>
      <c r="BHP74" s="1251"/>
      <c r="BHQ74" s="1251"/>
      <c r="BHR74" s="1251"/>
      <c r="BHS74" s="1251"/>
      <c r="BHT74" s="1251"/>
      <c r="BHU74" s="1251"/>
      <c r="BHV74" s="1251"/>
      <c r="BHW74" s="1251"/>
      <c r="BHX74" s="1251"/>
      <c r="BHY74" s="1251"/>
      <c r="BHZ74" s="1251"/>
      <c r="BIA74" s="1251"/>
      <c r="BIB74" s="1251"/>
      <c r="BIC74" s="1251"/>
      <c r="BID74" s="1251"/>
      <c r="BIE74" s="1251"/>
      <c r="BIF74" s="1251"/>
      <c r="BIG74" s="1251"/>
      <c r="BIH74" s="1251"/>
      <c r="BII74" s="1251"/>
      <c r="BIJ74" s="1251"/>
      <c r="BIK74" s="1251"/>
      <c r="BIL74" s="1251"/>
      <c r="BIM74" s="1251"/>
      <c r="BIN74" s="1251"/>
      <c r="BIO74" s="1251"/>
      <c r="BIP74" s="1251"/>
      <c r="BIQ74" s="1251"/>
      <c r="BIR74" s="1251"/>
      <c r="BIS74" s="1251"/>
      <c r="BIT74" s="1251"/>
      <c r="BIU74" s="1251"/>
      <c r="BIV74" s="1251"/>
      <c r="BIW74" s="1251"/>
      <c r="BIX74" s="1251"/>
      <c r="BIY74" s="1251"/>
      <c r="BIZ74" s="1251"/>
      <c r="BJA74" s="1251"/>
      <c r="BJB74" s="1251"/>
      <c r="BJC74" s="1251"/>
      <c r="BJD74" s="1251"/>
      <c r="BJE74" s="1251"/>
      <c r="BJF74" s="1251"/>
      <c r="BJG74" s="1251"/>
      <c r="BJH74" s="1251"/>
      <c r="BJI74" s="1251"/>
      <c r="BJJ74" s="1251"/>
      <c r="BJK74" s="1251"/>
      <c r="BJL74" s="1251"/>
      <c r="BJM74" s="1251"/>
      <c r="BJN74" s="1251"/>
      <c r="BJO74" s="1251"/>
      <c r="BJP74" s="1251"/>
      <c r="BJQ74" s="1251"/>
      <c r="BJR74" s="1251"/>
      <c r="BJS74" s="1251"/>
      <c r="BJT74" s="1251"/>
      <c r="BJU74" s="1251"/>
      <c r="BJV74" s="1251"/>
      <c r="BJW74" s="1251"/>
      <c r="BJX74" s="1251"/>
      <c r="BJY74" s="1251"/>
      <c r="BJZ74" s="1251"/>
      <c r="BKA74" s="1251"/>
      <c r="BKB74" s="1251"/>
      <c r="BKC74" s="1251"/>
      <c r="BKD74" s="1251"/>
      <c r="BKE74" s="1251"/>
      <c r="BKF74" s="1251"/>
      <c r="BKG74" s="1251"/>
      <c r="BKH74" s="1251"/>
      <c r="BKI74" s="1251"/>
      <c r="BKJ74" s="1251"/>
      <c r="BKK74" s="1251"/>
      <c r="BKL74" s="1251"/>
      <c r="BKM74" s="1251"/>
      <c r="BKN74" s="1251"/>
      <c r="BKO74" s="1251"/>
      <c r="BKP74" s="1251"/>
      <c r="BKQ74" s="1251"/>
      <c r="BKR74" s="1251"/>
      <c r="BKS74" s="1251"/>
      <c r="BKT74" s="1251"/>
      <c r="BKU74" s="1251"/>
      <c r="BKV74" s="1251"/>
      <c r="BKW74" s="1251"/>
      <c r="BKX74" s="1251"/>
      <c r="BKY74" s="1251"/>
      <c r="BKZ74" s="1251"/>
      <c r="BLA74" s="1251"/>
      <c r="BLB74" s="1251"/>
      <c r="BLC74" s="1251"/>
      <c r="BLD74" s="1251"/>
      <c r="BLE74" s="1251"/>
      <c r="BLF74" s="1251"/>
      <c r="BLG74" s="1251"/>
      <c r="BLH74" s="1251"/>
      <c r="BLI74" s="1251"/>
      <c r="BLJ74" s="1251"/>
      <c r="BLK74" s="1251"/>
      <c r="BLL74" s="1251"/>
      <c r="BLM74" s="1251"/>
      <c r="BLN74" s="1251"/>
      <c r="BLO74" s="1251"/>
      <c r="BLP74" s="1251"/>
      <c r="BLQ74" s="1251"/>
      <c r="BLR74" s="1251"/>
      <c r="BLS74" s="1251"/>
      <c r="BLT74" s="1251"/>
      <c r="BLU74" s="1251"/>
      <c r="BLV74" s="1251"/>
      <c r="BLW74" s="1251"/>
      <c r="BLX74" s="1251"/>
      <c r="BLY74" s="1251"/>
      <c r="BLZ74" s="1251"/>
      <c r="BMA74" s="1251"/>
      <c r="BMB74" s="1251"/>
      <c r="BMC74" s="1251"/>
      <c r="BMD74" s="1251"/>
      <c r="BME74" s="1251"/>
      <c r="BMF74" s="1251"/>
      <c r="BMG74" s="1251"/>
      <c r="BMH74" s="1251"/>
      <c r="BMI74" s="1251"/>
      <c r="BMJ74" s="1251"/>
      <c r="BMK74" s="1251"/>
      <c r="BML74" s="1251"/>
      <c r="BMM74" s="1251"/>
      <c r="BMN74" s="1251"/>
      <c r="BMO74" s="1251"/>
      <c r="BMP74" s="1251"/>
      <c r="BMQ74" s="1251"/>
      <c r="BMR74" s="1251"/>
      <c r="BMS74" s="1251"/>
      <c r="BMT74" s="1251"/>
      <c r="BMU74" s="1251"/>
      <c r="BMV74" s="1251"/>
      <c r="BMW74" s="1251"/>
      <c r="BMX74" s="1251"/>
      <c r="BMY74" s="1251"/>
      <c r="BMZ74" s="1251"/>
      <c r="BNA74" s="1251"/>
      <c r="BNB74" s="1251"/>
      <c r="BNC74" s="1251"/>
      <c r="BND74" s="1251"/>
      <c r="BNE74" s="1251"/>
      <c r="BNF74" s="1251"/>
      <c r="BNG74" s="1251"/>
      <c r="BNH74" s="1251"/>
      <c r="BNI74" s="1251"/>
      <c r="BNJ74" s="1251"/>
      <c r="BNK74" s="1251"/>
      <c r="BNL74" s="1251"/>
      <c r="BNM74" s="1251"/>
      <c r="BNN74" s="1251"/>
      <c r="BNO74" s="1251"/>
      <c r="BNP74" s="1251"/>
      <c r="BNQ74" s="1251"/>
      <c r="BNR74" s="1251"/>
      <c r="BNS74" s="1251"/>
      <c r="BNT74" s="1251"/>
      <c r="BNU74" s="1251"/>
      <c r="BNV74" s="1251"/>
      <c r="BNW74" s="1251"/>
      <c r="BNX74" s="1251"/>
      <c r="BNY74" s="1251"/>
      <c r="BNZ74" s="1251"/>
      <c r="BOA74" s="1251"/>
      <c r="BOB74" s="1251"/>
      <c r="BOC74" s="1251"/>
      <c r="BOD74" s="1251"/>
      <c r="BOE74" s="1251"/>
      <c r="BOF74" s="1251"/>
      <c r="BOG74" s="1251"/>
      <c r="BOH74" s="1251"/>
      <c r="BOI74" s="1251"/>
      <c r="BOJ74" s="1251"/>
      <c r="BOK74" s="1251"/>
      <c r="BOL74" s="1251"/>
      <c r="BOM74" s="1251"/>
      <c r="BON74" s="1251"/>
      <c r="BOO74" s="1251"/>
      <c r="BOP74" s="1251"/>
      <c r="BOQ74" s="1251"/>
      <c r="BOR74" s="1251"/>
      <c r="BOS74" s="1251"/>
      <c r="BOT74" s="1251"/>
      <c r="BOU74" s="1251"/>
      <c r="BOV74" s="1251"/>
      <c r="BOW74" s="1251"/>
      <c r="BOX74" s="1251"/>
      <c r="BOY74" s="1251"/>
      <c r="BOZ74" s="1251"/>
      <c r="BPA74" s="1251"/>
      <c r="BPB74" s="1251"/>
      <c r="BPC74" s="1251"/>
      <c r="BPD74" s="1251"/>
      <c r="BPE74" s="1251"/>
      <c r="BPF74" s="1251"/>
      <c r="BPG74" s="1251"/>
      <c r="BPH74" s="1251"/>
      <c r="BPI74" s="1251"/>
      <c r="BPJ74" s="1251"/>
      <c r="BPK74" s="1251"/>
      <c r="BPL74" s="1251"/>
      <c r="BPM74" s="1251"/>
      <c r="BPN74" s="1251"/>
      <c r="BPO74" s="1251"/>
      <c r="BPP74" s="1251"/>
      <c r="BPQ74" s="1251"/>
      <c r="BPR74" s="1251"/>
      <c r="BPS74" s="1251"/>
      <c r="BPT74" s="1251"/>
      <c r="BPU74" s="1251"/>
      <c r="BPV74" s="1251"/>
      <c r="BPW74" s="1251"/>
      <c r="BPX74" s="1251"/>
      <c r="BPY74" s="1251"/>
      <c r="BPZ74" s="1251"/>
      <c r="BQA74" s="1251"/>
      <c r="BQB74" s="1251"/>
      <c r="BQC74" s="1251"/>
      <c r="BQD74" s="1251"/>
      <c r="BQE74" s="1251"/>
      <c r="BQF74" s="1251"/>
      <c r="BQG74" s="1251"/>
      <c r="BQH74" s="1251"/>
      <c r="BQI74" s="1251"/>
      <c r="BQJ74" s="1251"/>
      <c r="BQK74" s="1251"/>
      <c r="BQL74" s="1251"/>
      <c r="BQM74" s="1251"/>
      <c r="BQN74" s="1251"/>
      <c r="BQO74" s="1251"/>
      <c r="BQP74" s="1251"/>
      <c r="BQQ74" s="1251"/>
      <c r="BQR74" s="1251"/>
      <c r="BQS74" s="1251"/>
      <c r="BQT74" s="1251"/>
      <c r="BQU74" s="1251"/>
      <c r="BQV74" s="1251"/>
      <c r="BQW74" s="1251"/>
      <c r="BQX74" s="1251"/>
      <c r="BQY74" s="1251"/>
      <c r="BQZ74" s="1251"/>
      <c r="BRA74" s="1251"/>
      <c r="BRB74" s="1251"/>
      <c r="BRC74" s="1251"/>
      <c r="BRD74" s="1251"/>
      <c r="BRE74" s="1251"/>
      <c r="BRF74" s="1251"/>
      <c r="BRG74" s="1251"/>
      <c r="BRH74" s="1251"/>
      <c r="BRI74" s="1251"/>
      <c r="BRJ74" s="1251"/>
      <c r="BRK74" s="1251"/>
      <c r="BRL74" s="1251"/>
      <c r="BRM74" s="1251"/>
      <c r="BRN74" s="1251"/>
      <c r="BRO74" s="1251"/>
      <c r="BRP74" s="1251"/>
      <c r="BRQ74" s="1251"/>
      <c r="BRR74" s="1251"/>
      <c r="BRS74" s="1251"/>
      <c r="BRT74" s="1251"/>
      <c r="BRU74" s="1251"/>
      <c r="BRV74" s="1251"/>
      <c r="BRW74" s="1251"/>
      <c r="BRX74" s="1251"/>
      <c r="BRY74" s="1251"/>
      <c r="BRZ74" s="1251"/>
      <c r="BSA74" s="1251"/>
      <c r="BSB74" s="1251"/>
      <c r="BSC74" s="1251"/>
      <c r="BSD74" s="1251"/>
      <c r="BSE74" s="1251"/>
      <c r="BSF74" s="1251"/>
      <c r="BSG74" s="1251"/>
      <c r="BSH74" s="1251"/>
      <c r="BSI74" s="1251"/>
      <c r="BSJ74" s="1251"/>
      <c r="BSK74" s="1251"/>
      <c r="BSL74" s="1251"/>
      <c r="BSM74" s="1251"/>
      <c r="BSN74" s="1251"/>
      <c r="BSO74" s="1251"/>
      <c r="BSP74" s="1251"/>
      <c r="BSQ74" s="1251"/>
      <c r="BSR74" s="1251"/>
      <c r="BSS74" s="1251"/>
      <c r="BST74" s="1251"/>
      <c r="BSU74" s="1251"/>
      <c r="BSV74" s="1251"/>
      <c r="BSW74" s="1251"/>
      <c r="BSX74" s="1251"/>
      <c r="BSY74" s="1251"/>
      <c r="BSZ74" s="1251"/>
      <c r="BTA74" s="1251"/>
      <c r="BTB74" s="1251"/>
      <c r="BTC74" s="1251"/>
      <c r="BTD74" s="1251"/>
      <c r="BTE74" s="1251"/>
      <c r="BTF74" s="1251"/>
      <c r="BTG74" s="1251"/>
      <c r="BTH74" s="1251"/>
      <c r="BTI74" s="1251"/>
    </row>
    <row r="75" spans="1:1881" s="1261" customFormat="1" ht="82.5" hidden="1" customHeight="1" thickBot="1" x14ac:dyDescent="0.35">
      <c r="A75" s="1248">
        <v>984</v>
      </c>
      <c r="B75" s="711" t="s">
        <v>988</v>
      </c>
      <c r="C75" s="711" t="s">
        <v>1369</v>
      </c>
      <c r="D75" s="751" t="s">
        <v>1464</v>
      </c>
      <c r="E75" s="1249" t="s">
        <v>989</v>
      </c>
      <c r="F75" s="1263">
        <v>0</v>
      </c>
      <c r="G75" s="727"/>
      <c r="H75" s="17"/>
      <c r="I75" s="760"/>
      <c r="J75" s="1252"/>
      <c r="K75" s="1251"/>
      <c r="L75" s="701"/>
      <c r="M75" s="1251"/>
      <c r="N75" s="1253"/>
      <c r="O75" s="1251"/>
      <c r="P75" s="1251"/>
      <c r="Q75" s="1251"/>
      <c r="R75" s="1251"/>
      <c r="S75" s="1251"/>
      <c r="T75" s="1251"/>
      <c r="U75" s="1251"/>
      <c r="V75" s="1251"/>
      <c r="W75" s="1251"/>
      <c r="X75" s="1251"/>
      <c r="Y75" s="1251"/>
      <c r="Z75" s="1248"/>
      <c r="AA75" s="1248"/>
      <c r="AB75" s="1248"/>
      <c r="AC75" s="1248"/>
      <c r="AD75" s="1248"/>
      <c r="AE75" s="1248"/>
      <c r="AF75" s="1248"/>
      <c r="AG75" s="1248"/>
      <c r="AH75" s="1248"/>
      <c r="AI75" s="1248"/>
      <c r="AJ75" s="1248"/>
      <c r="AK75" s="1248"/>
      <c r="AL75" s="1248"/>
      <c r="AM75" s="1248"/>
      <c r="AN75" s="1248"/>
      <c r="AO75" s="1248"/>
      <c r="AP75" s="1248"/>
      <c r="AQ75" s="1248"/>
      <c r="AR75" s="1248"/>
      <c r="AS75" s="1251"/>
      <c r="AT75" s="1251"/>
      <c r="AU75" s="1251"/>
      <c r="AV75" s="1251"/>
      <c r="AW75" s="1251"/>
      <c r="AX75" s="1251"/>
      <c r="AY75" s="1251"/>
      <c r="AZ75" s="1251"/>
      <c r="BA75" s="1251"/>
      <c r="BB75" s="1251"/>
      <c r="BC75" s="1251"/>
      <c r="BD75" s="1251"/>
      <c r="BE75" s="1251"/>
      <c r="BF75" s="1251"/>
      <c r="BG75" s="1251"/>
      <c r="BH75" s="1251"/>
      <c r="BI75" s="1251"/>
      <c r="BJ75" s="1251"/>
      <c r="BK75" s="1251"/>
      <c r="BL75" s="1251"/>
      <c r="BM75" s="1251"/>
      <c r="BN75" s="1251"/>
      <c r="BO75" s="1251"/>
      <c r="BP75" s="1251"/>
      <c r="BQ75" s="1251"/>
      <c r="BR75" s="1251"/>
      <c r="BS75" s="1251"/>
      <c r="BT75" s="1251"/>
      <c r="BU75" s="1251"/>
      <c r="BV75" s="1251"/>
      <c r="BW75" s="1251"/>
      <c r="BX75" s="1251"/>
      <c r="BY75" s="1251"/>
      <c r="BZ75" s="1251"/>
      <c r="CA75" s="1251"/>
      <c r="CB75" s="1251"/>
      <c r="CC75" s="1251"/>
      <c r="CD75" s="1251"/>
      <c r="CE75" s="1251"/>
      <c r="CF75" s="1251"/>
      <c r="CG75" s="1251"/>
      <c r="CH75" s="1251"/>
      <c r="CI75" s="1251"/>
      <c r="CJ75" s="1251"/>
      <c r="CK75" s="1251"/>
      <c r="CL75" s="1251"/>
      <c r="CM75" s="1251"/>
      <c r="CN75" s="1251"/>
      <c r="CO75" s="1251"/>
      <c r="CP75" s="1251"/>
      <c r="CQ75" s="1251"/>
      <c r="CR75" s="1251"/>
      <c r="CS75" s="1251"/>
      <c r="CT75" s="1251"/>
      <c r="CU75" s="1251"/>
      <c r="CV75" s="1251"/>
      <c r="CW75" s="1251"/>
      <c r="CX75" s="1251"/>
      <c r="CY75" s="1251"/>
      <c r="CZ75" s="1251"/>
      <c r="DA75" s="1251"/>
      <c r="DB75" s="1251"/>
      <c r="DC75" s="1251"/>
      <c r="DD75" s="1251"/>
      <c r="DE75" s="1251"/>
      <c r="DF75" s="1251"/>
      <c r="DG75" s="1251"/>
      <c r="DH75" s="1251"/>
      <c r="DI75" s="1251"/>
      <c r="DJ75" s="1251"/>
      <c r="DK75" s="1251"/>
      <c r="DL75" s="1251"/>
      <c r="DM75" s="1251"/>
      <c r="DN75" s="1251"/>
      <c r="DO75" s="1251"/>
      <c r="DP75" s="1251"/>
      <c r="DQ75" s="1251"/>
      <c r="DR75" s="1251"/>
      <c r="DS75" s="1251"/>
      <c r="DT75" s="1251"/>
      <c r="DU75" s="1251"/>
      <c r="DV75" s="1251"/>
      <c r="DW75" s="1251"/>
      <c r="DX75" s="1251"/>
      <c r="DY75" s="1251"/>
      <c r="DZ75" s="1251"/>
      <c r="EA75" s="1251"/>
      <c r="EB75" s="1251"/>
      <c r="EC75" s="1251"/>
      <c r="ED75" s="1251"/>
      <c r="EE75" s="1251"/>
      <c r="EF75" s="1251"/>
      <c r="EG75" s="1251"/>
      <c r="EH75" s="1251"/>
      <c r="EI75" s="1251"/>
      <c r="EJ75" s="1251"/>
      <c r="EK75" s="1251"/>
      <c r="EL75" s="1251"/>
      <c r="EM75" s="1251"/>
      <c r="EN75" s="1251"/>
      <c r="EO75" s="1251"/>
      <c r="EP75" s="1251"/>
      <c r="EQ75" s="1251"/>
      <c r="ER75" s="1251"/>
      <c r="ES75" s="1251"/>
      <c r="ET75" s="1251"/>
      <c r="EU75" s="1251"/>
      <c r="EV75" s="1251"/>
      <c r="EW75" s="1251"/>
      <c r="EX75" s="1251"/>
      <c r="EY75" s="1251"/>
      <c r="EZ75" s="1251"/>
      <c r="FA75" s="1251"/>
      <c r="FB75" s="1251"/>
      <c r="FC75" s="1251"/>
      <c r="FD75" s="1251"/>
      <c r="FE75" s="1251"/>
      <c r="FF75" s="1251"/>
      <c r="FG75" s="1251"/>
      <c r="FH75" s="1251"/>
      <c r="FI75" s="1251"/>
      <c r="FJ75" s="1251"/>
      <c r="FK75" s="1251"/>
      <c r="FL75" s="1251"/>
      <c r="FM75" s="1251"/>
      <c r="FN75" s="1251"/>
      <c r="FO75" s="1251"/>
      <c r="FP75" s="1251"/>
      <c r="FQ75" s="1251"/>
      <c r="FR75" s="1251"/>
      <c r="FS75" s="1251"/>
      <c r="FT75" s="1251"/>
      <c r="FU75" s="1251"/>
      <c r="FV75" s="1251"/>
      <c r="FW75" s="1251"/>
      <c r="FX75" s="1251"/>
      <c r="FY75" s="1251"/>
      <c r="FZ75" s="1251"/>
      <c r="GA75" s="1251"/>
      <c r="GB75" s="1251"/>
      <c r="GC75" s="1251"/>
      <c r="GD75" s="1251"/>
      <c r="GE75" s="1251"/>
      <c r="GF75" s="1251"/>
      <c r="GG75" s="1251"/>
      <c r="GH75" s="1251"/>
      <c r="GI75" s="1251"/>
      <c r="GJ75" s="1251"/>
      <c r="GK75" s="1251"/>
      <c r="GL75" s="1251"/>
      <c r="GM75" s="1251"/>
      <c r="GN75" s="1251"/>
      <c r="GO75" s="1251"/>
      <c r="GP75" s="1251"/>
      <c r="GQ75" s="1251"/>
      <c r="GR75" s="1251"/>
      <c r="GS75" s="1251"/>
      <c r="GT75" s="1251"/>
      <c r="GU75" s="1251"/>
      <c r="GV75" s="1251"/>
      <c r="GW75" s="1251"/>
      <c r="GX75" s="1251"/>
      <c r="GY75" s="1251"/>
      <c r="GZ75" s="1251"/>
      <c r="HA75" s="1251"/>
      <c r="HB75" s="1251"/>
      <c r="HC75" s="1251"/>
      <c r="HD75" s="1251"/>
      <c r="HE75" s="1251"/>
      <c r="HF75" s="1251"/>
      <c r="HG75" s="1251"/>
      <c r="HH75" s="1251"/>
      <c r="HI75" s="1251"/>
      <c r="HJ75" s="1251"/>
      <c r="HK75" s="1251"/>
      <c r="HL75" s="1251"/>
      <c r="HM75" s="1251"/>
      <c r="HN75" s="1251"/>
      <c r="HO75" s="1251"/>
      <c r="HP75" s="1251"/>
      <c r="HQ75" s="1251"/>
      <c r="HR75" s="1251"/>
      <c r="HS75" s="1251"/>
      <c r="HT75" s="1251"/>
      <c r="HU75" s="1251"/>
      <c r="HV75" s="1251"/>
      <c r="HW75" s="1251"/>
      <c r="HX75" s="1251"/>
      <c r="HY75" s="1251"/>
      <c r="HZ75" s="1251"/>
      <c r="IA75" s="1251"/>
      <c r="IB75" s="1251"/>
      <c r="IC75" s="1251"/>
      <c r="ID75" s="1251"/>
      <c r="IE75" s="1251"/>
      <c r="IF75" s="1251"/>
      <c r="IG75" s="1251"/>
      <c r="IH75" s="1251"/>
      <c r="II75" s="1251"/>
      <c r="IJ75" s="1251"/>
      <c r="IK75" s="1251"/>
      <c r="IL75" s="1251"/>
      <c r="IM75" s="1251"/>
      <c r="IN75" s="1251"/>
      <c r="IO75" s="1251"/>
      <c r="IP75" s="1251"/>
      <c r="IQ75" s="1251"/>
      <c r="IR75" s="1251"/>
      <c r="IS75" s="1251"/>
      <c r="IT75" s="1251"/>
      <c r="IU75" s="1251"/>
      <c r="IV75" s="1251"/>
      <c r="IW75" s="1251"/>
      <c r="IX75" s="1251"/>
      <c r="IY75" s="1251"/>
      <c r="IZ75" s="1251"/>
      <c r="JA75" s="1251"/>
      <c r="JB75" s="1251"/>
      <c r="JC75" s="1251"/>
      <c r="JD75" s="1251"/>
      <c r="JE75" s="1251"/>
      <c r="JF75" s="1251"/>
      <c r="JG75" s="1251"/>
      <c r="JH75" s="1251"/>
      <c r="JI75" s="1251"/>
      <c r="JJ75" s="1251"/>
      <c r="JK75" s="1251"/>
      <c r="JL75" s="1251"/>
      <c r="JM75" s="1251"/>
      <c r="JN75" s="1251"/>
      <c r="JO75" s="1251"/>
      <c r="JP75" s="1251"/>
      <c r="JQ75" s="1251"/>
      <c r="JR75" s="1251"/>
      <c r="JS75" s="1251"/>
      <c r="JT75" s="1251"/>
      <c r="JU75" s="1251"/>
      <c r="JV75" s="1251"/>
      <c r="JW75" s="1251"/>
      <c r="JX75" s="1251"/>
      <c r="JY75" s="1251"/>
      <c r="JZ75" s="1251"/>
      <c r="KA75" s="1251"/>
      <c r="KB75" s="1251"/>
      <c r="KC75" s="1251"/>
      <c r="KD75" s="1251"/>
      <c r="KE75" s="1251"/>
      <c r="KF75" s="1251"/>
      <c r="KG75" s="1251"/>
      <c r="KH75" s="1251"/>
      <c r="KI75" s="1251"/>
      <c r="KJ75" s="1251"/>
      <c r="KK75" s="1251"/>
      <c r="KL75" s="1251"/>
      <c r="KM75" s="1251"/>
      <c r="KN75" s="1251"/>
      <c r="KO75" s="1251"/>
      <c r="KP75" s="1251"/>
      <c r="KQ75" s="1251"/>
      <c r="KR75" s="1251"/>
      <c r="KS75" s="1251"/>
      <c r="KT75" s="1251"/>
      <c r="KU75" s="1251"/>
      <c r="KV75" s="1251"/>
      <c r="KW75" s="1251"/>
      <c r="KX75" s="1251"/>
      <c r="KY75" s="1251"/>
      <c r="KZ75" s="1251"/>
      <c r="LA75" s="1251"/>
      <c r="LB75" s="1251"/>
      <c r="LC75" s="1251"/>
      <c r="LD75" s="1251"/>
      <c r="LE75" s="1251"/>
      <c r="LF75" s="1251"/>
      <c r="LG75" s="1251"/>
      <c r="LH75" s="1251"/>
      <c r="LI75" s="1251"/>
      <c r="LJ75" s="1251"/>
      <c r="LK75" s="1251"/>
      <c r="LL75" s="1251"/>
      <c r="LM75" s="1251"/>
      <c r="LN75" s="1251"/>
      <c r="LO75" s="1251"/>
      <c r="LP75" s="1251"/>
      <c r="LQ75" s="1251"/>
      <c r="LR75" s="1251"/>
      <c r="LS75" s="1251"/>
      <c r="LT75" s="1251"/>
      <c r="LU75" s="1251"/>
      <c r="LV75" s="1251"/>
      <c r="LW75" s="1251"/>
      <c r="LX75" s="1251"/>
      <c r="LY75" s="1251"/>
      <c r="LZ75" s="1251"/>
      <c r="MA75" s="1251"/>
      <c r="MB75" s="1251"/>
      <c r="MC75" s="1251"/>
      <c r="MD75" s="1251"/>
      <c r="ME75" s="1251"/>
      <c r="MF75" s="1251"/>
      <c r="MG75" s="1251"/>
      <c r="MH75" s="1251"/>
      <c r="MI75" s="1251"/>
      <c r="MJ75" s="1251"/>
      <c r="MK75" s="1251"/>
      <c r="ML75" s="1251"/>
      <c r="MM75" s="1251"/>
      <c r="MN75" s="1251"/>
      <c r="MO75" s="1251"/>
      <c r="MP75" s="1251"/>
      <c r="MQ75" s="1251"/>
      <c r="MR75" s="1251"/>
      <c r="MS75" s="1251"/>
      <c r="MT75" s="1251"/>
      <c r="MU75" s="1251"/>
      <c r="MV75" s="1251"/>
      <c r="MW75" s="1251"/>
      <c r="MX75" s="1251"/>
      <c r="MY75" s="1251"/>
      <c r="MZ75" s="1251"/>
      <c r="NA75" s="1251"/>
      <c r="NB75" s="1251"/>
      <c r="NC75" s="1251"/>
      <c r="ND75" s="1251"/>
      <c r="NE75" s="1251"/>
      <c r="NF75" s="1251"/>
      <c r="NG75" s="1251"/>
      <c r="NH75" s="1251"/>
      <c r="NI75" s="1251"/>
      <c r="NJ75" s="1251"/>
      <c r="NK75" s="1251"/>
      <c r="NL75" s="1251"/>
      <c r="NM75" s="1251"/>
      <c r="NN75" s="1251"/>
      <c r="NO75" s="1251"/>
      <c r="NP75" s="1251"/>
      <c r="NQ75" s="1251"/>
      <c r="NR75" s="1251"/>
      <c r="NS75" s="1251"/>
      <c r="NT75" s="1251"/>
      <c r="NU75" s="1251"/>
      <c r="NV75" s="1251"/>
      <c r="NW75" s="1251"/>
      <c r="NX75" s="1251"/>
      <c r="NY75" s="1251"/>
      <c r="NZ75" s="1251"/>
      <c r="OA75" s="1251"/>
      <c r="OB75" s="1251"/>
      <c r="OC75" s="1251"/>
      <c r="OD75" s="1251"/>
      <c r="OE75" s="1251"/>
      <c r="OF75" s="1251"/>
      <c r="OG75" s="1251"/>
      <c r="OH75" s="1251"/>
      <c r="OI75" s="1251"/>
      <c r="OJ75" s="1251"/>
      <c r="OK75" s="1251"/>
      <c r="OL75" s="1251"/>
      <c r="OM75" s="1251"/>
      <c r="ON75" s="1251"/>
      <c r="OO75" s="1251"/>
      <c r="OP75" s="1251"/>
      <c r="OQ75" s="1251"/>
      <c r="OR75" s="1251"/>
      <c r="OS75" s="1251"/>
      <c r="OT75" s="1251"/>
      <c r="OU75" s="1251"/>
      <c r="OV75" s="1251"/>
      <c r="OW75" s="1251"/>
      <c r="OX75" s="1251"/>
      <c r="OY75" s="1251"/>
      <c r="OZ75" s="1251"/>
      <c r="PA75" s="1251"/>
      <c r="PB75" s="1251"/>
      <c r="PC75" s="1251"/>
      <c r="PD75" s="1251"/>
      <c r="PE75" s="1251"/>
      <c r="PF75" s="1251"/>
      <c r="PG75" s="1251"/>
      <c r="PH75" s="1251"/>
      <c r="PI75" s="1251"/>
      <c r="PJ75" s="1251"/>
      <c r="PK75" s="1251"/>
      <c r="PL75" s="1251"/>
      <c r="PM75" s="1251"/>
      <c r="PN75" s="1251"/>
      <c r="PO75" s="1251"/>
      <c r="PP75" s="1251"/>
      <c r="PQ75" s="1251"/>
      <c r="PR75" s="1251"/>
      <c r="PS75" s="1251"/>
      <c r="PT75" s="1251"/>
      <c r="PU75" s="1251"/>
      <c r="PV75" s="1251"/>
      <c r="PW75" s="1251"/>
      <c r="PX75" s="1251"/>
      <c r="PY75" s="1251"/>
      <c r="PZ75" s="1251"/>
      <c r="QA75" s="1251"/>
      <c r="QB75" s="1251"/>
      <c r="QC75" s="1251"/>
      <c r="QD75" s="1251"/>
      <c r="QE75" s="1251"/>
      <c r="QF75" s="1251"/>
      <c r="QG75" s="1251"/>
      <c r="QH75" s="1251"/>
      <c r="QI75" s="1251"/>
      <c r="QJ75" s="1251"/>
      <c r="QK75" s="1251"/>
      <c r="QL75" s="1251"/>
      <c r="QM75" s="1251"/>
      <c r="QN75" s="1251"/>
      <c r="QO75" s="1251"/>
      <c r="QP75" s="1251"/>
      <c r="QQ75" s="1251"/>
      <c r="QR75" s="1251"/>
      <c r="QS75" s="1251"/>
      <c r="QT75" s="1251"/>
      <c r="QU75" s="1251"/>
      <c r="QV75" s="1251"/>
      <c r="QW75" s="1251"/>
      <c r="QX75" s="1251"/>
      <c r="QY75" s="1251"/>
      <c r="QZ75" s="1251"/>
      <c r="RA75" s="1251"/>
      <c r="RB75" s="1251"/>
      <c r="RC75" s="1251"/>
      <c r="RD75" s="1251"/>
      <c r="RE75" s="1251"/>
      <c r="RF75" s="1251"/>
      <c r="RG75" s="1251"/>
      <c r="RH75" s="1251"/>
      <c r="RI75" s="1251"/>
      <c r="RJ75" s="1251"/>
      <c r="RK75" s="1251"/>
      <c r="RL75" s="1251"/>
      <c r="RM75" s="1251"/>
      <c r="RN75" s="1251"/>
      <c r="RO75" s="1251"/>
      <c r="RP75" s="1251"/>
      <c r="RQ75" s="1251"/>
      <c r="RR75" s="1251"/>
      <c r="RS75" s="1251"/>
      <c r="RT75" s="1251"/>
      <c r="RU75" s="1251"/>
      <c r="RV75" s="1251"/>
      <c r="RW75" s="1251"/>
      <c r="RX75" s="1251"/>
      <c r="RY75" s="1251"/>
      <c r="RZ75" s="1251"/>
      <c r="SA75" s="1251"/>
      <c r="SB75" s="1251"/>
      <c r="SC75" s="1251"/>
      <c r="SD75" s="1251"/>
      <c r="SE75" s="1251"/>
      <c r="SF75" s="1251"/>
      <c r="SG75" s="1251"/>
      <c r="SH75" s="1251"/>
      <c r="SI75" s="1251"/>
      <c r="SJ75" s="1251"/>
      <c r="SK75" s="1251"/>
      <c r="SL75" s="1251"/>
      <c r="SM75" s="1251"/>
      <c r="SN75" s="1251"/>
      <c r="SO75" s="1251"/>
      <c r="SP75" s="1251"/>
      <c r="SQ75" s="1251"/>
      <c r="SR75" s="1251"/>
      <c r="SS75" s="1251"/>
      <c r="ST75" s="1251"/>
      <c r="SU75" s="1251"/>
      <c r="SV75" s="1251"/>
      <c r="SW75" s="1251"/>
      <c r="SX75" s="1251"/>
      <c r="SY75" s="1251"/>
      <c r="SZ75" s="1251"/>
      <c r="TA75" s="1251"/>
      <c r="TB75" s="1251"/>
      <c r="TC75" s="1251"/>
      <c r="TD75" s="1251"/>
      <c r="TE75" s="1251"/>
      <c r="TF75" s="1251"/>
      <c r="TG75" s="1251"/>
      <c r="TH75" s="1251"/>
      <c r="TI75" s="1251"/>
      <c r="TJ75" s="1251"/>
      <c r="TK75" s="1251"/>
      <c r="TL75" s="1251"/>
      <c r="TM75" s="1251"/>
      <c r="TN75" s="1251"/>
      <c r="TO75" s="1251"/>
      <c r="TP75" s="1251"/>
      <c r="TQ75" s="1251"/>
      <c r="TR75" s="1251"/>
      <c r="TS75" s="1251"/>
      <c r="TT75" s="1251"/>
      <c r="TU75" s="1251"/>
      <c r="TV75" s="1251"/>
      <c r="TW75" s="1251"/>
      <c r="TX75" s="1251"/>
      <c r="TY75" s="1251"/>
      <c r="TZ75" s="1251"/>
      <c r="UA75" s="1251"/>
      <c r="UB75" s="1251"/>
      <c r="UC75" s="1251"/>
      <c r="UD75" s="1251"/>
      <c r="UE75" s="1251"/>
      <c r="UF75" s="1251"/>
      <c r="UG75" s="1251"/>
      <c r="UH75" s="1251"/>
      <c r="UI75" s="1251"/>
      <c r="UJ75" s="1251"/>
      <c r="UK75" s="1251"/>
      <c r="UL75" s="1251"/>
      <c r="UM75" s="1251"/>
      <c r="UN75" s="1251"/>
      <c r="UO75" s="1251"/>
      <c r="UP75" s="1251"/>
      <c r="UQ75" s="1251"/>
      <c r="UR75" s="1251"/>
      <c r="US75" s="1251"/>
      <c r="UT75" s="1251"/>
      <c r="UU75" s="1251"/>
      <c r="UV75" s="1251"/>
      <c r="UW75" s="1251"/>
      <c r="UX75" s="1251"/>
      <c r="UY75" s="1251"/>
      <c r="UZ75" s="1251"/>
      <c r="VA75" s="1251"/>
      <c r="VB75" s="1251"/>
      <c r="VC75" s="1251"/>
      <c r="VD75" s="1251"/>
      <c r="VE75" s="1251"/>
      <c r="VF75" s="1251"/>
      <c r="VG75" s="1251"/>
      <c r="VH75" s="1251"/>
      <c r="VI75" s="1251"/>
      <c r="VJ75" s="1251"/>
      <c r="VK75" s="1251"/>
      <c r="VL75" s="1251"/>
      <c r="VM75" s="1251"/>
      <c r="VN75" s="1251"/>
      <c r="VO75" s="1251"/>
      <c r="VP75" s="1251"/>
      <c r="VQ75" s="1251"/>
      <c r="VR75" s="1251"/>
      <c r="VS75" s="1251"/>
      <c r="VT75" s="1251"/>
      <c r="VU75" s="1251"/>
      <c r="VV75" s="1251"/>
      <c r="VW75" s="1251"/>
      <c r="VX75" s="1251"/>
      <c r="VY75" s="1251"/>
      <c r="VZ75" s="1251"/>
      <c r="WA75" s="1251"/>
      <c r="WB75" s="1251"/>
      <c r="WC75" s="1251"/>
      <c r="WD75" s="1251"/>
      <c r="WE75" s="1251"/>
      <c r="WF75" s="1251"/>
      <c r="WG75" s="1251"/>
      <c r="WH75" s="1251"/>
      <c r="WI75" s="1251"/>
      <c r="WJ75" s="1251"/>
      <c r="WK75" s="1251"/>
      <c r="WL75" s="1251"/>
      <c r="WM75" s="1251"/>
      <c r="WN75" s="1251"/>
      <c r="WO75" s="1251"/>
      <c r="WP75" s="1251"/>
      <c r="WQ75" s="1251"/>
      <c r="WR75" s="1251"/>
      <c r="WS75" s="1251"/>
      <c r="WT75" s="1251"/>
      <c r="WU75" s="1251"/>
      <c r="WV75" s="1251"/>
      <c r="WW75" s="1251"/>
      <c r="WX75" s="1251"/>
      <c r="WY75" s="1251"/>
      <c r="WZ75" s="1251"/>
      <c r="XA75" s="1251"/>
      <c r="XB75" s="1251"/>
      <c r="XC75" s="1251"/>
      <c r="XD75" s="1251"/>
      <c r="XE75" s="1251"/>
      <c r="XF75" s="1251"/>
      <c r="XG75" s="1251"/>
      <c r="XH75" s="1251"/>
      <c r="XI75" s="1251"/>
      <c r="XJ75" s="1251"/>
      <c r="XK75" s="1251"/>
      <c r="XL75" s="1251"/>
      <c r="XM75" s="1251"/>
      <c r="XN75" s="1251"/>
      <c r="XO75" s="1251"/>
      <c r="XP75" s="1251"/>
      <c r="XQ75" s="1251"/>
      <c r="XR75" s="1251"/>
      <c r="XS75" s="1251"/>
      <c r="XT75" s="1251"/>
      <c r="XU75" s="1251"/>
      <c r="XV75" s="1251"/>
      <c r="XW75" s="1251"/>
      <c r="XX75" s="1251"/>
      <c r="XY75" s="1251"/>
      <c r="XZ75" s="1251"/>
      <c r="YA75" s="1251"/>
      <c r="YB75" s="1251"/>
      <c r="YC75" s="1251"/>
      <c r="YD75" s="1251"/>
      <c r="YE75" s="1251"/>
      <c r="YF75" s="1251"/>
      <c r="YG75" s="1251"/>
      <c r="YH75" s="1251"/>
      <c r="YI75" s="1251"/>
      <c r="YJ75" s="1251"/>
      <c r="YK75" s="1251"/>
      <c r="YL75" s="1251"/>
      <c r="YM75" s="1251"/>
      <c r="YN75" s="1251"/>
      <c r="YO75" s="1251"/>
      <c r="YP75" s="1251"/>
      <c r="YQ75" s="1251"/>
      <c r="YR75" s="1251"/>
      <c r="YS75" s="1251"/>
      <c r="YT75" s="1251"/>
      <c r="YU75" s="1251"/>
      <c r="YV75" s="1251"/>
      <c r="YW75" s="1251"/>
      <c r="YX75" s="1251"/>
      <c r="YY75" s="1251"/>
      <c r="YZ75" s="1251"/>
      <c r="ZA75" s="1251"/>
      <c r="ZB75" s="1251"/>
      <c r="ZC75" s="1251"/>
      <c r="ZD75" s="1251"/>
      <c r="ZE75" s="1251"/>
      <c r="ZF75" s="1251"/>
      <c r="ZG75" s="1251"/>
      <c r="ZH75" s="1251"/>
      <c r="ZI75" s="1251"/>
      <c r="ZJ75" s="1251"/>
      <c r="ZK75" s="1251"/>
      <c r="ZL75" s="1251"/>
      <c r="ZM75" s="1251"/>
      <c r="ZN75" s="1251"/>
      <c r="ZO75" s="1251"/>
      <c r="ZP75" s="1251"/>
      <c r="ZQ75" s="1251"/>
      <c r="ZR75" s="1251"/>
      <c r="ZS75" s="1251"/>
      <c r="ZT75" s="1251"/>
      <c r="ZU75" s="1251"/>
      <c r="ZV75" s="1251"/>
      <c r="ZW75" s="1251"/>
      <c r="ZX75" s="1251"/>
      <c r="ZY75" s="1251"/>
      <c r="ZZ75" s="1251"/>
      <c r="AAA75" s="1251"/>
      <c r="AAB75" s="1251"/>
      <c r="AAC75" s="1251"/>
      <c r="AAD75" s="1251"/>
      <c r="AAE75" s="1251"/>
      <c r="AAF75" s="1251"/>
      <c r="AAG75" s="1251"/>
      <c r="AAH75" s="1251"/>
      <c r="AAI75" s="1251"/>
      <c r="AAJ75" s="1251"/>
      <c r="AAK75" s="1251"/>
      <c r="AAL75" s="1251"/>
      <c r="AAM75" s="1251"/>
      <c r="AAN75" s="1251"/>
      <c r="AAO75" s="1251"/>
      <c r="AAP75" s="1251"/>
      <c r="AAQ75" s="1251"/>
      <c r="AAR75" s="1251"/>
      <c r="AAS75" s="1251"/>
      <c r="AAT75" s="1251"/>
      <c r="AAU75" s="1251"/>
      <c r="AAV75" s="1251"/>
      <c r="AAW75" s="1251"/>
      <c r="AAX75" s="1251"/>
      <c r="AAY75" s="1251"/>
      <c r="AAZ75" s="1251"/>
      <c r="ABA75" s="1251"/>
      <c r="ABB75" s="1251"/>
      <c r="ABC75" s="1251"/>
      <c r="ABD75" s="1251"/>
      <c r="ABE75" s="1251"/>
      <c r="ABF75" s="1251"/>
      <c r="ABG75" s="1251"/>
      <c r="ABH75" s="1251"/>
      <c r="ABI75" s="1251"/>
      <c r="ABJ75" s="1251"/>
      <c r="ABK75" s="1251"/>
      <c r="ABL75" s="1251"/>
      <c r="ABM75" s="1251"/>
      <c r="ABN75" s="1251"/>
      <c r="ABO75" s="1251"/>
      <c r="ABP75" s="1251"/>
      <c r="ABQ75" s="1251"/>
      <c r="ABR75" s="1251"/>
      <c r="ABS75" s="1251"/>
      <c r="ABT75" s="1251"/>
      <c r="ABU75" s="1251"/>
      <c r="ABV75" s="1251"/>
      <c r="ABW75" s="1251"/>
      <c r="ABX75" s="1251"/>
      <c r="ABY75" s="1251"/>
      <c r="ABZ75" s="1251"/>
      <c r="ACA75" s="1251"/>
      <c r="ACB75" s="1251"/>
      <c r="ACC75" s="1251"/>
      <c r="ACD75" s="1251"/>
      <c r="ACE75" s="1251"/>
      <c r="ACF75" s="1251"/>
      <c r="ACG75" s="1251"/>
      <c r="ACH75" s="1251"/>
      <c r="ACI75" s="1251"/>
      <c r="ACJ75" s="1251"/>
      <c r="ACK75" s="1251"/>
      <c r="ACL75" s="1251"/>
      <c r="ACM75" s="1251"/>
      <c r="ACN75" s="1251"/>
      <c r="ACO75" s="1251"/>
      <c r="ACP75" s="1251"/>
      <c r="ACQ75" s="1251"/>
      <c r="ACR75" s="1251"/>
      <c r="ACS75" s="1251"/>
      <c r="ACT75" s="1251"/>
      <c r="ACU75" s="1251"/>
      <c r="ACV75" s="1251"/>
      <c r="ACW75" s="1251"/>
      <c r="ACX75" s="1251"/>
      <c r="ACY75" s="1251"/>
      <c r="ACZ75" s="1251"/>
      <c r="ADA75" s="1251"/>
      <c r="ADB75" s="1251"/>
      <c r="ADC75" s="1251"/>
      <c r="ADD75" s="1251"/>
      <c r="ADE75" s="1251"/>
      <c r="ADF75" s="1251"/>
      <c r="ADG75" s="1251"/>
      <c r="ADH75" s="1251"/>
      <c r="ADI75" s="1251"/>
      <c r="ADJ75" s="1251"/>
      <c r="ADK75" s="1251"/>
      <c r="ADL75" s="1251"/>
      <c r="ADM75" s="1251"/>
      <c r="ADN75" s="1251"/>
      <c r="ADO75" s="1251"/>
      <c r="ADP75" s="1251"/>
      <c r="ADQ75" s="1251"/>
      <c r="ADR75" s="1251"/>
      <c r="ADS75" s="1251"/>
      <c r="ADT75" s="1251"/>
      <c r="ADU75" s="1251"/>
      <c r="ADV75" s="1251"/>
      <c r="ADW75" s="1251"/>
      <c r="ADX75" s="1251"/>
      <c r="ADY75" s="1251"/>
      <c r="ADZ75" s="1251"/>
      <c r="AEA75" s="1251"/>
      <c r="AEB75" s="1251"/>
      <c r="AEC75" s="1251"/>
      <c r="AED75" s="1251"/>
      <c r="AEE75" s="1251"/>
      <c r="AEF75" s="1251"/>
      <c r="AEG75" s="1251"/>
      <c r="AEH75" s="1251"/>
      <c r="AEI75" s="1251"/>
      <c r="AEJ75" s="1251"/>
      <c r="AEK75" s="1251"/>
      <c r="AEL75" s="1251"/>
      <c r="AEM75" s="1251"/>
      <c r="AEN75" s="1251"/>
      <c r="AEO75" s="1251"/>
      <c r="AEP75" s="1251"/>
      <c r="AEQ75" s="1251"/>
      <c r="AER75" s="1251"/>
      <c r="AES75" s="1251"/>
      <c r="AET75" s="1251"/>
      <c r="AEU75" s="1251"/>
      <c r="AEV75" s="1251"/>
      <c r="AEW75" s="1251"/>
      <c r="AEX75" s="1251"/>
      <c r="AEY75" s="1251"/>
      <c r="AEZ75" s="1251"/>
      <c r="AFA75" s="1251"/>
      <c r="AFB75" s="1251"/>
      <c r="AFC75" s="1251"/>
      <c r="AFD75" s="1251"/>
      <c r="AFE75" s="1251"/>
      <c r="AFF75" s="1251"/>
      <c r="AFG75" s="1251"/>
      <c r="AFH75" s="1251"/>
      <c r="AFI75" s="1251"/>
      <c r="AFJ75" s="1251"/>
      <c r="AFK75" s="1251"/>
      <c r="AFL75" s="1251"/>
      <c r="AFM75" s="1251"/>
      <c r="AFN75" s="1251"/>
      <c r="AFO75" s="1251"/>
      <c r="AFP75" s="1251"/>
      <c r="AFQ75" s="1251"/>
      <c r="AFR75" s="1251"/>
      <c r="AFS75" s="1251"/>
      <c r="AFT75" s="1251"/>
      <c r="AFU75" s="1251"/>
      <c r="AFV75" s="1251"/>
      <c r="AFW75" s="1251"/>
      <c r="AFX75" s="1251"/>
      <c r="AFY75" s="1251"/>
      <c r="AFZ75" s="1251"/>
      <c r="AGA75" s="1251"/>
      <c r="AGB75" s="1251"/>
      <c r="AGC75" s="1251"/>
      <c r="AGD75" s="1251"/>
      <c r="AGE75" s="1251"/>
      <c r="AGF75" s="1251"/>
      <c r="AGG75" s="1251"/>
      <c r="AGH75" s="1251"/>
      <c r="AGI75" s="1251"/>
      <c r="AGJ75" s="1251"/>
      <c r="AGK75" s="1251"/>
      <c r="AGL75" s="1251"/>
      <c r="AGM75" s="1251"/>
      <c r="AGN75" s="1251"/>
      <c r="AGO75" s="1251"/>
      <c r="AGP75" s="1251"/>
      <c r="AGQ75" s="1251"/>
      <c r="AGR75" s="1251"/>
      <c r="AGS75" s="1251"/>
      <c r="AGT75" s="1251"/>
      <c r="AGU75" s="1251"/>
      <c r="AGV75" s="1251"/>
      <c r="AGW75" s="1251"/>
      <c r="AGX75" s="1251"/>
      <c r="AGY75" s="1251"/>
      <c r="AGZ75" s="1251"/>
      <c r="AHA75" s="1251"/>
      <c r="AHB75" s="1251"/>
      <c r="AHC75" s="1251"/>
      <c r="AHD75" s="1251"/>
      <c r="AHE75" s="1251"/>
      <c r="AHF75" s="1251"/>
      <c r="AHG75" s="1251"/>
      <c r="AHH75" s="1251"/>
      <c r="AHI75" s="1251"/>
      <c r="AHJ75" s="1251"/>
      <c r="AHK75" s="1251"/>
      <c r="AHL75" s="1251"/>
      <c r="AHM75" s="1251"/>
      <c r="AHN75" s="1251"/>
      <c r="AHO75" s="1251"/>
      <c r="AHP75" s="1251"/>
      <c r="AHQ75" s="1251"/>
      <c r="AHR75" s="1251"/>
      <c r="AHS75" s="1251"/>
      <c r="AHT75" s="1251"/>
      <c r="AHU75" s="1251"/>
      <c r="AHV75" s="1251"/>
      <c r="AHW75" s="1251"/>
      <c r="AHX75" s="1251"/>
      <c r="AHY75" s="1251"/>
      <c r="AHZ75" s="1251"/>
      <c r="AIA75" s="1251"/>
      <c r="AIB75" s="1251"/>
      <c r="AIC75" s="1251"/>
      <c r="AID75" s="1251"/>
      <c r="AIE75" s="1251"/>
      <c r="AIF75" s="1251"/>
      <c r="AIG75" s="1251"/>
      <c r="AIH75" s="1251"/>
      <c r="AII75" s="1251"/>
      <c r="AIJ75" s="1251"/>
      <c r="AIK75" s="1251"/>
      <c r="AIL75" s="1251"/>
      <c r="AIM75" s="1251"/>
      <c r="AIN75" s="1251"/>
      <c r="AIO75" s="1251"/>
      <c r="AIP75" s="1251"/>
      <c r="AIQ75" s="1251"/>
      <c r="AIR75" s="1251"/>
      <c r="AIS75" s="1251"/>
      <c r="AIT75" s="1251"/>
      <c r="AIU75" s="1251"/>
      <c r="AIV75" s="1251"/>
      <c r="AIW75" s="1251"/>
      <c r="AIX75" s="1251"/>
      <c r="AIY75" s="1251"/>
      <c r="AIZ75" s="1251"/>
      <c r="AJA75" s="1251"/>
      <c r="AJB75" s="1251"/>
      <c r="AJC75" s="1251"/>
      <c r="AJD75" s="1251"/>
      <c r="AJE75" s="1251"/>
      <c r="AJF75" s="1251"/>
      <c r="AJG75" s="1251"/>
      <c r="AJH75" s="1251"/>
      <c r="AJI75" s="1251"/>
      <c r="AJJ75" s="1251"/>
      <c r="AJK75" s="1251"/>
      <c r="AJL75" s="1251"/>
      <c r="AJM75" s="1251"/>
      <c r="AJN75" s="1251"/>
      <c r="AJO75" s="1251"/>
      <c r="AJP75" s="1251"/>
      <c r="AJQ75" s="1251"/>
      <c r="AJR75" s="1251"/>
      <c r="AJS75" s="1251"/>
      <c r="AJT75" s="1251"/>
      <c r="AJU75" s="1251"/>
      <c r="AJV75" s="1251"/>
      <c r="AJW75" s="1251"/>
      <c r="AJX75" s="1251"/>
      <c r="AJY75" s="1251"/>
      <c r="AJZ75" s="1251"/>
      <c r="AKA75" s="1251"/>
      <c r="AKB75" s="1251"/>
      <c r="AKC75" s="1251"/>
      <c r="AKD75" s="1251"/>
      <c r="AKE75" s="1251"/>
      <c r="AKF75" s="1251"/>
      <c r="AKG75" s="1251"/>
      <c r="AKH75" s="1251"/>
      <c r="AKI75" s="1251"/>
      <c r="AKJ75" s="1251"/>
      <c r="AKK75" s="1251"/>
      <c r="AKL75" s="1251"/>
      <c r="AKM75" s="1251"/>
      <c r="AKN75" s="1251"/>
      <c r="AKO75" s="1251"/>
      <c r="AKP75" s="1251"/>
      <c r="AKQ75" s="1251"/>
      <c r="AKR75" s="1251"/>
      <c r="AKS75" s="1251"/>
      <c r="AKT75" s="1251"/>
      <c r="AKU75" s="1251"/>
      <c r="AKV75" s="1251"/>
      <c r="AKW75" s="1251"/>
      <c r="AKX75" s="1251"/>
      <c r="AKY75" s="1251"/>
      <c r="AKZ75" s="1251"/>
      <c r="ALA75" s="1251"/>
      <c r="ALB75" s="1251"/>
      <c r="ALC75" s="1251"/>
      <c r="ALD75" s="1251"/>
      <c r="ALE75" s="1251"/>
      <c r="ALF75" s="1251"/>
      <c r="ALG75" s="1251"/>
      <c r="ALH75" s="1251"/>
      <c r="ALI75" s="1251"/>
      <c r="ALJ75" s="1251"/>
      <c r="ALK75" s="1251"/>
      <c r="ALL75" s="1251"/>
      <c r="ALM75" s="1251"/>
      <c r="ALN75" s="1251"/>
      <c r="ALO75" s="1251"/>
      <c r="ALP75" s="1251"/>
      <c r="ALQ75" s="1251"/>
      <c r="ALR75" s="1251"/>
      <c r="ALS75" s="1251"/>
      <c r="ALT75" s="1251"/>
      <c r="ALU75" s="1251"/>
      <c r="ALV75" s="1251"/>
      <c r="ALW75" s="1251"/>
      <c r="ALX75" s="1251"/>
      <c r="ALY75" s="1251"/>
      <c r="ALZ75" s="1251"/>
      <c r="AMA75" s="1251"/>
      <c r="AMB75" s="1251"/>
      <c r="AMC75" s="1251"/>
      <c r="AMD75" s="1251"/>
      <c r="AME75" s="1251"/>
      <c r="AMF75" s="1251"/>
      <c r="AMG75" s="1251"/>
      <c r="AMH75" s="1251"/>
      <c r="AMI75" s="1251"/>
      <c r="AMJ75" s="1251"/>
      <c r="AMK75" s="1251"/>
      <c r="AML75" s="1251"/>
      <c r="AMM75" s="1251"/>
      <c r="AMN75" s="1251"/>
      <c r="AMO75" s="1251"/>
      <c r="AMP75" s="1251"/>
      <c r="AMQ75" s="1251"/>
      <c r="AMR75" s="1251"/>
      <c r="AMS75" s="1251"/>
      <c r="AMT75" s="1251"/>
      <c r="AMU75" s="1251"/>
      <c r="AMV75" s="1251"/>
      <c r="AMW75" s="1251"/>
      <c r="AMX75" s="1251"/>
      <c r="AMY75" s="1251"/>
      <c r="AMZ75" s="1251"/>
      <c r="ANA75" s="1251"/>
      <c r="ANB75" s="1251"/>
      <c r="ANC75" s="1251"/>
      <c r="AND75" s="1251"/>
      <c r="ANE75" s="1251"/>
      <c r="ANF75" s="1251"/>
      <c r="ANG75" s="1251"/>
      <c r="ANH75" s="1251"/>
      <c r="ANI75" s="1251"/>
      <c r="ANJ75" s="1251"/>
      <c r="ANK75" s="1251"/>
      <c r="ANL75" s="1251"/>
      <c r="ANM75" s="1251"/>
      <c r="ANN75" s="1251"/>
      <c r="ANO75" s="1251"/>
      <c r="ANP75" s="1251"/>
      <c r="ANQ75" s="1251"/>
      <c r="ANR75" s="1251"/>
      <c r="ANS75" s="1251"/>
      <c r="ANT75" s="1251"/>
      <c r="ANU75" s="1251"/>
      <c r="ANV75" s="1251"/>
      <c r="ANW75" s="1251"/>
      <c r="ANX75" s="1251"/>
      <c r="ANY75" s="1251"/>
      <c r="ANZ75" s="1251"/>
      <c r="AOA75" s="1251"/>
      <c r="AOB75" s="1251"/>
      <c r="AOC75" s="1251"/>
      <c r="AOD75" s="1251"/>
      <c r="AOE75" s="1251"/>
      <c r="AOF75" s="1251"/>
      <c r="AOG75" s="1251"/>
      <c r="AOH75" s="1251"/>
      <c r="AOI75" s="1251"/>
      <c r="AOJ75" s="1251"/>
      <c r="AOK75" s="1251"/>
      <c r="AOL75" s="1251"/>
      <c r="AOM75" s="1251"/>
      <c r="AON75" s="1251"/>
      <c r="AOO75" s="1251"/>
      <c r="AOP75" s="1251"/>
      <c r="AOQ75" s="1251"/>
      <c r="AOR75" s="1251"/>
      <c r="AOS75" s="1251"/>
      <c r="AOT75" s="1251"/>
      <c r="AOU75" s="1251"/>
      <c r="AOV75" s="1251"/>
      <c r="AOW75" s="1251"/>
      <c r="AOX75" s="1251"/>
      <c r="AOY75" s="1251"/>
      <c r="AOZ75" s="1251"/>
      <c r="APA75" s="1251"/>
      <c r="APB75" s="1251"/>
      <c r="APC75" s="1251"/>
      <c r="APD75" s="1251"/>
      <c r="APE75" s="1251"/>
      <c r="APF75" s="1251"/>
      <c r="APG75" s="1251"/>
      <c r="APH75" s="1251"/>
      <c r="API75" s="1251"/>
      <c r="APJ75" s="1251"/>
      <c r="APK75" s="1251"/>
      <c r="APL75" s="1251"/>
      <c r="APM75" s="1251"/>
      <c r="APN75" s="1251"/>
      <c r="APO75" s="1251"/>
      <c r="APP75" s="1251"/>
      <c r="APQ75" s="1251"/>
      <c r="APR75" s="1251"/>
      <c r="APS75" s="1251"/>
      <c r="APT75" s="1251"/>
      <c r="APU75" s="1251"/>
      <c r="APV75" s="1251"/>
      <c r="APW75" s="1251"/>
      <c r="APX75" s="1251"/>
      <c r="APY75" s="1251"/>
      <c r="APZ75" s="1251"/>
      <c r="AQA75" s="1251"/>
      <c r="AQB75" s="1251"/>
      <c r="AQC75" s="1251"/>
      <c r="AQD75" s="1251"/>
      <c r="AQE75" s="1251"/>
      <c r="AQF75" s="1251"/>
      <c r="AQG75" s="1251"/>
      <c r="AQH75" s="1251"/>
      <c r="AQI75" s="1251"/>
      <c r="AQJ75" s="1251"/>
      <c r="AQK75" s="1251"/>
      <c r="AQL75" s="1251"/>
      <c r="AQM75" s="1251"/>
      <c r="AQN75" s="1251"/>
      <c r="AQO75" s="1251"/>
      <c r="AQP75" s="1251"/>
      <c r="AQQ75" s="1251"/>
      <c r="AQR75" s="1251"/>
      <c r="AQS75" s="1251"/>
      <c r="AQT75" s="1251"/>
      <c r="AQU75" s="1251"/>
      <c r="AQV75" s="1251"/>
      <c r="AQW75" s="1251"/>
      <c r="AQX75" s="1251"/>
      <c r="AQY75" s="1251"/>
      <c r="AQZ75" s="1251"/>
      <c r="ARA75" s="1251"/>
      <c r="ARB75" s="1251"/>
      <c r="ARC75" s="1251"/>
      <c r="ARD75" s="1251"/>
      <c r="ARE75" s="1251"/>
      <c r="ARF75" s="1251"/>
      <c r="ARG75" s="1251"/>
      <c r="ARH75" s="1251"/>
      <c r="ARI75" s="1251"/>
      <c r="ARJ75" s="1251"/>
      <c r="ARK75" s="1251"/>
      <c r="ARL75" s="1251"/>
      <c r="ARM75" s="1251"/>
      <c r="ARN75" s="1251"/>
      <c r="ARO75" s="1251"/>
      <c r="ARP75" s="1251"/>
      <c r="ARQ75" s="1251"/>
      <c r="ARR75" s="1251"/>
      <c r="ARS75" s="1251"/>
      <c r="ART75" s="1251"/>
      <c r="ARU75" s="1251"/>
      <c r="ARV75" s="1251"/>
      <c r="ARW75" s="1251"/>
      <c r="ARX75" s="1251"/>
      <c r="ARY75" s="1251"/>
      <c r="ARZ75" s="1251"/>
      <c r="ASA75" s="1251"/>
      <c r="ASB75" s="1251"/>
      <c r="ASC75" s="1251"/>
      <c r="ASD75" s="1251"/>
      <c r="ASE75" s="1251"/>
      <c r="ASF75" s="1251"/>
      <c r="ASG75" s="1251"/>
      <c r="ASH75" s="1251"/>
      <c r="ASI75" s="1251"/>
      <c r="ASJ75" s="1251"/>
      <c r="ASK75" s="1251"/>
      <c r="ASL75" s="1251"/>
      <c r="ASM75" s="1251"/>
      <c r="ASN75" s="1251"/>
      <c r="ASO75" s="1251"/>
      <c r="ASP75" s="1251"/>
      <c r="ASQ75" s="1251"/>
      <c r="ASR75" s="1251"/>
      <c r="ASS75" s="1251"/>
      <c r="AST75" s="1251"/>
      <c r="ASU75" s="1251"/>
      <c r="ASV75" s="1251"/>
      <c r="ASW75" s="1251"/>
      <c r="ASX75" s="1251"/>
      <c r="ASY75" s="1251"/>
      <c r="ASZ75" s="1251"/>
      <c r="ATA75" s="1251"/>
      <c r="ATB75" s="1251"/>
      <c r="ATC75" s="1251"/>
      <c r="ATD75" s="1251"/>
      <c r="ATE75" s="1251"/>
      <c r="ATF75" s="1251"/>
      <c r="ATG75" s="1251"/>
      <c r="ATH75" s="1251"/>
      <c r="ATI75" s="1251"/>
      <c r="ATJ75" s="1251"/>
      <c r="ATK75" s="1251"/>
      <c r="ATL75" s="1251"/>
      <c r="ATM75" s="1251"/>
      <c r="ATN75" s="1251"/>
      <c r="ATO75" s="1251"/>
      <c r="ATP75" s="1251"/>
      <c r="ATQ75" s="1251"/>
      <c r="ATR75" s="1251"/>
      <c r="ATS75" s="1251"/>
      <c r="ATT75" s="1251"/>
      <c r="ATU75" s="1251"/>
      <c r="ATV75" s="1251"/>
      <c r="ATW75" s="1251"/>
      <c r="ATX75" s="1251"/>
      <c r="ATY75" s="1251"/>
      <c r="ATZ75" s="1251"/>
      <c r="AUA75" s="1251"/>
      <c r="AUB75" s="1251"/>
      <c r="AUC75" s="1251"/>
      <c r="AUD75" s="1251"/>
      <c r="AUE75" s="1251"/>
      <c r="AUF75" s="1251"/>
      <c r="AUG75" s="1251"/>
      <c r="AUH75" s="1251"/>
      <c r="AUI75" s="1251"/>
      <c r="AUJ75" s="1251"/>
      <c r="AUK75" s="1251"/>
      <c r="AUL75" s="1251"/>
      <c r="AUM75" s="1251"/>
      <c r="AUN75" s="1251"/>
      <c r="AUO75" s="1251"/>
      <c r="AUP75" s="1251"/>
      <c r="AUQ75" s="1251"/>
      <c r="AUR75" s="1251"/>
      <c r="AUS75" s="1251"/>
      <c r="AUT75" s="1251"/>
      <c r="AUU75" s="1251"/>
      <c r="AUV75" s="1251"/>
      <c r="AUW75" s="1251"/>
      <c r="AUX75" s="1251"/>
      <c r="AUY75" s="1251"/>
      <c r="AUZ75" s="1251"/>
      <c r="AVA75" s="1251"/>
      <c r="AVB75" s="1251"/>
      <c r="AVC75" s="1251"/>
      <c r="AVD75" s="1251"/>
      <c r="AVE75" s="1251"/>
      <c r="AVF75" s="1251"/>
      <c r="AVG75" s="1251"/>
      <c r="AVH75" s="1251"/>
      <c r="AVI75" s="1251"/>
      <c r="AVJ75" s="1251"/>
      <c r="AVK75" s="1251"/>
      <c r="AVL75" s="1251"/>
      <c r="AVM75" s="1251"/>
      <c r="AVN75" s="1251"/>
      <c r="AVO75" s="1251"/>
      <c r="AVP75" s="1251"/>
      <c r="AVQ75" s="1251"/>
      <c r="AVR75" s="1251"/>
      <c r="AVS75" s="1251"/>
      <c r="AVT75" s="1251"/>
      <c r="AVU75" s="1251"/>
      <c r="AVV75" s="1251"/>
      <c r="AVW75" s="1251"/>
      <c r="AVX75" s="1251"/>
      <c r="AVY75" s="1251"/>
      <c r="AVZ75" s="1251"/>
      <c r="AWA75" s="1251"/>
      <c r="AWB75" s="1251"/>
      <c r="AWC75" s="1251"/>
      <c r="AWD75" s="1251"/>
      <c r="AWE75" s="1251"/>
      <c r="AWF75" s="1251"/>
      <c r="AWG75" s="1251"/>
      <c r="AWH75" s="1251"/>
      <c r="AWI75" s="1251"/>
      <c r="AWJ75" s="1251"/>
      <c r="AWK75" s="1251"/>
      <c r="AWL75" s="1251"/>
      <c r="AWM75" s="1251"/>
      <c r="AWN75" s="1251"/>
      <c r="AWO75" s="1251"/>
      <c r="AWP75" s="1251"/>
      <c r="AWQ75" s="1251"/>
      <c r="AWR75" s="1251"/>
      <c r="AWS75" s="1251"/>
      <c r="AWT75" s="1251"/>
      <c r="AWU75" s="1251"/>
      <c r="AWV75" s="1251"/>
      <c r="AWW75" s="1251"/>
      <c r="AWX75" s="1251"/>
      <c r="AWY75" s="1251"/>
      <c r="AWZ75" s="1251"/>
      <c r="AXA75" s="1251"/>
      <c r="AXB75" s="1251"/>
      <c r="AXC75" s="1251"/>
      <c r="AXD75" s="1251"/>
      <c r="AXE75" s="1251"/>
      <c r="AXF75" s="1251"/>
      <c r="AXG75" s="1251"/>
      <c r="AXH75" s="1251"/>
      <c r="AXI75" s="1251"/>
      <c r="AXJ75" s="1251"/>
      <c r="AXK75" s="1251"/>
      <c r="AXL75" s="1251"/>
      <c r="AXM75" s="1251"/>
      <c r="AXN75" s="1251"/>
      <c r="AXO75" s="1251"/>
      <c r="AXP75" s="1251"/>
      <c r="AXQ75" s="1251"/>
      <c r="AXR75" s="1251"/>
      <c r="AXS75" s="1251"/>
      <c r="AXT75" s="1251"/>
      <c r="AXU75" s="1251"/>
      <c r="AXV75" s="1251"/>
      <c r="AXW75" s="1251"/>
      <c r="AXX75" s="1251"/>
      <c r="AXY75" s="1251"/>
      <c r="AXZ75" s="1251"/>
      <c r="AYA75" s="1251"/>
      <c r="AYB75" s="1251"/>
      <c r="AYC75" s="1251"/>
      <c r="AYD75" s="1251"/>
      <c r="AYE75" s="1251"/>
      <c r="AYF75" s="1251"/>
      <c r="AYG75" s="1251"/>
      <c r="AYH75" s="1251"/>
      <c r="AYI75" s="1251"/>
      <c r="AYJ75" s="1251"/>
      <c r="AYK75" s="1251"/>
      <c r="AYL75" s="1251"/>
      <c r="AYM75" s="1251"/>
      <c r="AYN75" s="1251"/>
      <c r="AYO75" s="1251"/>
      <c r="AYP75" s="1251"/>
      <c r="AYQ75" s="1251"/>
      <c r="AYR75" s="1251"/>
      <c r="AYS75" s="1251"/>
      <c r="AYT75" s="1251"/>
      <c r="AYU75" s="1251"/>
      <c r="AYV75" s="1251"/>
      <c r="AYW75" s="1251"/>
      <c r="AYX75" s="1251"/>
      <c r="AYY75" s="1251"/>
      <c r="AYZ75" s="1251"/>
      <c r="AZA75" s="1251"/>
      <c r="AZB75" s="1251"/>
      <c r="AZC75" s="1251"/>
      <c r="AZD75" s="1251"/>
      <c r="AZE75" s="1251"/>
      <c r="AZF75" s="1251"/>
      <c r="AZG75" s="1251"/>
      <c r="AZH75" s="1251"/>
      <c r="AZI75" s="1251"/>
      <c r="AZJ75" s="1251"/>
      <c r="AZK75" s="1251"/>
      <c r="AZL75" s="1251"/>
      <c r="AZM75" s="1251"/>
      <c r="AZN75" s="1251"/>
      <c r="AZO75" s="1251"/>
      <c r="AZP75" s="1251"/>
      <c r="AZQ75" s="1251"/>
      <c r="AZR75" s="1251"/>
      <c r="AZS75" s="1251"/>
      <c r="AZT75" s="1251"/>
      <c r="AZU75" s="1251"/>
      <c r="AZV75" s="1251"/>
      <c r="AZW75" s="1251"/>
      <c r="AZX75" s="1251"/>
      <c r="AZY75" s="1251"/>
      <c r="AZZ75" s="1251"/>
      <c r="BAA75" s="1251"/>
      <c r="BAB75" s="1251"/>
      <c r="BAC75" s="1251"/>
      <c r="BAD75" s="1251"/>
      <c r="BAE75" s="1251"/>
      <c r="BAF75" s="1251"/>
      <c r="BAG75" s="1251"/>
      <c r="BAH75" s="1251"/>
      <c r="BAI75" s="1251"/>
      <c r="BAJ75" s="1251"/>
      <c r="BAK75" s="1251"/>
      <c r="BAL75" s="1251"/>
      <c r="BAM75" s="1251"/>
      <c r="BAN75" s="1251"/>
      <c r="BAO75" s="1251"/>
      <c r="BAP75" s="1251"/>
      <c r="BAQ75" s="1251"/>
      <c r="BAR75" s="1251"/>
      <c r="BAS75" s="1251"/>
      <c r="BAT75" s="1251"/>
      <c r="BAU75" s="1251"/>
      <c r="BAV75" s="1251"/>
      <c r="BAW75" s="1251"/>
      <c r="BAX75" s="1251"/>
      <c r="BAY75" s="1251"/>
      <c r="BAZ75" s="1251"/>
      <c r="BBA75" s="1251"/>
      <c r="BBB75" s="1251"/>
      <c r="BBC75" s="1251"/>
      <c r="BBD75" s="1251"/>
      <c r="BBE75" s="1251"/>
      <c r="BBF75" s="1251"/>
      <c r="BBG75" s="1251"/>
      <c r="BBH75" s="1251"/>
      <c r="BBI75" s="1251"/>
      <c r="BBJ75" s="1251"/>
      <c r="BBK75" s="1251"/>
      <c r="BBL75" s="1251"/>
      <c r="BBM75" s="1251"/>
      <c r="BBN75" s="1251"/>
      <c r="BBO75" s="1251"/>
      <c r="BBP75" s="1251"/>
      <c r="BBQ75" s="1251"/>
      <c r="BBR75" s="1251"/>
      <c r="BBS75" s="1251"/>
      <c r="BBT75" s="1251"/>
      <c r="BBU75" s="1251"/>
      <c r="BBV75" s="1251"/>
      <c r="BBW75" s="1251"/>
      <c r="BBX75" s="1251"/>
      <c r="BBY75" s="1251"/>
      <c r="BBZ75" s="1251"/>
      <c r="BCA75" s="1251"/>
      <c r="BCB75" s="1251"/>
      <c r="BCC75" s="1251"/>
      <c r="BCD75" s="1251"/>
      <c r="BCE75" s="1251"/>
      <c r="BCF75" s="1251"/>
      <c r="BCG75" s="1251"/>
      <c r="BCH75" s="1251"/>
      <c r="BCI75" s="1251"/>
      <c r="BCJ75" s="1251"/>
      <c r="BCK75" s="1251"/>
      <c r="BCL75" s="1251"/>
      <c r="BCM75" s="1251"/>
      <c r="BCN75" s="1251"/>
      <c r="BCO75" s="1251"/>
      <c r="BCP75" s="1251"/>
      <c r="BCQ75" s="1251"/>
      <c r="BCR75" s="1251"/>
      <c r="BCS75" s="1251"/>
      <c r="BCT75" s="1251"/>
      <c r="BCU75" s="1251"/>
      <c r="BCV75" s="1251"/>
      <c r="BCW75" s="1251"/>
      <c r="BCX75" s="1251"/>
      <c r="BCY75" s="1251"/>
      <c r="BCZ75" s="1251"/>
      <c r="BDA75" s="1251"/>
      <c r="BDB75" s="1251"/>
      <c r="BDC75" s="1251"/>
      <c r="BDD75" s="1251"/>
      <c r="BDE75" s="1251"/>
      <c r="BDF75" s="1251"/>
      <c r="BDG75" s="1251"/>
      <c r="BDH75" s="1251"/>
      <c r="BDI75" s="1251"/>
      <c r="BDJ75" s="1251"/>
      <c r="BDK75" s="1251"/>
      <c r="BDL75" s="1251"/>
      <c r="BDM75" s="1251"/>
      <c r="BDN75" s="1251"/>
      <c r="BDO75" s="1251"/>
      <c r="BDP75" s="1251"/>
      <c r="BDQ75" s="1251"/>
      <c r="BDR75" s="1251"/>
      <c r="BDS75" s="1251"/>
      <c r="BDT75" s="1251"/>
      <c r="BDU75" s="1251"/>
      <c r="BDV75" s="1251"/>
      <c r="BDW75" s="1251"/>
      <c r="BDX75" s="1251"/>
      <c r="BDY75" s="1251"/>
      <c r="BDZ75" s="1251"/>
      <c r="BEA75" s="1251"/>
      <c r="BEB75" s="1251"/>
      <c r="BEC75" s="1251"/>
      <c r="BED75" s="1251"/>
      <c r="BEE75" s="1251"/>
      <c r="BEF75" s="1251"/>
      <c r="BEG75" s="1251"/>
      <c r="BEH75" s="1251"/>
      <c r="BEI75" s="1251"/>
      <c r="BEJ75" s="1251"/>
      <c r="BEK75" s="1251"/>
      <c r="BEL75" s="1251"/>
      <c r="BEM75" s="1251"/>
      <c r="BEN75" s="1251"/>
      <c r="BEO75" s="1251"/>
      <c r="BEP75" s="1251"/>
      <c r="BEQ75" s="1251"/>
      <c r="BER75" s="1251"/>
      <c r="BES75" s="1251"/>
      <c r="BET75" s="1251"/>
      <c r="BEU75" s="1251"/>
      <c r="BEV75" s="1251"/>
      <c r="BEW75" s="1251"/>
      <c r="BEX75" s="1251"/>
      <c r="BEY75" s="1251"/>
      <c r="BEZ75" s="1251"/>
      <c r="BFA75" s="1251"/>
      <c r="BFB75" s="1251"/>
      <c r="BFC75" s="1251"/>
      <c r="BFD75" s="1251"/>
      <c r="BFE75" s="1251"/>
      <c r="BFF75" s="1251"/>
      <c r="BFG75" s="1251"/>
      <c r="BFH75" s="1251"/>
      <c r="BFI75" s="1251"/>
      <c r="BFJ75" s="1251"/>
      <c r="BFK75" s="1251"/>
      <c r="BFL75" s="1251"/>
      <c r="BFM75" s="1251"/>
      <c r="BFN75" s="1251"/>
      <c r="BFO75" s="1251"/>
      <c r="BFP75" s="1251"/>
      <c r="BFQ75" s="1251"/>
      <c r="BFR75" s="1251"/>
      <c r="BFS75" s="1251"/>
      <c r="BFT75" s="1251"/>
      <c r="BFU75" s="1251"/>
      <c r="BFV75" s="1251"/>
      <c r="BFW75" s="1251"/>
      <c r="BFX75" s="1251"/>
      <c r="BFY75" s="1251"/>
      <c r="BFZ75" s="1251"/>
      <c r="BGA75" s="1251"/>
      <c r="BGB75" s="1251"/>
      <c r="BGC75" s="1251"/>
      <c r="BGD75" s="1251"/>
      <c r="BGE75" s="1251"/>
      <c r="BGF75" s="1251"/>
      <c r="BGG75" s="1251"/>
      <c r="BGH75" s="1251"/>
      <c r="BGI75" s="1251"/>
      <c r="BGJ75" s="1251"/>
      <c r="BGK75" s="1251"/>
      <c r="BGL75" s="1251"/>
      <c r="BGM75" s="1251"/>
      <c r="BGN75" s="1251"/>
      <c r="BGO75" s="1251"/>
      <c r="BGP75" s="1251"/>
      <c r="BGQ75" s="1251"/>
      <c r="BGR75" s="1251"/>
      <c r="BGS75" s="1251"/>
      <c r="BGT75" s="1251"/>
      <c r="BGU75" s="1251"/>
      <c r="BGV75" s="1251"/>
      <c r="BGW75" s="1251"/>
      <c r="BGX75" s="1251"/>
      <c r="BGY75" s="1251"/>
      <c r="BGZ75" s="1251"/>
      <c r="BHA75" s="1251"/>
      <c r="BHB75" s="1251"/>
      <c r="BHC75" s="1251"/>
      <c r="BHD75" s="1251"/>
      <c r="BHE75" s="1251"/>
      <c r="BHF75" s="1251"/>
      <c r="BHG75" s="1251"/>
      <c r="BHH75" s="1251"/>
      <c r="BHI75" s="1251"/>
      <c r="BHJ75" s="1251"/>
      <c r="BHK75" s="1251"/>
      <c r="BHL75" s="1251"/>
      <c r="BHM75" s="1251"/>
      <c r="BHN75" s="1251"/>
      <c r="BHO75" s="1251"/>
      <c r="BHP75" s="1251"/>
      <c r="BHQ75" s="1251"/>
      <c r="BHR75" s="1251"/>
      <c r="BHS75" s="1251"/>
      <c r="BHT75" s="1251"/>
      <c r="BHU75" s="1251"/>
      <c r="BHV75" s="1251"/>
      <c r="BHW75" s="1251"/>
      <c r="BHX75" s="1251"/>
      <c r="BHY75" s="1251"/>
      <c r="BHZ75" s="1251"/>
      <c r="BIA75" s="1251"/>
      <c r="BIB75" s="1251"/>
      <c r="BIC75" s="1251"/>
      <c r="BID75" s="1251"/>
      <c r="BIE75" s="1251"/>
      <c r="BIF75" s="1251"/>
      <c r="BIG75" s="1251"/>
      <c r="BIH75" s="1251"/>
      <c r="BII75" s="1251"/>
      <c r="BIJ75" s="1251"/>
      <c r="BIK75" s="1251"/>
      <c r="BIL75" s="1251"/>
      <c r="BIM75" s="1251"/>
      <c r="BIN75" s="1251"/>
      <c r="BIO75" s="1251"/>
      <c r="BIP75" s="1251"/>
      <c r="BIQ75" s="1251"/>
      <c r="BIR75" s="1251"/>
      <c r="BIS75" s="1251"/>
      <c r="BIT75" s="1251"/>
      <c r="BIU75" s="1251"/>
      <c r="BIV75" s="1251"/>
      <c r="BIW75" s="1251"/>
      <c r="BIX75" s="1251"/>
      <c r="BIY75" s="1251"/>
      <c r="BIZ75" s="1251"/>
      <c r="BJA75" s="1251"/>
      <c r="BJB75" s="1251"/>
      <c r="BJC75" s="1251"/>
      <c r="BJD75" s="1251"/>
      <c r="BJE75" s="1251"/>
      <c r="BJF75" s="1251"/>
      <c r="BJG75" s="1251"/>
      <c r="BJH75" s="1251"/>
      <c r="BJI75" s="1251"/>
      <c r="BJJ75" s="1251"/>
      <c r="BJK75" s="1251"/>
      <c r="BJL75" s="1251"/>
      <c r="BJM75" s="1251"/>
      <c r="BJN75" s="1251"/>
      <c r="BJO75" s="1251"/>
      <c r="BJP75" s="1251"/>
      <c r="BJQ75" s="1251"/>
      <c r="BJR75" s="1251"/>
      <c r="BJS75" s="1251"/>
      <c r="BJT75" s="1251"/>
      <c r="BJU75" s="1251"/>
      <c r="BJV75" s="1251"/>
      <c r="BJW75" s="1251"/>
      <c r="BJX75" s="1251"/>
      <c r="BJY75" s="1251"/>
      <c r="BJZ75" s="1251"/>
      <c r="BKA75" s="1251"/>
      <c r="BKB75" s="1251"/>
      <c r="BKC75" s="1251"/>
      <c r="BKD75" s="1251"/>
      <c r="BKE75" s="1251"/>
      <c r="BKF75" s="1251"/>
      <c r="BKG75" s="1251"/>
      <c r="BKH75" s="1251"/>
      <c r="BKI75" s="1251"/>
      <c r="BKJ75" s="1251"/>
      <c r="BKK75" s="1251"/>
      <c r="BKL75" s="1251"/>
      <c r="BKM75" s="1251"/>
      <c r="BKN75" s="1251"/>
      <c r="BKO75" s="1251"/>
      <c r="BKP75" s="1251"/>
      <c r="BKQ75" s="1251"/>
      <c r="BKR75" s="1251"/>
      <c r="BKS75" s="1251"/>
      <c r="BKT75" s="1251"/>
      <c r="BKU75" s="1251"/>
      <c r="BKV75" s="1251"/>
      <c r="BKW75" s="1251"/>
      <c r="BKX75" s="1251"/>
      <c r="BKY75" s="1251"/>
      <c r="BKZ75" s="1251"/>
      <c r="BLA75" s="1251"/>
      <c r="BLB75" s="1251"/>
      <c r="BLC75" s="1251"/>
      <c r="BLD75" s="1251"/>
      <c r="BLE75" s="1251"/>
      <c r="BLF75" s="1251"/>
      <c r="BLG75" s="1251"/>
      <c r="BLH75" s="1251"/>
      <c r="BLI75" s="1251"/>
      <c r="BLJ75" s="1251"/>
      <c r="BLK75" s="1251"/>
      <c r="BLL75" s="1251"/>
      <c r="BLM75" s="1251"/>
      <c r="BLN75" s="1251"/>
      <c r="BLO75" s="1251"/>
      <c r="BLP75" s="1251"/>
      <c r="BLQ75" s="1251"/>
      <c r="BLR75" s="1251"/>
      <c r="BLS75" s="1251"/>
      <c r="BLT75" s="1251"/>
      <c r="BLU75" s="1251"/>
      <c r="BLV75" s="1251"/>
      <c r="BLW75" s="1251"/>
      <c r="BLX75" s="1251"/>
      <c r="BLY75" s="1251"/>
      <c r="BLZ75" s="1251"/>
      <c r="BMA75" s="1251"/>
      <c r="BMB75" s="1251"/>
      <c r="BMC75" s="1251"/>
      <c r="BMD75" s="1251"/>
      <c r="BME75" s="1251"/>
      <c r="BMF75" s="1251"/>
      <c r="BMG75" s="1251"/>
      <c r="BMH75" s="1251"/>
      <c r="BMI75" s="1251"/>
      <c r="BMJ75" s="1251"/>
      <c r="BMK75" s="1251"/>
      <c r="BML75" s="1251"/>
      <c r="BMM75" s="1251"/>
      <c r="BMN75" s="1251"/>
      <c r="BMO75" s="1251"/>
      <c r="BMP75" s="1251"/>
      <c r="BMQ75" s="1251"/>
      <c r="BMR75" s="1251"/>
      <c r="BMS75" s="1251"/>
      <c r="BMT75" s="1251"/>
      <c r="BMU75" s="1251"/>
      <c r="BMV75" s="1251"/>
      <c r="BMW75" s="1251"/>
      <c r="BMX75" s="1251"/>
      <c r="BMY75" s="1251"/>
      <c r="BMZ75" s="1251"/>
      <c r="BNA75" s="1251"/>
      <c r="BNB75" s="1251"/>
      <c r="BNC75" s="1251"/>
      <c r="BND75" s="1251"/>
      <c r="BNE75" s="1251"/>
      <c r="BNF75" s="1251"/>
      <c r="BNG75" s="1251"/>
      <c r="BNH75" s="1251"/>
      <c r="BNI75" s="1251"/>
      <c r="BNJ75" s="1251"/>
      <c r="BNK75" s="1251"/>
      <c r="BNL75" s="1251"/>
      <c r="BNM75" s="1251"/>
      <c r="BNN75" s="1251"/>
      <c r="BNO75" s="1251"/>
      <c r="BNP75" s="1251"/>
      <c r="BNQ75" s="1251"/>
      <c r="BNR75" s="1251"/>
      <c r="BNS75" s="1251"/>
      <c r="BNT75" s="1251"/>
      <c r="BNU75" s="1251"/>
      <c r="BNV75" s="1251"/>
      <c r="BNW75" s="1251"/>
      <c r="BNX75" s="1251"/>
      <c r="BNY75" s="1251"/>
      <c r="BNZ75" s="1251"/>
      <c r="BOA75" s="1251"/>
      <c r="BOB75" s="1251"/>
      <c r="BOC75" s="1251"/>
      <c r="BOD75" s="1251"/>
      <c r="BOE75" s="1251"/>
      <c r="BOF75" s="1251"/>
      <c r="BOG75" s="1251"/>
      <c r="BOH75" s="1251"/>
      <c r="BOI75" s="1251"/>
      <c r="BOJ75" s="1251"/>
      <c r="BOK75" s="1251"/>
      <c r="BOL75" s="1251"/>
      <c r="BOM75" s="1251"/>
      <c r="BON75" s="1251"/>
      <c r="BOO75" s="1251"/>
      <c r="BOP75" s="1251"/>
      <c r="BOQ75" s="1251"/>
      <c r="BOR75" s="1251"/>
      <c r="BOS75" s="1251"/>
      <c r="BOT75" s="1251"/>
      <c r="BOU75" s="1251"/>
      <c r="BOV75" s="1251"/>
      <c r="BOW75" s="1251"/>
      <c r="BOX75" s="1251"/>
      <c r="BOY75" s="1251"/>
      <c r="BOZ75" s="1251"/>
      <c r="BPA75" s="1251"/>
      <c r="BPB75" s="1251"/>
      <c r="BPC75" s="1251"/>
      <c r="BPD75" s="1251"/>
      <c r="BPE75" s="1251"/>
      <c r="BPF75" s="1251"/>
      <c r="BPG75" s="1251"/>
      <c r="BPH75" s="1251"/>
      <c r="BPI75" s="1251"/>
      <c r="BPJ75" s="1251"/>
      <c r="BPK75" s="1251"/>
      <c r="BPL75" s="1251"/>
      <c r="BPM75" s="1251"/>
      <c r="BPN75" s="1251"/>
      <c r="BPO75" s="1251"/>
      <c r="BPP75" s="1251"/>
      <c r="BPQ75" s="1251"/>
      <c r="BPR75" s="1251"/>
      <c r="BPS75" s="1251"/>
      <c r="BPT75" s="1251"/>
      <c r="BPU75" s="1251"/>
      <c r="BPV75" s="1251"/>
      <c r="BPW75" s="1251"/>
      <c r="BPX75" s="1251"/>
      <c r="BPY75" s="1251"/>
      <c r="BPZ75" s="1251"/>
      <c r="BQA75" s="1251"/>
      <c r="BQB75" s="1251"/>
      <c r="BQC75" s="1251"/>
      <c r="BQD75" s="1251"/>
      <c r="BQE75" s="1251"/>
      <c r="BQF75" s="1251"/>
      <c r="BQG75" s="1251"/>
      <c r="BQH75" s="1251"/>
      <c r="BQI75" s="1251"/>
      <c r="BQJ75" s="1251"/>
      <c r="BQK75" s="1251"/>
      <c r="BQL75" s="1251"/>
      <c r="BQM75" s="1251"/>
      <c r="BQN75" s="1251"/>
      <c r="BQO75" s="1251"/>
      <c r="BQP75" s="1251"/>
      <c r="BQQ75" s="1251"/>
      <c r="BQR75" s="1251"/>
      <c r="BQS75" s="1251"/>
      <c r="BQT75" s="1251"/>
      <c r="BQU75" s="1251"/>
      <c r="BQV75" s="1251"/>
      <c r="BQW75" s="1251"/>
      <c r="BQX75" s="1251"/>
      <c r="BQY75" s="1251"/>
      <c r="BQZ75" s="1251"/>
      <c r="BRA75" s="1251"/>
      <c r="BRB75" s="1251"/>
      <c r="BRC75" s="1251"/>
      <c r="BRD75" s="1251"/>
      <c r="BRE75" s="1251"/>
      <c r="BRF75" s="1251"/>
      <c r="BRG75" s="1251"/>
      <c r="BRH75" s="1251"/>
      <c r="BRI75" s="1251"/>
      <c r="BRJ75" s="1251"/>
      <c r="BRK75" s="1251"/>
      <c r="BRL75" s="1251"/>
      <c r="BRM75" s="1251"/>
      <c r="BRN75" s="1251"/>
      <c r="BRO75" s="1251"/>
      <c r="BRP75" s="1251"/>
      <c r="BRQ75" s="1251"/>
      <c r="BRR75" s="1251"/>
      <c r="BRS75" s="1251"/>
      <c r="BRT75" s="1251"/>
      <c r="BRU75" s="1251"/>
      <c r="BRV75" s="1251"/>
      <c r="BRW75" s="1251"/>
      <c r="BRX75" s="1251"/>
      <c r="BRY75" s="1251"/>
      <c r="BRZ75" s="1251"/>
      <c r="BSA75" s="1251"/>
      <c r="BSB75" s="1251"/>
      <c r="BSC75" s="1251"/>
      <c r="BSD75" s="1251"/>
      <c r="BSE75" s="1251"/>
      <c r="BSF75" s="1251"/>
      <c r="BSG75" s="1251"/>
      <c r="BSH75" s="1251"/>
      <c r="BSI75" s="1251"/>
      <c r="BSJ75" s="1251"/>
      <c r="BSK75" s="1251"/>
      <c r="BSL75" s="1251"/>
      <c r="BSM75" s="1251"/>
      <c r="BSN75" s="1251"/>
      <c r="BSO75" s="1251"/>
      <c r="BSP75" s="1251"/>
      <c r="BSQ75" s="1251"/>
      <c r="BSR75" s="1251"/>
      <c r="BSS75" s="1251"/>
      <c r="BST75" s="1251"/>
      <c r="BSU75" s="1251"/>
      <c r="BSV75" s="1251"/>
      <c r="BSW75" s="1251"/>
      <c r="BSX75" s="1251"/>
      <c r="BSY75" s="1251"/>
      <c r="BSZ75" s="1251"/>
      <c r="BTA75" s="1251"/>
      <c r="BTB75" s="1251"/>
      <c r="BTC75" s="1251"/>
      <c r="BTD75" s="1251"/>
      <c r="BTE75" s="1251"/>
      <c r="BTF75" s="1251"/>
      <c r="BTG75" s="1251"/>
      <c r="BTH75" s="1251"/>
      <c r="BTI75" s="1251"/>
    </row>
    <row r="76" spans="1:1881" s="1261" customFormat="1" ht="69" hidden="1" customHeight="1" thickBot="1" x14ac:dyDescent="0.35">
      <c r="A76" s="1248">
        <v>985</v>
      </c>
      <c r="B76" s="711" t="s">
        <v>988</v>
      </c>
      <c r="C76" s="711" t="s">
        <v>1369</v>
      </c>
      <c r="D76" s="751" t="s">
        <v>1465</v>
      </c>
      <c r="E76" s="1249" t="s">
        <v>989</v>
      </c>
      <c r="F76" s="1263">
        <v>0</v>
      </c>
      <c r="G76" s="727"/>
      <c r="H76" s="17"/>
      <c r="I76" s="760"/>
      <c r="J76" s="1252"/>
      <c r="K76" s="1251"/>
      <c r="L76" s="701"/>
      <c r="M76" s="1251"/>
      <c r="N76" s="1253"/>
      <c r="O76" s="1251"/>
      <c r="P76" s="1251"/>
      <c r="Q76" s="1251"/>
      <c r="R76" s="1251"/>
      <c r="S76" s="1251"/>
      <c r="T76" s="1251"/>
      <c r="U76" s="1251"/>
      <c r="V76" s="1251"/>
      <c r="W76" s="1251"/>
      <c r="X76" s="1251"/>
      <c r="Y76" s="1251"/>
      <c r="Z76" s="1248"/>
      <c r="AA76" s="1248"/>
      <c r="AB76" s="1248"/>
      <c r="AC76" s="1248"/>
      <c r="AD76" s="1248"/>
      <c r="AE76" s="1248"/>
      <c r="AF76" s="1248"/>
      <c r="AG76" s="1248"/>
      <c r="AH76" s="1248"/>
      <c r="AI76" s="1248"/>
      <c r="AJ76" s="1248"/>
      <c r="AK76" s="1248"/>
      <c r="AL76" s="1248"/>
      <c r="AM76" s="1248"/>
      <c r="AN76" s="1248"/>
      <c r="AO76" s="1248"/>
      <c r="AP76" s="1248"/>
      <c r="AQ76" s="1248"/>
      <c r="AR76" s="1248"/>
      <c r="AS76" s="1251"/>
      <c r="AT76" s="1251"/>
      <c r="AU76" s="1251"/>
      <c r="AV76" s="1251"/>
      <c r="AW76" s="1251"/>
      <c r="AX76" s="1251"/>
      <c r="AY76" s="1251"/>
      <c r="AZ76" s="1251"/>
      <c r="BA76" s="1251"/>
      <c r="BB76" s="1251"/>
      <c r="BC76" s="1251"/>
      <c r="BD76" s="1251"/>
      <c r="BE76" s="1251"/>
      <c r="BF76" s="1251"/>
      <c r="BG76" s="1251"/>
      <c r="BH76" s="1251"/>
      <c r="BI76" s="1251"/>
      <c r="BJ76" s="1251"/>
      <c r="BK76" s="1251"/>
      <c r="BL76" s="1251"/>
      <c r="BM76" s="1251"/>
      <c r="BN76" s="1251"/>
      <c r="BO76" s="1251"/>
      <c r="BP76" s="1251"/>
      <c r="BQ76" s="1251"/>
      <c r="BR76" s="1251"/>
      <c r="BS76" s="1251"/>
      <c r="BT76" s="1251"/>
      <c r="BU76" s="1251"/>
      <c r="BV76" s="1251"/>
      <c r="BW76" s="1251"/>
      <c r="BX76" s="1251"/>
      <c r="BY76" s="1251"/>
      <c r="BZ76" s="1251"/>
      <c r="CA76" s="1251"/>
      <c r="CB76" s="1251"/>
      <c r="CC76" s="1251"/>
      <c r="CD76" s="1251"/>
      <c r="CE76" s="1251"/>
      <c r="CF76" s="1251"/>
      <c r="CG76" s="1251"/>
      <c r="CH76" s="1251"/>
      <c r="CI76" s="1251"/>
      <c r="CJ76" s="1251"/>
      <c r="CK76" s="1251"/>
      <c r="CL76" s="1251"/>
      <c r="CM76" s="1251"/>
      <c r="CN76" s="1251"/>
      <c r="CO76" s="1251"/>
      <c r="CP76" s="1251"/>
      <c r="CQ76" s="1251"/>
      <c r="CR76" s="1251"/>
      <c r="CS76" s="1251"/>
      <c r="CT76" s="1251"/>
      <c r="CU76" s="1251"/>
      <c r="CV76" s="1251"/>
      <c r="CW76" s="1251"/>
      <c r="CX76" s="1251"/>
      <c r="CY76" s="1251"/>
      <c r="CZ76" s="1251"/>
      <c r="DA76" s="1251"/>
      <c r="DB76" s="1251"/>
      <c r="DC76" s="1251"/>
      <c r="DD76" s="1251"/>
      <c r="DE76" s="1251"/>
      <c r="DF76" s="1251"/>
      <c r="DG76" s="1251"/>
      <c r="DH76" s="1251"/>
      <c r="DI76" s="1251"/>
      <c r="DJ76" s="1251"/>
      <c r="DK76" s="1251"/>
      <c r="DL76" s="1251"/>
      <c r="DM76" s="1251"/>
      <c r="DN76" s="1251"/>
      <c r="DO76" s="1251"/>
      <c r="DP76" s="1251"/>
      <c r="DQ76" s="1251"/>
      <c r="DR76" s="1251"/>
      <c r="DS76" s="1251"/>
      <c r="DT76" s="1251"/>
      <c r="DU76" s="1251"/>
      <c r="DV76" s="1251"/>
      <c r="DW76" s="1251"/>
      <c r="DX76" s="1251"/>
      <c r="DY76" s="1251"/>
      <c r="DZ76" s="1251"/>
      <c r="EA76" s="1251"/>
      <c r="EB76" s="1251"/>
      <c r="EC76" s="1251"/>
      <c r="ED76" s="1251"/>
      <c r="EE76" s="1251"/>
      <c r="EF76" s="1251"/>
      <c r="EG76" s="1251"/>
      <c r="EH76" s="1251"/>
      <c r="EI76" s="1251"/>
      <c r="EJ76" s="1251"/>
      <c r="EK76" s="1251"/>
      <c r="EL76" s="1251"/>
      <c r="EM76" s="1251"/>
      <c r="EN76" s="1251"/>
      <c r="EO76" s="1251"/>
      <c r="EP76" s="1251"/>
      <c r="EQ76" s="1251"/>
      <c r="ER76" s="1251"/>
      <c r="ES76" s="1251"/>
      <c r="ET76" s="1251"/>
      <c r="EU76" s="1251"/>
      <c r="EV76" s="1251"/>
      <c r="EW76" s="1251"/>
      <c r="EX76" s="1251"/>
      <c r="EY76" s="1251"/>
      <c r="EZ76" s="1251"/>
      <c r="FA76" s="1251"/>
      <c r="FB76" s="1251"/>
      <c r="FC76" s="1251"/>
      <c r="FD76" s="1251"/>
      <c r="FE76" s="1251"/>
      <c r="FF76" s="1251"/>
      <c r="FG76" s="1251"/>
      <c r="FH76" s="1251"/>
      <c r="FI76" s="1251"/>
      <c r="FJ76" s="1251"/>
      <c r="FK76" s="1251"/>
      <c r="FL76" s="1251"/>
      <c r="FM76" s="1251"/>
      <c r="FN76" s="1251"/>
      <c r="FO76" s="1251"/>
      <c r="FP76" s="1251"/>
      <c r="FQ76" s="1251"/>
      <c r="FR76" s="1251"/>
      <c r="FS76" s="1251"/>
      <c r="FT76" s="1251"/>
      <c r="FU76" s="1251"/>
      <c r="FV76" s="1251"/>
      <c r="FW76" s="1251"/>
      <c r="FX76" s="1251"/>
      <c r="FY76" s="1251"/>
      <c r="FZ76" s="1251"/>
      <c r="GA76" s="1251"/>
      <c r="GB76" s="1251"/>
      <c r="GC76" s="1251"/>
      <c r="GD76" s="1251"/>
      <c r="GE76" s="1251"/>
      <c r="GF76" s="1251"/>
      <c r="GG76" s="1251"/>
      <c r="GH76" s="1251"/>
      <c r="GI76" s="1251"/>
      <c r="GJ76" s="1251"/>
      <c r="GK76" s="1251"/>
      <c r="GL76" s="1251"/>
      <c r="GM76" s="1251"/>
      <c r="GN76" s="1251"/>
      <c r="GO76" s="1251"/>
      <c r="GP76" s="1251"/>
      <c r="GQ76" s="1251"/>
      <c r="GR76" s="1251"/>
      <c r="GS76" s="1251"/>
      <c r="GT76" s="1251"/>
      <c r="GU76" s="1251"/>
      <c r="GV76" s="1251"/>
      <c r="GW76" s="1251"/>
      <c r="GX76" s="1251"/>
      <c r="GY76" s="1251"/>
      <c r="GZ76" s="1251"/>
      <c r="HA76" s="1251"/>
      <c r="HB76" s="1251"/>
      <c r="HC76" s="1251"/>
      <c r="HD76" s="1251"/>
      <c r="HE76" s="1251"/>
      <c r="HF76" s="1251"/>
      <c r="HG76" s="1251"/>
      <c r="HH76" s="1251"/>
      <c r="HI76" s="1251"/>
      <c r="HJ76" s="1251"/>
      <c r="HK76" s="1251"/>
      <c r="HL76" s="1251"/>
      <c r="HM76" s="1251"/>
      <c r="HN76" s="1251"/>
      <c r="HO76" s="1251"/>
      <c r="HP76" s="1251"/>
      <c r="HQ76" s="1251"/>
      <c r="HR76" s="1251"/>
      <c r="HS76" s="1251"/>
      <c r="HT76" s="1251"/>
      <c r="HU76" s="1251"/>
      <c r="HV76" s="1251"/>
      <c r="HW76" s="1251"/>
      <c r="HX76" s="1251"/>
      <c r="HY76" s="1251"/>
      <c r="HZ76" s="1251"/>
      <c r="IA76" s="1251"/>
      <c r="IB76" s="1251"/>
      <c r="IC76" s="1251"/>
      <c r="ID76" s="1251"/>
      <c r="IE76" s="1251"/>
      <c r="IF76" s="1251"/>
      <c r="IG76" s="1251"/>
      <c r="IH76" s="1251"/>
      <c r="II76" s="1251"/>
      <c r="IJ76" s="1251"/>
      <c r="IK76" s="1251"/>
      <c r="IL76" s="1251"/>
      <c r="IM76" s="1251"/>
      <c r="IN76" s="1251"/>
      <c r="IO76" s="1251"/>
      <c r="IP76" s="1251"/>
      <c r="IQ76" s="1251"/>
      <c r="IR76" s="1251"/>
      <c r="IS76" s="1251"/>
      <c r="IT76" s="1251"/>
      <c r="IU76" s="1251"/>
      <c r="IV76" s="1251"/>
      <c r="IW76" s="1251"/>
      <c r="IX76" s="1251"/>
      <c r="IY76" s="1251"/>
      <c r="IZ76" s="1251"/>
      <c r="JA76" s="1251"/>
      <c r="JB76" s="1251"/>
      <c r="JC76" s="1251"/>
      <c r="JD76" s="1251"/>
      <c r="JE76" s="1251"/>
      <c r="JF76" s="1251"/>
      <c r="JG76" s="1251"/>
      <c r="JH76" s="1251"/>
      <c r="JI76" s="1251"/>
      <c r="JJ76" s="1251"/>
      <c r="JK76" s="1251"/>
      <c r="JL76" s="1251"/>
      <c r="JM76" s="1251"/>
      <c r="JN76" s="1251"/>
      <c r="JO76" s="1251"/>
      <c r="JP76" s="1251"/>
      <c r="JQ76" s="1251"/>
      <c r="JR76" s="1251"/>
      <c r="JS76" s="1251"/>
      <c r="JT76" s="1251"/>
      <c r="JU76" s="1251"/>
      <c r="JV76" s="1251"/>
      <c r="JW76" s="1251"/>
      <c r="JX76" s="1251"/>
      <c r="JY76" s="1251"/>
      <c r="JZ76" s="1251"/>
      <c r="KA76" s="1251"/>
      <c r="KB76" s="1251"/>
      <c r="KC76" s="1251"/>
      <c r="KD76" s="1251"/>
      <c r="KE76" s="1251"/>
      <c r="KF76" s="1251"/>
      <c r="KG76" s="1251"/>
      <c r="KH76" s="1251"/>
      <c r="KI76" s="1251"/>
      <c r="KJ76" s="1251"/>
      <c r="KK76" s="1251"/>
      <c r="KL76" s="1251"/>
      <c r="KM76" s="1251"/>
      <c r="KN76" s="1251"/>
      <c r="KO76" s="1251"/>
      <c r="KP76" s="1251"/>
      <c r="KQ76" s="1251"/>
      <c r="KR76" s="1251"/>
      <c r="KS76" s="1251"/>
      <c r="KT76" s="1251"/>
      <c r="KU76" s="1251"/>
      <c r="KV76" s="1251"/>
      <c r="KW76" s="1251"/>
      <c r="KX76" s="1251"/>
      <c r="KY76" s="1251"/>
      <c r="KZ76" s="1251"/>
      <c r="LA76" s="1251"/>
      <c r="LB76" s="1251"/>
      <c r="LC76" s="1251"/>
      <c r="LD76" s="1251"/>
      <c r="LE76" s="1251"/>
      <c r="LF76" s="1251"/>
      <c r="LG76" s="1251"/>
      <c r="LH76" s="1251"/>
      <c r="LI76" s="1251"/>
      <c r="LJ76" s="1251"/>
      <c r="LK76" s="1251"/>
      <c r="LL76" s="1251"/>
      <c r="LM76" s="1251"/>
      <c r="LN76" s="1251"/>
      <c r="LO76" s="1251"/>
      <c r="LP76" s="1251"/>
      <c r="LQ76" s="1251"/>
      <c r="LR76" s="1251"/>
      <c r="LS76" s="1251"/>
      <c r="LT76" s="1251"/>
      <c r="LU76" s="1251"/>
      <c r="LV76" s="1251"/>
      <c r="LW76" s="1251"/>
      <c r="LX76" s="1251"/>
      <c r="LY76" s="1251"/>
      <c r="LZ76" s="1251"/>
      <c r="MA76" s="1251"/>
      <c r="MB76" s="1251"/>
      <c r="MC76" s="1251"/>
      <c r="MD76" s="1251"/>
      <c r="ME76" s="1251"/>
      <c r="MF76" s="1251"/>
      <c r="MG76" s="1251"/>
      <c r="MH76" s="1251"/>
      <c r="MI76" s="1251"/>
      <c r="MJ76" s="1251"/>
      <c r="MK76" s="1251"/>
      <c r="ML76" s="1251"/>
      <c r="MM76" s="1251"/>
      <c r="MN76" s="1251"/>
      <c r="MO76" s="1251"/>
      <c r="MP76" s="1251"/>
      <c r="MQ76" s="1251"/>
      <c r="MR76" s="1251"/>
      <c r="MS76" s="1251"/>
      <c r="MT76" s="1251"/>
      <c r="MU76" s="1251"/>
      <c r="MV76" s="1251"/>
      <c r="MW76" s="1251"/>
      <c r="MX76" s="1251"/>
      <c r="MY76" s="1251"/>
      <c r="MZ76" s="1251"/>
      <c r="NA76" s="1251"/>
      <c r="NB76" s="1251"/>
      <c r="NC76" s="1251"/>
      <c r="ND76" s="1251"/>
      <c r="NE76" s="1251"/>
      <c r="NF76" s="1251"/>
      <c r="NG76" s="1251"/>
      <c r="NH76" s="1251"/>
      <c r="NI76" s="1251"/>
      <c r="NJ76" s="1251"/>
      <c r="NK76" s="1251"/>
      <c r="NL76" s="1251"/>
      <c r="NM76" s="1251"/>
      <c r="NN76" s="1251"/>
      <c r="NO76" s="1251"/>
      <c r="NP76" s="1251"/>
      <c r="NQ76" s="1251"/>
      <c r="NR76" s="1251"/>
      <c r="NS76" s="1251"/>
      <c r="NT76" s="1251"/>
      <c r="NU76" s="1251"/>
      <c r="NV76" s="1251"/>
      <c r="NW76" s="1251"/>
      <c r="NX76" s="1251"/>
      <c r="NY76" s="1251"/>
      <c r="NZ76" s="1251"/>
      <c r="OA76" s="1251"/>
      <c r="OB76" s="1251"/>
      <c r="OC76" s="1251"/>
      <c r="OD76" s="1251"/>
      <c r="OE76" s="1251"/>
      <c r="OF76" s="1251"/>
      <c r="OG76" s="1251"/>
      <c r="OH76" s="1251"/>
      <c r="OI76" s="1251"/>
      <c r="OJ76" s="1251"/>
      <c r="OK76" s="1251"/>
      <c r="OL76" s="1251"/>
      <c r="OM76" s="1251"/>
      <c r="ON76" s="1251"/>
      <c r="OO76" s="1251"/>
      <c r="OP76" s="1251"/>
      <c r="OQ76" s="1251"/>
      <c r="OR76" s="1251"/>
      <c r="OS76" s="1251"/>
      <c r="OT76" s="1251"/>
      <c r="OU76" s="1251"/>
      <c r="OV76" s="1251"/>
      <c r="OW76" s="1251"/>
      <c r="OX76" s="1251"/>
      <c r="OY76" s="1251"/>
      <c r="OZ76" s="1251"/>
      <c r="PA76" s="1251"/>
      <c r="PB76" s="1251"/>
      <c r="PC76" s="1251"/>
      <c r="PD76" s="1251"/>
      <c r="PE76" s="1251"/>
      <c r="PF76" s="1251"/>
      <c r="PG76" s="1251"/>
      <c r="PH76" s="1251"/>
      <c r="PI76" s="1251"/>
      <c r="PJ76" s="1251"/>
      <c r="PK76" s="1251"/>
      <c r="PL76" s="1251"/>
      <c r="PM76" s="1251"/>
      <c r="PN76" s="1251"/>
      <c r="PO76" s="1251"/>
      <c r="PP76" s="1251"/>
      <c r="PQ76" s="1251"/>
      <c r="PR76" s="1251"/>
      <c r="PS76" s="1251"/>
      <c r="PT76" s="1251"/>
      <c r="PU76" s="1251"/>
      <c r="PV76" s="1251"/>
      <c r="PW76" s="1251"/>
      <c r="PX76" s="1251"/>
      <c r="PY76" s="1251"/>
      <c r="PZ76" s="1251"/>
      <c r="QA76" s="1251"/>
      <c r="QB76" s="1251"/>
      <c r="QC76" s="1251"/>
      <c r="QD76" s="1251"/>
      <c r="QE76" s="1251"/>
      <c r="QF76" s="1251"/>
      <c r="QG76" s="1251"/>
      <c r="QH76" s="1251"/>
      <c r="QI76" s="1251"/>
      <c r="QJ76" s="1251"/>
      <c r="QK76" s="1251"/>
      <c r="QL76" s="1251"/>
      <c r="QM76" s="1251"/>
      <c r="QN76" s="1251"/>
      <c r="QO76" s="1251"/>
      <c r="QP76" s="1251"/>
      <c r="QQ76" s="1251"/>
      <c r="QR76" s="1251"/>
      <c r="QS76" s="1251"/>
      <c r="QT76" s="1251"/>
      <c r="QU76" s="1251"/>
      <c r="QV76" s="1251"/>
      <c r="QW76" s="1251"/>
      <c r="QX76" s="1251"/>
      <c r="QY76" s="1251"/>
      <c r="QZ76" s="1251"/>
      <c r="RA76" s="1251"/>
      <c r="RB76" s="1251"/>
      <c r="RC76" s="1251"/>
      <c r="RD76" s="1251"/>
      <c r="RE76" s="1251"/>
      <c r="RF76" s="1251"/>
      <c r="RG76" s="1251"/>
      <c r="RH76" s="1251"/>
      <c r="RI76" s="1251"/>
      <c r="RJ76" s="1251"/>
      <c r="RK76" s="1251"/>
      <c r="RL76" s="1251"/>
      <c r="RM76" s="1251"/>
      <c r="RN76" s="1251"/>
      <c r="RO76" s="1251"/>
      <c r="RP76" s="1251"/>
      <c r="RQ76" s="1251"/>
      <c r="RR76" s="1251"/>
      <c r="RS76" s="1251"/>
      <c r="RT76" s="1251"/>
      <c r="RU76" s="1251"/>
      <c r="RV76" s="1251"/>
      <c r="RW76" s="1251"/>
      <c r="RX76" s="1251"/>
      <c r="RY76" s="1251"/>
      <c r="RZ76" s="1251"/>
      <c r="SA76" s="1251"/>
      <c r="SB76" s="1251"/>
      <c r="SC76" s="1251"/>
      <c r="SD76" s="1251"/>
      <c r="SE76" s="1251"/>
      <c r="SF76" s="1251"/>
      <c r="SG76" s="1251"/>
      <c r="SH76" s="1251"/>
      <c r="SI76" s="1251"/>
      <c r="SJ76" s="1251"/>
      <c r="SK76" s="1251"/>
      <c r="SL76" s="1251"/>
      <c r="SM76" s="1251"/>
      <c r="SN76" s="1251"/>
      <c r="SO76" s="1251"/>
      <c r="SP76" s="1251"/>
      <c r="SQ76" s="1251"/>
      <c r="SR76" s="1251"/>
      <c r="SS76" s="1251"/>
      <c r="ST76" s="1251"/>
      <c r="SU76" s="1251"/>
      <c r="SV76" s="1251"/>
      <c r="SW76" s="1251"/>
      <c r="SX76" s="1251"/>
      <c r="SY76" s="1251"/>
      <c r="SZ76" s="1251"/>
      <c r="TA76" s="1251"/>
      <c r="TB76" s="1251"/>
      <c r="TC76" s="1251"/>
      <c r="TD76" s="1251"/>
      <c r="TE76" s="1251"/>
      <c r="TF76" s="1251"/>
      <c r="TG76" s="1251"/>
      <c r="TH76" s="1251"/>
      <c r="TI76" s="1251"/>
      <c r="TJ76" s="1251"/>
      <c r="TK76" s="1251"/>
      <c r="TL76" s="1251"/>
      <c r="TM76" s="1251"/>
      <c r="TN76" s="1251"/>
      <c r="TO76" s="1251"/>
      <c r="TP76" s="1251"/>
      <c r="TQ76" s="1251"/>
      <c r="TR76" s="1251"/>
      <c r="TS76" s="1251"/>
      <c r="TT76" s="1251"/>
      <c r="TU76" s="1251"/>
      <c r="TV76" s="1251"/>
      <c r="TW76" s="1251"/>
      <c r="TX76" s="1251"/>
      <c r="TY76" s="1251"/>
      <c r="TZ76" s="1251"/>
      <c r="UA76" s="1251"/>
      <c r="UB76" s="1251"/>
      <c r="UC76" s="1251"/>
      <c r="UD76" s="1251"/>
      <c r="UE76" s="1251"/>
      <c r="UF76" s="1251"/>
      <c r="UG76" s="1251"/>
      <c r="UH76" s="1251"/>
      <c r="UI76" s="1251"/>
      <c r="UJ76" s="1251"/>
      <c r="UK76" s="1251"/>
      <c r="UL76" s="1251"/>
      <c r="UM76" s="1251"/>
      <c r="UN76" s="1251"/>
      <c r="UO76" s="1251"/>
      <c r="UP76" s="1251"/>
      <c r="UQ76" s="1251"/>
      <c r="UR76" s="1251"/>
      <c r="US76" s="1251"/>
      <c r="UT76" s="1251"/>
      <c r="UU76" s="1251"/>
      <c r="UV76" s="1251"/>
      <c r="UW76" s="1251"/>
      <c r="UX76" s="1251"/>
      <c r="UY76" s="1251"/>
      <c r="UZ76" s="1251"/>
      <c r="VA76" s="1251"/>
      <c r="VB76" s="1251"/>
      <c r="VC76" s="1251"/>
      <c r="VD76" s="1251"/>
      <c r="VE76" s="1251"/>
      <c r="VF76" s="1251"/>
      <c r="VG76" s="1251"/>
      <c r="VH76" s="1251"/>
      <c r="VI76" s="1251"/>
      <c r="VJ76" s="1251"/>
      <c r="VK76" s="1251"/>
      <c r="VL76" s="1251"/>
      <c r="VM76" s="1251"/>
      <c r="VN76" s="1251"/>
      <c r="VO76" s="1251"/>
      <c r="VP76" s="1251"/>
      <c r="VQ76" s="1251"/>
      <c r="VR76" s="1251"/>
      <c r="VS76" s="1251"/>
      <c r="VT76" s="1251"/>
      <c r="VU76" s="1251"/>
      <c r="VV76" s="1251"/>
      <c r="VW76" s="1251"/>
      <c r="VX76" s="1251"/>
      <c r="VY76" s="1251"/>
      <c r="VZ76" s="1251"/>
      <c r="WA76" s="1251"/>
      <c r="WB76" s="1251"/>
      <c r="WC76" s="1251"/>
      <c r="WD76" s="1251"/>
      <c r="WE76" s="1251"/>
      <c r="WF76" s="1251"/>
      <c r="WG76" s="1251"/>
      <c r="WH76" s="1251"/>
      <c r="WI76" s="1251"/>
      <c r="WJ76" s="1251"/>
      <c r="WK76" s="1251"/>
      <c r="WL76" s="1251"/>
      <c r="WM76" s="1251"/>
      <c r="WN76" s="1251"/>
      <c r="WO76" s="1251"/>
      <c r="WP76" s="1251"/>
      <c r="WQ76" s="1251"/>
      <c r="WR76" s="1251"/>
      <c r="WS76" s="1251"/>
      <c r="WT76" s="1251"/>
      <c r="WU76" s="1251"/>
      <c r="WV76" s="1251"/>
      <c r="WW76" s="1251"/>
      <c r="WX76" s="1251"/>
      <c r="WY76" s="1251"/>
      <c r="WZ76" s="1251"/>
      <c r="XA76" s="1251"/>
      <c r="XB76" s="1251"/>
      <c r="XC76" s="1251"/>
      <c r="XD76" s="1251"/>
      <c r="XE76" s="1251"/>
      <c r="XF76" s="1251"/>
      <c r="XG76" s="1251"/>
      <c r="XH76" s="1251"/>
      <c r="XI76" s="1251"/>
      <c r="XJ76" s="1251"/>
      <c r="XK76" s="1251"/>
      <c r="XL76" s="1251"/>
      <c r="XM76" s="1251"/>
      <c r="XN76" s="1251"/>
      <c r="XO76" s="1251"/>
      <c r="XP76" s="1251"/>
      <c r="XQ76" s="1251"/>
      <c r="XR76" s="1251"/>
      <c r="XS76" s="1251"/>
      <c r="XT76" s="1251"/>
      <c r="XU76" s="1251"/>
      <c r="XV76" s="1251"/>
      <c r="XW76" s="1251"/>
      <c r="XX76" s="1251"/>
      <c r="XY76" s="1251"/>
      <c r="XZ76" s="1251"/>
      <c r="YA76" s="1251"/>
      <c r="YB76" s="1251"/>
      <c r="YC76" s="1251"/>
      <c r="YD76" s="1251"/>
      <c r="YE76" s="1251"/>
      <c r="YF76" s="1251"/>
      <c r="YG76" s="1251"/>
      <c r="YH76" s="1251"/>
      <c r="YI76" s="1251"/>
      <c r="YJ76" s="1251"/>
      <c r="YK76" s="1251"/>
      <c r="YL76" s="1251"/>
      <c r="YM76" s="1251"/>
      <c r="YN76" s="1251"/>
      <c r="YO76" s="1251"/>
      <c r="YP76" s="1251"/>
      <c r="YQ76" s="1251"/>
      <c r="YR76" s="1251"/>
      <c r="YS76" s="1251"/>
      <c r="YT76" s="1251"/>
      <c r="YU76" s="1251"/>
      <c r="YV76" s="1251"/>
      <c r="YW76" s="1251"/>
      <c r="YX76" s="1251"/>
      <c r="YY76" s="1251"/>
      <c r="YZ76" s="1251"/>
      <c r="ZA76" s="1251"/>
      <c r="ZB76" s="1251"/>
      <c r="ZC76" s="1251"/>
      <c r="ZD76" s="1251"/>
      <c r="ZE76" s="1251"/>
      <c r="ZF76" s="1251"/>
      <c r="ZG76" s="1251"/>
      <c r="ZH76" s="1251"/>
      <c r="ZI76" s="1251"/>
      <c r="ZJ76" s="1251"/>
      <c r="ZK76" s="1251"/>
      <c r="ZL76" s="1251"/>
      <c r="ZM76" s="1251"/>
      <c r="ZN76" s="1251"/>
      <c r="ZO76" s="1251"/>
      <c r="ZP76" s="1251"/>
      <c r="ZQ76" s="1251"/>
      <c r="ZR76" s="1251"/>
      <c r="ZS76" s="1251"/>
      <c r="ZT76" s="1251"/>
      <c r="ZU76" s="1251"/>
      <c r="ZV76" s="1251"/>
      <c r="ZW76" s="1251"/>
      <c r="ZX76" s="1251"/>
      <c r="ZY76" s="1251"/>
      <c r="ZZ76" s="1251"/>
      <c r="AAA76" s="1251"/>
      <c r="AAB76" s="1251"/>
      <c r="AAC76" s="1251"/>
      <c r="AAD76" s="1251"/>
      <c r="AAE76" s="1251"/>
      <c r="AAF76" s="1251"/>
      <c r="AAG76" s="1251"/>
      <c r="AAH76" s="1251"/>
      <c r="AAI76" s="1251"/>
      <c r="AAJ76" s="1251"/>
      <c r="AAK76" s="1251"/>
      <c r="AAL76" s="1251"/>
      <c r="AAM76" s="1251"/>
      <c r="AAN76" s="1251"/>
      <c r="AAO76" s="1251"/>
      <c r="AAP76" s="1251"/>
      <c r="AAQ76" s="1251"/>
      <c r="AAR76" s="1251"/>
      <c r="AAS76" s="1251"/>
      <c r="AAT76" s="1251"/>
      <c r="AAU76" s="1251"/>
      <c r="AAV76" s="1251"/>
      <c r="AAW76" s="1251"/>
      <c r="AAX76" s="1251"/>
      <c r="AAY76" s="1251"/>
      <c r="AAZ76" s="1251"/>
      <c r="ABA76" s="1251"/>
      <c r="ABB76" s="1251"/>
      <c r="ABC76" s="1251"/>
      <c r="ABD76" s="1251"/>
      <c r="ABE76" s="1251"/>
      <c r="ABF76" s="1251"/>
      <c r="ABG76" s="1251"/>
      <c r="ABH76" s="1251"/>
      <c r="ABI76" s="1251"/>
      <c r="ABJ76" s="1251"/>
      <c r="ABK76" s="1251"/>
      <c r="ABL76" s="1251"/>
      <c r="ABM76" s="1251"/>
      <c r="ABN76" s="1251"/>
      <c r="ABO76" s="1251"/>
      <c r="ABP76" s="1251"/>
      <c r="ABQ76" s="1251"/>
      <c r="ABR76" s="1251"/>
      <c r="ABS76" s="1251"/>
      <c r="ABT76" s="1251"/>
      <c r="ABU76" s="1251"/>
      <c r="ABV76" s="1251"/>
      <c r="ABW76" s="1251"/>
      <c r="ABX76" s="1251"/>
      <c r="ABY76" s="1251"/>
      <c r="ABZ76" s="1251"/>
      <c r="ACA76" s="1251"/>
      <c r="ACB76" s="1251"/>
      <c r="ACC76" s="1251"/>
      <c r="ACD76" s="1251"/>
      <c r="ACE76" s="1251"/>
      <c r="ACF76" s="1251"/>
      <c r="ACG76" s="1251"/>
      <c r="ACH76" s="1251"/>
      <c r="ACI76" s="1251"/>
      <c r="ACJ76" s="1251"/>
      <c r="ACK76" s="1251"/>
      <c r="ACL76" s="1251"/>
      <c r="ACM76" s="1251"/>
      <c r="ACN76" s="1251"/>
      <c r="ACO76" s="1251"/>
      <c r="ACP76" s="1251"/>
      <c r="ACQ76" s="1251"/>
      <c r="ACR76" s="1251"/>
      <c r="ACS76" s="1251"/>
      <c r="ACT76" s="1251"/>
      <c r="ACU76" s="1251"/>
      <c r="ACV76" s="1251"/>
      <c r="ACW76" s="1251"/>
      <c r="ACX76" s="1251"/>
      <c r="ACY76" s="1251"/>
      <c r="ACZ76" s="1251"/>
      <c r="ADA76" s="1251"/>
      <c r="ADB76" s="1251"/>
      <c r="ADC76" s="1251"/>
      <c r="ADD76" s="1251"/>
      <c r="ADE76" s="1251"/>
      <c r="ADF76" s="1251"/>
      <c r="ADG76" s="1251"/>
      <c r="ADH76" s="1251"/>
      <c r="ADI76" s="1251"/>
      <c r="ADJ76" s="1251"/>
      <c r="ADK76" s="1251"/>
      <c r="ADL76" s="1251"/>
      <c r="ADM76" s="1251"/>
      <c r="ADN76" s="1251"/>
      <c r="ADO76" s="1251"/>
      <c r="ADP76" s="1251"/>
      <c r="ADQ76" s="1251"/>
      <c r="ADR76" s="1251"/>
      <c r="ADS76" s="1251"/>
      <c r="ADT76" s="1251"/>
      <c r="ADU76" s="1251"/>
      <c r="ADV76" s="1251"/>
      <c r="ADW76" s="1251"/>
      <c r="ADX76" s="1251"/>
      <c r="ADY76" s="1251"/>
      <c r="ADZ76" s="1251"/>
      <c r="AEA76" s="1251"/>
      <c r="AEB76" s="1251"/>
      <c r="AEC76" s="1251"/>
      <c r="AED76" s="1251"/>
      <c r="AEE76" s="1251"/>
      <c r="AEF76" s="1251"/>
      <c r="AEG76" s="1251"/>
      <c r="AEH76" s="1251"/>
      <c r="AEI76" s="1251"/>
      <c r="AEJ76" s="1251"/>
      <c r="AEK76" s="1251"/>
      <c r="AEL76" s="1251"/>
      <c r="AEM76" s="1251"/>
      <c r="AEN76" s="1251"/>
      <c r="AEO76" s="1251"/>
      <c r="AEP76" s="1251"/>
      <c r="AEQ76" s="1251"/>
      <c r="AER76" s="1251"/>
      <c r="AES76" s="1251"/>
      <c r="AET76" s="1251"/>
      <c r="AEU76" s="1251"/>
      <c r="AEV76" s="1251"/>
      <c r="AEW76" s="1251"/>
      <c r="AEX76" s="1251"/>
      <c r="AEY76" s="1251"/>
      <c r="AEZ76" s="1251"/>
      <c r="AFA76" s="1251"/>
      <c r="AFB76" s="1251"/>
      <c r="AFC76" s="1251"/>
      <c r="AFD76" s="1251"/>
      <c r="AFE76" s="1251"/>
      <c r="AFF76" s="1251"/>
      <c r="AFG76" s="1251"/>
      <c r="AFH76" s="1251"/>
      <c r="AFI76" s="1251"/>
      <c r="AFJ76" s="1251"/>
      <c r="AFK76" s="1251"/>
      <c r="AFL76" s="1251"/>
      <c r="AFM76" s="1251"/>
      <c r="AFN76" s="1251"/>
      <c r="AFO76" s="1251"/>
      <c r="AFP76" s="1251"/>
      <c r="AFQ76" s="1251"/>
      <c r="AFR76" s="1251"/>
      <c r="AFS76" s="1251"/>
      <c r="AFT76" s="1251"/>
      <c r="AFU76" s="1251"/>
      <c r="AFV76" s="1251"/>
      <c r="AFW76" s="1251"/>
      <c r="AFX76" s="1251"/>
      <c r="AFY76" s="1251"/>
      <c r="AFZ76" s="1251"/>
      <c r="AGA76" s="1251"/>
      <c r="AGB76" s="1251"/>
      <c r="AGC76" s="1251"/>
      <c r="AGD76" s="1251"/>
      <c r="AGE76" s="1251"/>
      <c r="AGF76" s="1251"/>
      <c r="AGG76" s="1251"/>
      <c r="AGH76" s="1251"/>
      <c r="AGI76" s="1251"/>
      <c r="AGJ76" s="1251"/>
      <c r="AGK76" s="1251"/>
      <c r="AGL76" s="1251"/>
      <c r="AGM76" s="1251"/>
      <c r="AGN76" s="1251"/>
      <c r="AGO76" s="1251"/>
      <c r="AGP76" s="1251"/>
      <c r="AGQ76" s="1251"/>
      <c r="AGR76" s="1251"/>
      <c r="AGS76" s="1251"/>
      <c r="AGT76" s="1251"/>
      <c r="AGU76" s="1251"/>
      <c r="AGV76" s="1251"/>
      <c r="AGW76" s="1251"/>
      <c r="AGX76" s="1251"/>
      <c r="AGY76" s="1251"/>
      <c r="AGZ76" s="1251"/>
      <c r="AHA76" s="1251"/>
      <c r="AHB76" s="1251"/>
      <c r="AHC76" s="1251"/>
      <c r="AHD76" s="1251"/>
      <c r="AHE76" s="1251"/>
      <c r="AHF76" s="1251"/>
      <c r="AHG76" s="1251"/>
      <c r="AHH76" s="1251"/>
      <c r="AHI76" s="1251"/>
      <c r="AHJ76" s="1251"/>
      <c r="AHK76" s="1251"/>
      <c r="AHL76" s="1251"/>
      <c r="AHM76" s="1251"/>
      <c r="AHN76" s="1251"/>
      <c r="AHO76" s="1251"/>
      <c r="AHP76" s="1251"/>
      <c r="AHQ76" s="1251"/>
      <c r="AHR76" s="1251"/>
      <c r="AHS76" s="1251"/>
      <c r="AHT76" s="1251"/>
      <c r="AHU76" s="1251"/>
      <c r="AHV76" s="1251"/>
      <c r="AHW76" s="1251"/>
      <c r="AHX76" s="1251"/>
      <c r="AHY76" s="1251"/>
      <c r="AHZ76" s="1251"/>
      <c r="AIA76" s="1251"/>
      <c r="AIB76" s="1251"/>
      <c r="AIC76" s="1251"/>
      <c r="AID76" s="1251"/>
      <c r="AIE76" s="1251"/>
      <c r="AIF76" s="1251"/>
      <c r="AIG76" s="1251"/>
      <c r="AIH76" s="1251"/>
      <c r="AII76" s="1251"/>
      <c r="AIJ76" s="1251"/>
      <c r="AIK76" s="1251"/>
      <c r="AIL76" s="1251"/>
      <c r="AIM76" s="1251"/>
      <c r="AIN76" s="1251"/>
      <c r="AIO76" s="1251"/>
      <c r="AIP76" s="1251"/>
      <c r="AIQ76" s="1251"/>
      <c r="AIR76" s="1251"/>
      <c r="AIS76" s="1251"/>
      <c r="AIT76" s="1251"/>
      <c r="AIU76" s="1251"/>
      <c r="AIV76" s="1251"/>
      <c r="AIW76" s="1251"/>
      <c r="AIX76" s="1251"/>
      <c r="AIY76" s="1251"/>
      <c r="AIZ76" s="1251"/>
      <c r="AJA76" s="1251"/>
      <c r="AJB76" s="1251"/>
      <c r="AJC76" s="1251"/>
      <c r="AJD76" s="1251"/>
      <c r="AJE76" s="1251"/>
      <c r="AJF76" s="1251"/>
      <c r="AJG76" s="1251"/>
      <c r="AJH76" s="1251"/>
      <c r="AJI76" s="1251"/>
      <c r="AJJ76" s="1251"/>
      <c r="AJK76" s="1251"/>
      <c r="AJL76" s="1251"/>
      <c r="AJM76" s="1251"/>
      <c r="AJN76" s="1251"/>
      <c r="AJO76" s="1251"/>
      <c r="AJP76" s="1251"/>
      <c r="AJQ76" s="1251"/>
      <c r="AJR76" s="1251"/>
      <c r="AJS76" s="1251"/>
      <c r="AJT76" s="1251"/>
      <c r="AJU76" s="1251"/>
      <c r="AJV76" s="1251"/>
      <c r="AJW76" s="1251"/>
      <c r="AJX76" s="1251"/>
      <c r="AJY76" s="1251"/>
      <c r="AJZ76" s="1251"/>
      <c r="AKA76" s="1251"/>
      <c r="AKB76" s="1251"/>
      <c r="AKC76" s="1251"/>
      <c r="AKD76" s="1251"/>
      <c r="AKE76" s="1251"/>
      <c r="AKF76" s="1251"/>
      <c r="AKG76" s="1251"/>
      <c r="AKH76" s="1251"/>
      <c r="AKI76" s="1251"/>
      <c r="AKJ76" s="1251"/>
      <c r="AKK76" s="1251"/>
      <c r="AKL76" s="1251"/>
      <c r="AKM76" s="1251"/>
      <c r="AKN76" s="1251"/>
      <c r="AKO76" s="1251"/>
      <c r="AKP76" s="1251"/>
      <c r="AKQ76" s="1251"/>
      <c r="AKR76" s="1251"/>
      <c r="AKS76" s="1251"/>
      <c r="AKT76" s="1251"/>
      <c r="AKU76" s="1251"/>
      <c r="AKV76" s="1251"/>
      <c r="AKW76" s="1251"/>
      <c r="AKX76" s="1251"/>
      <c r="AKY76" s="1251"/>
      <c r="AKZ76" s="1251"/>
      <c r="ALA76" s="1251"/>
      <c r="ALB76" s="1251"/>
      <c r="ALC76" s="1251"/>
      <c r="ALD76" s="1251"/>
      <c r="ALE76" s="1251"/>
      <c r="ALF76" s="1251"/>
      <c r="ALG76" s="1251"/>
      <c r="ALH76" s="1251"/>
      <c r="ALI76" s="1251"/>
      <c r="ALJ76" s="1251"/>
      <c r="ALK76" s="1251"/>
      <c r="ALL76" s="1251"/>
      <c r="ALM76" s="1251"/>
      <c r="ALN76" s="1251"/>
      <c r="ALO76" s="1251"/>
      <c r="ALP76" s="1251"/>
      <c r="ALQ76" s="1251"/>
      <c r="ALR76" s="1251"/>
      <c r="ALS76" s="1251"/>
      <c r="ALT76" s="1251"/>
      <c r="ALU76" s="1251"/>
      <c r="ALV76" s="1251"/>
      <c r="ALW76" s="1251"/>
      <c r="ALX76" s="1251"/>
      <c r="ALY76" s="1251"/>
      <c r="ALZ76" s="1251"/>
      <c r="AMA76" s="1251"/>
      <c r="AMB76" s="1251"/>
      <c r="AMC76" s="1251"/>
      <c r="AMD76" s="1251"/>
      <c r="AME76" s="1251"/>
      <c r="AMF76" s="1251"/>
      <c r="AMG76" s="1251"/>
      <c r="AMH76" s="1251"/>
      <c r="AMI76" s="1251"/>
      <c r="AMJ76" s="1251"/>
      <c r="AMK76" s="1251"/>
      <c r="AML76" s="1251"/>
      <c r="AMM76" s="1251"/>
      <c r="AMN76" s="1251"/>
      <c r="AMO76" s="1251"/>
      <c r="AMP76" s="1251"/>
      <c r="AMQ76" s="1251"/>
      <c r="AMR76" s="1251"/>
      <c r="AMS76" s="1251"/>
      <c r="AMT76" s="1251"/>
      <c r="AMU76" s="1251"/>
      <c r="AMV76" s="1251"/>
      <c r="AMW76" s="1251"/>
      <c r="AMX76" s="1251"/>
      <c r="AMY76" s="1251"/>
      <c r="AMZ76" s="1251"/>
      <c r="ANA76" s="1251"/>
      <c r="ANB76" s="1251"/>
      <c r="ANC76" s="1251"/>
      <c r="AND76" s="1251"/>
      <c r="ANE76" s="1251"/>
      <c r="ANF76" s="1251"/>
      <c r="ANG76" s="1251"/>
      <c r="ANH76" s="1251"/>
      <c r="ANI76" s="1251"/>
      <c r="ANJ76" s="1251"/>
      <c r="ANK76" s="1251"/>
      <c r="ANL76" s="1251"/>
      <c r="ANM76" s="1251"/>
      <c r="ANN76" s="1251"/>
      <c r="ANO76" s="1251"/>
      <c r="ANP76" s="1251"/>
      <c r="ANQ76" s="1251"/>
      <c r="ANR76" s="1251"/>
      <c r="ANS76" s="1251"/>
      <c r="ANT76" s="1251"/>
      <c r="ANU76" s="1251"/>
      <c r="ANV76" s="1251"/>
      <c r="ANW76" s="1251"/>
      <c r="ANX76" s="1251"/>
      <c r="ANY76" s="1251"/>
      <c r="ANZ76" s="1251"/>
      <c r="AOA76" s="1251"/>
      <c r="AOB76" s="1251"/>
      <c r="AOC76" s="1251"/>
      <c r="AOD76" s="1251"/>
      <c r="AOE76" s="1251"/>
      <c r="AOF76" s="1251"/>
      <c r="AOG76" s="1251"/>
      <c r="AOH76" s="1251"/>
      <c r="AOI76" s="1251"/>
      <c r="AOJ76" s="1251"/>
      <c r="AOK76" s="1251"/>
      <c r="AOL76" s="1251"/>
      <c r="AOM76" s="1251"/>
      <c r="AON76" s="1251"/>
      <c r="AOO76" s="1251"/>
      <c r="AOP76" s="1251"/>
      <c r="AOQ76" s="1251"/>
      <c r="AOR76" s="1251"/>
      <c r="AOS76" s="1251"/>
      <c r="AOT76" s="1251"/>
      <c r="AOU76" s="1251"/>
      <c r="AOV76" s="1251"/>
      <c r="AOW76" s="1251"/>
      <c r="AOX76" s="1251"/>
      <c r="AOY76" s="1251"/>
      <c r="AOZ76" s="1251"/>
      <c r="APA76" s="1251"/>
      <c r="APB76" s="1251"/>
      <c r="APC76" s="1251"/>
      <c r="APD76" s="1251"/>
      <c r="APE76" s="1251"/>
      <c r="APF76" s="1251"/>
      <c r="APG76" s="1251"/>
      <c r="APH76" s="1251"/>
      <c r="API76" s="1251"/>
      <c r="APJ76" s="1251"/>
      <c r="APK76" s="1251"/>
      <c r="APL76" s="1251"/>
      <c r="APM76" s="1251"/>
      <c r="APN76" s="1251"/>
      <c r="APO76" s="1251"/>
      <c r="APP76" s="1251"/>
      <c r="APQ76" s="1251"/>
      <c r="APR76" s="1251"/>
      <c r="APS76" s="1251"/>
      <c r="APT76" s="1251"/>
      <c r="APU76" s="1251"/>
      <c r="APV76" s="1251"/>
      <c r="APW76" s="1251"/>
      <c r="APX76" s="1251"/>
      <c r="APY76" s="1251"/>
      <c r="APZ76" s="1251"/>
      <c r="AQA76" s="1251"/>
      <c r="AQB76" s="1251"/>
      <c r="AQC76" s="1251"/>
      <c r="AQD76" s="1251"/>
      <c r="AQE76" s="1251"/>
      <c r="AQF76" s="1251"/>
      <c r="AQG76" s="1251"/>
      <c r="AQH76" s="1251"/>
      <c r="AQI76" s="1251"/>
      <c r="AQJ76" s="1251"/>
      <c r="AQK76" s="1251"/>
      <c r="AQL76" s="1251"/>
      <c r="AQM76" s="1251"/>
      <c r="AQN76" s="1251"/>
      <c r="AQO76" s="1251"/>
      <c r="AQP76" s="1251"/>
      <c r="AQQ76" s="1251"/>
      <c r="AQR76" s="1251"/>
      <c r="AQS76" s="1251"/>
      <c r="AQT76" s="1251"/>
      <c r="AQU76" s="1251"/>
      <c r="AQV76" s="1251"/>
      <c r="AQW76" s="1251"/>
      <c r="AQX76" s="1251"/>
      <c r="AQY76" s="1251"/>
      <c r="AQZ76" s="1251"/>
      <c r="ARA76" s="1251"/>
      <c r="ARB76" s="1251"/>
      <c r="ARC76" s="1251"/>
      <c r="ARD76" s="1251"/>
      <c r="ARE76" s="1251"/>
      <c r="ARF76" s="1251"/>
      <c r="ARG76" s="1251"/>
      <c r="ARH76" s="1251"/>
      <c r="ARI76" s="1251"/>
      <c r="ARJ76" s="1251"/>
      <c r="ARK76" s="1251"/>
      <c r="ARL76" s="1251"/>
      <c r="ARM76" s="1251"/>
      <c r="ARN76" s="1251"/>
      <c r="ARO76" s="1251"/>
      <c r="ARP76" s="1251"/>
      <c r="ARQ76" s="1251"/>
      <c r="ARR76" s="1251"/>
      <c r="ARS76" s="1251"/>
      <c r="ART76" s="1251"/>
      <c r="ARU76" s="1251"/>
      <c r="ARV76" s="1251"/>
      <c r="ARW76" s="1251"/>
      <c r="ARX76" s="1251"/>
      <c r="ARY76" s="1251"/>
      <c r="ARZ76" s="1251"/>
      <c r="ASA76" s="1251"/>
      <c r="ASB76" s="1251"/>
      <c r="ASC76" s="1251"/>
      <c r="ASD76" s="1251"/>
      <c r="ASE76" s="1251"/>
      <c r="ASF76" s="1251"/>
      <c r="ASG76" s="1251"/>
      <c r="ASH76" s="1251"/>
      <c r="ASI76" s="1251"/>
      <c r="ASJ76" s="1251"/>
      <c r="ASK76" s="1251"/>
      <c r="ASL76" s="1251"/>
      <c r="ASM76" s="1251"/>
      <c r="ASN76" s="1251"/>
      <c r="ASO76" s="1251"/>
      <c r="ASP76" s="1251"/>
      <c r="ASQ76" s="1251"/>
      <c r="ASR76" s="1251"/>
      <c r="ASS76" s="1251"/>
      <c r="AST76" s="1251"/>
      <c r="ASU76" s="1251"/>
      <c r="ASV76" s="1251"/>
      <c r="ASW76" s="1251"/>
      <c r="ASX76" s="1251"/>
      <c r="ASY76" s="1251"/>
      <c r="ASZ76" s="1251"/>
      <c r="ATA76" s="1251"/>
      <c r="ATB76" s="1251"/>
      <c r="ATC76" s="1251"/>
      <c r="ATD76" s="1251"/>
      <c r="ATE76" s="1251"/>
      <c r="ATF76" s="1251"/>
      <c r="ATG76" s="1251"/>
      <c r="ATH76" s="1251"/>
      <c r="ATI76" s="1251"/>
      <c r="ATJ76" s="1251"/>
      <c r="ATK76" s="1251"/>
      <c r="ATL76" s="1251"/>
      <c r="ATM76" s="1251"/>
      <c r="ATN76" s="1251"/>
      <c r="ATO76" s="1251"/>
      <c r="ATP76" s="1251"/>
      <c r="ATQ76" s="1251"/>
      <c r="ATR76" s="1251"/>
      <c r="ATS76" s="1251"/>
      <c r="ATT76" s="1251"/>
      <c r="ATU76" s="1251"/>
      <c r="ATV76" s="1251"/>
      <c r="ATW76" s="1251"/>
      <c r="ATX76" s="1251"/>
      <c r="ATY76" s="1251"/>
      <c r="ATZ76" s="1251"/>
      <c r="AUA76" s="1251"/>
      <c r="AUB76" s="1251"/>
      <c r="AUC76" s="1251"/>
      <c r="AUD76" s="1251"/>
      <c r="AUE76" s="1251"/>
      <c r="AUF76" s="1251"/>
      <c r="AUG76" s="1251"/>
      <c r="AUH76" s="1251"/>
      <c r="AUI76" s="1251"/>
      <c r="AUJ76" s="1251"/>
      <c r="AUK76" s="1251"/>
      <c r="AUL76" s="1251"/>
      <c r="AUM76" s="1251"/>
      <c r="AUN76" s="1251"/>
      <c r="AUO76" s="1251"/>
      <c r="AUP76" s="1251"/>
      <c r="AUQ76" s="1251"/>
      <c r="AUR76" s="1251"/>
      <c r="AUS76" s="1251"/>
      <c r="AUT76" s="1251"/>
      <c r="AUU76" s="1251"/>
      <c r="AUV76" s="1251"/>
      <c r="AUW76" s="1251"/>
      <c r="AUX76" s="1251"/>
      <c r="AUY76" s="1251"/>
      <c r="AUZ76" s="1251"/>
      <c r="AVA76" s="1251"/>
      <c r="AVB76" s="1251"/>
      <c r="AVC76" s="1251"/>
      <c r="AVD76" s="1251"/>
      <c r="AVE76" s="1251"/>
      <c r="AVF76" s="1251"/>
      <c r="AVG76" s="1251"/>
      <c r="AVH76" s="1251"/>
      <c r="AVI76" s="1251"/>
      <c r="AVJ76" s="1251"/>
      <c r="AVK76" s="1251"/>
      <c r="AVL76" s="1251"/>
      <c r="AVM76" s="1251"/>
      <c r="AVN76" s="1251"/>
      <c r="AVO76" s="1251"/>
      <c r="AVP76" s="1251"/>
      <c r="AVQ76" s="1251"/>
      <c r="AVR76" s="1251"/>
      <c r="AVS76" s="1251"/>
      <c r="AVT76" s="1251"/>
      <c r="AVU76" s="1251"/>
      <c r="AVV76" s="1251"/>
      <c r="AVW76" s="1251"/>
      <c r="AVX76" s="1251"/>
      <c r="AVY76" s="1251"/>
      <c r="AVZ76" s="1251"/>
      <c r="AWA76" s="1251"/>
      <c r="AWB76" s="1251"/>
      <c r="AWC76" s="1251"/>
      <c r="AWD76" s="1251"/>
      <c r="AWE76" s="1251"/>
      <c r="AWF76" s="1251"/>
      <c r="AWG76" s="1251"/>
      <c r="AWH76" s="1251"/>
      <c r="AWI76" s="1251"/>
      <c r="AWJ76" s="1251"/>
      <c r="AWK76" s="1251"/>
      <c r="AWL76" s="1251"/>
      <c r="AWM76" s="1251"/>
      <c r="AWN76" s="1251"/>
      <c r="AWO76" s="1251"/>
      <c r="AWP76" s="1251"/>
      <c r="AWQ76" s="1251"/>
      <c r="AWR76" s="1251"/>
      <c r="AWS76" s="1251"/>
      <c r="AWT76" s="1251"/>
      <c r="AWU76" s="1251"/>
      <c r="AWV76" s="1251"/>
      <c r="AWW76" s="1251"/>
      <c r="AWX76" s="1251"/>
      <c r="AWY76" s="1251"/>
      <c r="AWZ76" s="1251"/>
      <c r="AXA76" s="1251"/>
      <c r="AXB76" s="1251"/>
      <c r="AXC76" s="1251"/>
      <c r="AXD76" s="1251"/>
      <c r="AXE76" s="1251"/>
      <c r="AXF76" s="1251"/>
      <c r="AXG76" s="1251"/>
      <c r="AXH76" s="1251"/>
      <c r="AXI76" s="1251"/>
      <c r="AXJ76" s="1251"/>
      <c r="AXK76" s="1251"/>
      <c r="AXL76" s="1251"/>
      <c r="AXM76" s="1251"/>
      <c r="AXN76" s="1251"/>
      <c r="AXO76" s="1251"/>
      <c r="AXP76" s="1251"/>
      <c r="AXQ76" s="1251"/>
      <c r="AXR76" s="1251"/>
      <c r="AXS76" s="1251"/>
      <c r="AXT76" s="1251"/>
      <c r="AXU76" s="1251"/>
      <c r="AXV76" s="1251"/>
      <c r="AXW76" s="1251"/>
      <c r="AXX76" s="1251"/>
      <c r="AXY76" s="1251"/>
      <c r="AXZ76" s="1251"/>
      <c r="AYA76" s="1251"/>
      <c r="AYB76" s="1251"/>
      <c r="AYC76" s="1251"/>
      <c r="AYD76" s="1251"/>
      <c r="AYE76" s="1251"/>
      <c r="AYF76" s="1251"/>
      <c r="AYG76" s="1251"/>
      <c r="AYH76" s="1251"/>
      <c r="AYI76" s="1251"/>
      <c r="AYJ76" s="1251"/>
      <c r="AYK76" s="1251"/>
      <c r="AYL76" s="1251"/>
      <c r="AYM76" s="1251"/>
      <c r="AYN76" s="1251"/>
      <c r="AYO76" s="1251"/>
      <c r="AYP76" s="1251"/>
      <c r="AYQ76" s="1251"/>
      <c r="AYR76" s="1251"/>
      <c r="AYS76" s="1251"/>
      <c r="AYT76" s="1251"/>
      <c r="AYU76" s="1251"/>
      <c r="AYV76" s="1251"/>
      <c r="AYW76" s="1251"/>
      <c r="AYX76" s="1251"/>
      <c r="AYY76" s="1251"/>
      <c r="AYZ76" s="1251"/>
      <c r="AZA76" s="1251"/>
      <c r="AZB76" s="1251"/>
      <c r="AZC76" s="1251"/>
      <c r="AZD76" s="1251"/>
      <c r="AZE76" s="1251"/>
      <c r="AZF76" s="1251"/>
      <c r="AZG76" s="1251"/>
      <c r="AZH76" s="1251"/>
      <c r="AZI76" s="1251"/>
      <c r="AZJ76" s="1251"/>
      <c r="AZK76" s="1251"/>
      <c r="AZL76" s="1251"/>
      <c r="AZM76" s="1251"/>
      <c r="AZN76" s="1251"/>
      <c r="AZO76" s="1251"/>
      <c r="AZP76" s="1251"/>
      <c r="AZQ76" s="1251"/>
      <c r="AZR76" s="1251"/>
      <c r="AZS76" s="1251"/>
      <c r="AZT76" s="1251"/>
      <c r="AZU76" s="1251"/>
      <c r="AZV76" s="1251"/>
      <c r="AZW76" s="1251"/>
      <c r="AZX76" s="1251"/>
      <c r="AZY76" s="1251"/>
      <c r="AZZ76" s="1251"/>
      <c r="BAA76" s="1251"/>
      <c r="BAB76" s="1251"/>
      <c r="BAC76" s="1251"/>
      <c r="BAD76" s="1251"/>
      <c r="BAE76" s="1251"/>
      <c r="BAF76" s="1251"/>
      <c r="BAG76" s="1251"/>
      <c r="BAH76" s="1251"/>
      <c r="BAI76" s="1251"/>
      <c r="BAJ76" s="1251"/>
      <c r="BAK76" s="1251"/>
      <c r="BAL76" s="1251"/>
      <c r="BAM76" s="1251"/>
      <c r="BAN76" s="1251"/>
      <c r="BAO76" s="1251"/>
      <c r="BAP76" s="1251"/>
      <c r="BAQ76" s="1251"/>
      <c r="BAR76" s="1251"/>
      <c r="BAS76" s="1251"/>
      <c r="BAT76" s="1251"/>
      <c r="BAU76" s="1251"/>
      <c r="BAV76" s="1251"/>
      <c r="BAW76" s="1251"/>
      <c r="BAX76" s="1251"/>
      <c r="BAY76" s="1251"/>
      <c r="BAZ76" s="1251"/>
      <c r="BBA76" s="1251"/>
      <c r="BBB76" s="1251"/>
      <c r="BBC76" s="1251"/>
      <c r="BBD76" s="1251"/>
      <c r="BBE76" s="1251"/>
      <c r="BBF76" s="1251"/>
      <c r="BBG76" s="1251"/>
      <c r="BBH76" s="1251"/>
      <c r="BBI76" s="1251"/>
      <c r="BBJ76" s="1251"/>
      <c r="BBK76" s="1251"/>
      <c r="BBL76" s="1251"/>
      <c r="BBM76" s="1251"/>
      <c r="BBN76" s="1251"/>
      <c r="BBO76" s="1251"/>
      <c r="BBP76" s="1251"/>
      <c r="BBQ76" s="1251"/>
      <c r="BBR76" s="1251"/>
      <c r="BBS76" s="1251"/>
      <c r="BBT76" s="1251"/>
      <c r="BBU76" s="1251"/>
      <c r="BBV76" s="1251"/>
      <c r="BBW76" s="1251"/>
      <c r="BBX76" s="1251"/>
      <c r="BBY76" s="1251"/>
      <c r="BBZ76" s="1251"/>
      <c r="BCA76" s="1251"/>
      <c r="BCB76" s="1251"/>
      <c r="BCC76" s="1251"/>
      <c r="BCD76" s="1251"/>
      <c r="BCE76" s="1251"/>
      <c r="BCF76" s="1251"/>
      <c r="BCG76" s="1251"/>
      <c r="BCH76" s="1251"/>
      <c r="BCI76" s="1251"/>
      <c r="BCJ76" s="1251"/>
      <c r="BCK76" s="1251"/>
      <c r="BCL76" s="1251"/>
      <c r="BCM76" s="1251"/>
      <c r="BCN76" s="1251"/>
      <c r="BCO76" s="1251"/>
      <c r="BCP76" s="1251"/>
      <c r="BCQ76" s="1251"/>
      <c r="BCR76" s="1251"/>
      <c r="BCS76" s="1251"/>
      <c r="BCT76" s="1251"/>
      <c r="BCU76" s="1251"/>
      <c r="BCV76" s="1251"/>
      <c r="BCW76" s="1251"/>
      <c r="BCX76" s="1251"/>
      <c r="BCY76" s="1251"/>
      <c r="BCZ76" s="1251"/>
      <c r="BDA76" s="1251"/>
      <c r="BDB76" s="1251"/>
      <c r="BDC76" s="1251"/>
      <c r="BDD76" s="1251"/>
      <c r="BDE76" s="1251"/>
      <c r="BDF76" s="1251"/>
      <c r="BDG76" s="1251"/>
      <c r="BDH76" s="1251"/>
      <c r="BDI76" s="1251"/>
      <c r="BDJ76" s="1251"/>
      <c r="BDK76" s="1251"/>
      <c r="BDL76" s="1251"/>
      <c r="BDM76" s="1251"/>
      <c r="BDN76" s="1251"/>
      <c r="BDO76" s="1251"/>
      <c r="BDP76" s="1251"/>
      <c r="BDQ76" s="1251"/>
      <c r="BDR76" s="1251"/>
      <c r="BDS76" s="1251"/>
      <c r="BDT76" s="1251"/>
      <c r="BDU76" s="1251"/>
      <c r="BDV76" s="1251"/>
      <c r="BDW76" s="1251"/>
      <c r="BDX76" s="1251"/>
      <c r="BDY76" s="1251"/>
      <c r="BDZ76" s="1251"/>
      <c r="BEA76" s="1251"/>
      <c r="BEB76" s="1251"/>
      <c r="BEC76" s="1251"/>
      <c r="BED76" s="1251"/>
      <c r="BEE76" s="1251"/>
      <c r="BEF76" s="1251"/>
      <c r="BEG76" s="1251"/>
      <c r="BEH76" s="1251"/>
      <c r="BEI76" s="1251"/>
      <c r="BEJ76" s="1251"/>
      <c r="BEK76" s="1251"/>
      <c r="BEL76" s="1251"/>
      <c r="BEM76" s="1251"/>
      <c r="BEN76" s="1251"/>
      <c r="BEO76" s="1251"/>
      <c r="BEP76" s="1251"/>
      <c r="BEQ76" s="1251"/>
      <c r="BER76" s="1251"/>
      <c r="BES76" s="1251"/>
      <c r="BET76" s="1251"/>
      <c r="BEU76" s="1251"/>
      <c r="BEV76" s="1251"/>
      <c r="BEW76" s="1251"/>
      <c r="BEX76" s="1251"/>
      <c r="BEY76" s="1251"/>
      <c r="BEZ76" s="1251"/>
      <c r="BFA76" s="1251"/>
      <c r="BFB76" s="1251"/>
      <c r="BFC76" s="1251"/>
      <c r="BFD76" s="1251"/>
      <c r="BFE76" s="1251"/>
      <c r="BFF76" s="1251"/>
      <c r="BFG76" s="1251"/>
      <c r="BFH76" s="1251"/>
      <c r="BFI76" s="1251"/>
      <c r="BFJ76" s="1251"/>
      <c r="BFK76" s="1251"/>
      <c r="BFL76" s="1251"/>
      <c r="BFM76" s="1251"/>
      <c r="BFN76" s="1251"/>
      <c r="BFO76" s="1251"/>
      <c r="BFP76" s="1251"/>
      <c r="BFQ76" s="1251"/>
      <c r="BFR76" s="1251"/>
      <c r="BFS76" s="1251"/>
      <c r="BFT76" s="1251"/>
      <c r="BFU76" s="1251"/>
      <c r="BFV76" s="1251"/>
      <c r="BFW76" s="1251"/>
      <c r="BFX76" s="1251"/>
      <c r="BFY76" s="1251"/>
      <c r="BFZ76" s="1251"/>
      <c r="BGA76" s="1251"/>
      <c r="BGB76" s="1251"/>
      <c r="BGC76" s="1251"/>
      <c r="BGD76" s="1251"/>
      <c r="BGE76" s="1251"/>
      <c r="BGF76" s="1251"/>
      <c r="BGG76" s="1251"/>
      <c r="BGH76" s="1251"/>
      <c r="BGI76" s="1251"/>
      <c r="BGJ76" s="1251"/>
      <c r="BGK76" s="1251"/>
      <c r="BGL76" s="1251"/>
      <c r="BGM76" s="1251"/>
      <c r="BGN76" s="1251"/>
      <c r="BGO76" s="1251"/>
      <c r="BGP76" s="1251"/>
      <c r="BGQ76" s="1251"/>
      <c r="BGR76" s="1251"/>
      <c r="BGS76" s="1251"/>
      <c r="BGT76" s="1251"/>
      <c r="BGU76" s="1251"/>
      <c r="BGV76" s="1251"/>
      <c r="BGW76" s="1251"/>
      <c r="BGX76" s="1251"/>
      <c r="BGY76" s="1251"/>
      <c r="BGZ76" s="1251"/>
      <c r="BHA76" s="1251"/>
      <c r="BHB76" s="1251"/>
      <c r="BHC76" s="1251"/>
      <c r="BHD76" s="1251"/>
      <c r="BHE76" s="1251"/>
      <c r="BHF76" s="1251"/>
      <c r="BHG76" s="1251"/>
      <c r="BHH76" s="1251"/>
      <c r="BHI76" s="1251"/>
      <c r="BHJ76" s="1251"/>
      <c r="BHK76" s="1251"/>
      <c r="BHL76" s="1251"/>
      <c r="BHM76" s="1251"/>
      <c r="BHN76" s="1251"/>
      <c r="BHO76" s="1251"/>
      <c r="BHP76" s="1251"/>
      <c r="BHQ76" s="1251"/>
      <c r="BHR76" s="1251"/>
      <c r="BHS76" s="1251"/>
      <c r="BHT76" s="1251"/>
      <c r="BHU76" s="1251"/>
      <c r="BHV76" s="1251"/>
      <c r="BHW76" s="1251"/>
      <c r="BHX76" s="1251"/>
      <c r="BHY76" s="1251"/>
      <c r="BHZ76" s="1251"/>
      <c r="BIA76" s="1251"/>
      <c r="BIB76" s="1251"/>
      <c r="BIC76" s="1251"/>
      <c r="BID76" s="1251"/>
      <c r="BIE76" s="1251"/>
      <c r="BIF76" s="1251"/>
      <c r="BIG76" s="1251"/>
      <c r="BIH76" s="1251"/>
      <c r="BII76" s="1251"/>
      <c r="BIJ76" s="1251"/>
      <c r="BIK76" s="1251"/>
      <c r="BIL76" s="1251"/>
      <c r="BIM76" s="1251"/>
      <c r="BIN76" s="1251"/>
      <c r="BIO76" s="1251"/>
      <c r="BIP76" s="1251"/>
      <c r="BIQ76" s="1251"/>
      <c r="BIR76" s="1251"/>
      <c r="BIS76" s="1251"/>
      <c r="BIT76" s="1251"/>
      <c r="BIU76" s="1251"/>
      <c r="BIV76" s="1251"/>
      <c r="BIW76" s="1251"/>
      <c r="BIX76" s="1251"/>
      <c r="BIY76" s="1251"/>
      <c r="BIZ76" s="1251"/>
      <c r="BJA76" s="1251"/>
      <c r="BJB76" s="1251"/>
      <c r="BJC76" s="1251"/>
      <c r="BJD76" s="1251"/>
      <c r="BJE76" s="1251"/>
      <c r="BJF76" s="1251"/>
      <c r="BJG76" s="1251"/>
      <c r="BJH76" s="1251"/>
      <c r="BJI76" s="1251"/>
      <c r="BJJ76" s="1251"/>
      <c r="BJK76" s="1251"/>
      <c r="BJL76" s="1251"/>
      <c r="BJM76" s="1251"/>
      <c r="BJN76" s="1251"/>
      <c r="BJO76" s="1251"/>
      <c r="BJP76" s="1251"/>
      <c r="BJQ76" s="1251"/>
      <c r="BJR76" s="1251"/>
      <c r="BJS76" s="1251"/>
      <c r="BJT76" s="1251"/>
      <c r="BJU76" s="1251"/>
      <c r="BJV76" s="1251"/>
      <c r="BJW76" s="1251"/>
      <c r="BJX76" s="1251"/>
      <c r="BJY76" s="1251"/>
      <c r="BJZ76" s="1251"/>
      <c r="BKA76" s="1251"/>
      <c r="BKB76" s="1251"/>
      <c r="BKC76" s="1251"/>
      <c r="BKD76" s="1251"/>
      <c r="BKE76" s="1251"/>
      <c r="BKF76" s="1251"/>
      <c r="BKG76" s="1251"/>
      <c r="BKH76" s="1251"/>
      <c r="BKI76" s="1251"/>
      <c r="BKJ76" s="1251"/>
      <c r="BKK76" s="1251"/>
      <c r="BKL76" s="1251"/>
      <c r="BKM76" s="1251"/>
      <c r="BKN76" s="1251"/>
      <c r="BKO76" s="1251"/>
      <c r="BKP76" s="1251"/>
      <c r="BKQ76" s="1251"/>
      <c r="BKR76" s="1251"/>
      <c r="BKS76" s="1251"/>
      <c r="BKT76" s="1251"/>
      <c r="BKU76" s="1251"/>
      <c r="BKV76" s="1251"/>
      <c r="BKW76" s="1251"/>
      <c r="BKX76" s="1251"/>
      <c r="BKY76" s="1251"/>
      <c r="BKZ76" s="1251"/>
      <c r="BLA76" s="1251"/>
      <c r="BLB76" s="1251"/>
      <c r="BLC76" s="1251"/>
      <c r="BLD76" s="1251"/>
      <c r="BLE76" s="1251"/>
      <c r="BLF76" s="1251"/>
      <c r="BLG76" s="1251"/>
      <c r="BLH76" s="1251"/>
      <c r="BLI76" s="1251"/>
      <c r="BLJ76" s="1251"/>
      <c r="BLK76" s="1251"/>
      <c r="BLL76" s="1251"/>
      <c r="BLM76" s="1251"/>
      <c r="BLN76" s="1251"/>
      <c r="BLO76" s="1251"/>
      <c r="BLP76" s="1251"/>
      <c r="BLQ76" s="1251"/>
      <c r="BLR76" s="1251"/>
      <c r="BLS76" s="1251"/>
      <c r="BLT76" s="1251"/>
      <c r="BLU76" s="1251"/>
      <c r="BLV76" s="1251"/>
      <c r="BLW76" s="1251"/>
      <c r="BLX76" s="1251"/>
      <c r="BLY76" s="1251"/>
      <c r="BLZ76" s="1251"/>
      <c r="BMA76" s="1251"/>
      <c r="BMB76" s="1251"/>
      <c r="BMC76" s="1251"/>
      <c r="BMD76" s="1251"/>
      <c r="BME76" s="1251"/>
      <c r="BMF76" s="1251"/>
      <c r="BMG76" s="1251"/>
      <c r="BMH76" s="1251"/>
      <c r="BMI76" s="1251"/>
      <c r="BMJ76" s="1251"/>
      <c r="BMK76" s="1251"/>
      <c r="BML76" s="1251"/>
      <c r="BMM76" s="1251"/>
      <c r="BMN76" s="1251"/>
      <c r="BMO76" s="1251"/>
      <c r="BMP76" s="1251"/>
      <c r="BMQ76" s="1251"/>
      <c r="BMR76" s="1251"/>
      <c r="BMS76" s="1251"/>
      <c r="BMT76" s="1251"/>
      <c r="BMU76" s="1251"/>
      <c r="BMV76" s="1251"/>
      <c r="BMW76" s="1251"/>
      <c r="BMX76" s="1251"/>
      <c r="BMY76" s="1251"/>
      <c r="BMZ76" s="1251"/>
      <c r="BNA76" s="1251"/>
      <c r="BNB76" s="1251"/>
      <c r="BNC76" s="1251"/>
      <c r="BND76" s="1251"/>
      <c r="BNE76" s="1251"/>
      <c r="BNF76" s="1251"/>
      <c r="BNG76" s="1251"/>
      <c r="BNH76" s="1251"/>
      <c r="BNI76" s="1251"/>
      <c r="BNJ76" s="1251"/>
      <c r="BNK76" s="1251"/>
      <c r="BNL76" s="1251"/>
      <c r="BNM76" s="1251"/>
      <c r="BNN76" s="1251"/>
      <c r="BNO76" s="1251"/>
      <c r="BNP76" s="1251"/>
      <c r="BNQ76" s="1251"/>
      <c r="BNR76" s="1251"/>
      <c r="BNS76" s="1251"/>
      <c r="BNT76" s="1251"/>
      <c r="BNU76" s="1251"/>
      <c r="BNV76" s="1251"/>
      <c r="BNW76" s="1251"/>
      <c r="BNX76" s="1251"/>
      <c r="BNY76" s="1251"/>
      <c r="BNZ76" s="1251"/>
      <c r="BOA76" s="1251"/>
      <c r="BOB76" s="1251"/>
      <c r="BOC76" s="1251"/>
      <c r="BOD76" s="1251"/>
      <c r="BOE76" s="1251"/>
      <c r="BOF76" s="1251"/>
      <c r="BOG76" s="1251"/>
      <c r="BOH76" s="1251"/>
      <c r="BOI76" s="1251"/>
      <c r="BOJ76" s="1251"/>
      <c r="BOK76" s="1251"/>
      <c r="BOL76" s="1251"/>
      <c r="BOM76" s="1251"/>
      <c r="BON76" s="1251"/>
      <c r="BOO76" s="1251"/>
      <c r="BOP76" s="1251"/>
      <c r="BOQ76" s="1251"/>
      <c r="BOR76" s="1251"/>
      <c r="BOS76" s="1251"/>
      <c r="BOT76" s="1251"/>
      <c r="BOU76" s="1251"/>
      <c r="BOV76" s="1251"/>
      <c r="BOW76" s="1251"/>
      <c r="BOX76" s="1251"/>
      <c r="BOY76" s="1251"/>
      <c r="BOZ76" s="1251"/>
      <c r="BPA76" s="1251"/>
      <c r="BPB76" s="1251"/>
      <c r="BPC76" s="1251"/>
      <c r="BPD76" s="1251"/>
      <c r="BPE76" s="1251"/>
      <c r="BPF76" s="1251"/>
      <c r="BPG76" s="1251"/>
      <c r="BPH76" s="1251"/>
      <c r="BPI76" s="1251"/>
      <c r="BPJ76" s="1251"/>
      <c r="BPK76" s="1251"/>
      <c r="BPL76" s="1251"/>
      <c r="BPM76" s="1251"/>
      <c r="BPN76" s="1251"/>
      <c r="BPO76" s="1251"/>
      <c r="BPP76" s="1251"/>
      <c r="BPQ76" s="1251"/>
      <c r="BPR76" s="1251"/>
      <c r="BPS76" s="1251"/>
      <c r="BPT76" s="1251"/>
      <c r="BPU76" s="1251"/>
      <c r="BPV76" s="1251"/>
      <c r="BPW76" s="1251"/>
      <c r="BPX76" s="1251"/>
      <c r="BPY76" s="1251"/>
      <c r="BPZ76" s="1251"/>
      <c r="BQA76" s="1251"/>
      <c r="BQB76" s="1251"/>
      <c r="BQC76" s="1251"/>
      <c r="BQD76" s="1251"/>
      <c r="BQE76" s="1251"/>
      <c r="BQF76" s="1251"/>
      <c r="BQG76" s="1251"/>
      <c r="BQH76" s="1251"/>
      <c r="BQI76" s="1251"/>
      <c r="BQJ76" s="1251"/>
      <c r="BQK76" s="1251"/>
      <c r="BQL76" s="1251"/>
      <c r="BQM76" s="1251"/>
      <c r="BQN76" s="1251"/>
      <c r="BQO76" s="1251"/>
      <c r="BQP76" s="1251"/>
      <c r="BQQ76" s="1251"/>
      <c r="BQR76" s="1251"/>
      <c r="BQS76" s="1251"/>
      <c r="BQT76" s="1251"/>
      <c r="BQU76" s="1251"/>
      <c r="BQV76" s="1251"/>
      <c r="BQW76" s="1251"/>
      <c r="BQX76" s="1251"/>
      <c r="BQY76" s="1251"/>
      <c r="BQZ76" s="1251"/>
      <c r="BRA76" s="1251"/>
      <c r="BRB76" s="1251"/>
      <c r="BRC76" s="1251"/>
      <c r="BRD76" s="1251"/>
      <c r="BRE76" s="1251"/>
      <c r="BRF76" s="1251"/>
      <c r="BRG76" s="1251"/>
      <c r="BRH76" s="1251"/>
      <c r="BRI76" s="1251"/>
      <c r="BRJ76" s="1251"/>
      <c r="BRK76" s="1251"/>
      <c r="BRL76" s="1251"/>
      <c r="BRM76" s="1251"/>
      <c r="BRN76" s="1251"/>
      <c r="BRO76" s="1251"/>
      <c r="BRP76" s="1251"/>
      <c r="BRQ76" s="1251"/>
      <c r="BRR76" s="1251"/>
      <c r="BRS76" s="1251"/>
      <c r="BRT76" s="1251"/>
      <c r="BRU76" s="1251"/>
      <c r="BRV76" s="1251"/>
      <c r="BRW76" s="1251"/>
      <c r="BRX76" s="1251"/>
      <c r="BRY76" s="1251"/>
      <c r="BRZ76" s="1251"/>
      <c r="BSA76" s="1251"/>
      <c r="BSB76" s="1251"/>
      <c r="BSC76" s="1251"/>
      <c r="BSD76" s="1251"/>
      <c r="BSE76" s="1251"/>
      <c r="BSF76" s="1251"/>
      <c r="BSG76" s="1251"/>
      <c r="BSH76" s="1251"/>
      <c r="BSI76" s="1251"/>
      <c r="BSJ76" s="1251"/>
      <c r="BSK76" s="1251"/>
      <c r="BSL76" s="1251"/>
      <c r="BSM76" s="1251"/>
      <c r="BSN76" s="1251"/>
      <c r="BSO76" s="1251"/>
      <c r="BSP76" s="1251"/>
      <c r="BSQ76" s="1251"/>
      <c r="BSR76" s="1251"/>
      <c r="BSS76" s="1251"/>
      <c r="BST76" s="1251"/>
      <c r="BSU76" s="1251"/>
      <c r="BSV76" s="1251"/>
      <c r="BSW76" s="1251"/>
      <c r="BSX76" s="1251"/>
      <c r="BSY76" s="1251"/>
      <c r="BSZ76" s="1251"/>
      <c r="BTA76" s="1251"/>
      <c r="BTB76" s="1251"/>
      <c r="BTC76" s="1251"/>
      <c r="BTD76" s="1251"/>
      <c r="BTE76" s="1251"/>
      <c r="BTF76" s="1251"/>
      <c r="BTG76" s="1251"/>
      <c r="BTH76" s="1251"/>
      <c r="BTI76" s="1251"/>
    </row>
    <row r="77" spans="1:1881" s="1261" customFormat="1" ht="52.5" hidden="1" customHeight="1" thickBot="1" x14ac:dyDescent="0.35">
      <c r="A77" s="1248">
        <v>369</v>
      </c>
      <c r="B77" s="593" t="s">
        <v>56</v>
      </c>
      <c r="C77" s="593" t="s">
        <v>152</v>
      </c>
      <c r="D77" s="24" t="s">
        <v>1370</v>
      </c>
      <c r="E77" s="1249" t="e">
        <f>HLOOKUP($D$2,'2020 Data(H)'!$C$1:$CZ$426,130,FALSE)</f>
        <v>#N/A</v>
      </c>
      <c r="F77" s="1263">
        <v>0</v>
      </c>
      <c r="G77" s="727"/>
      <c r="H77" s="17"/>
      <c r="I77" s="760"/>
      <c r="J77" s="1252"/>
      <c r="K77" s="1251"/>
      <c r="L77" s="701"/>
      <c r="M77" s="1251"/>
      <c r="N77" s="1253"/>
      <c r="O77" s="1251"/>
      <c r="P77" s="1251"/>
      <c r="Q77" s="1251"/>
      <c r="R77" s="1251"/>
      <c r="S77" s="1251"/>
      <c r="T77" s="1251"/>
      <c r="U77" s="1251"/>
      <c r="V77" s="1251"/>
      <c r="W77" s="1251"/>
      <c r="X77" s="1251"/>
      <c r="Y77" s="1251"/>
      <c r="Z77" s="1248"/>
      <c r="AA77" s="1248"/>
      <c r="AB77" s="1248"/>
      <c r="AC77" s="1248"/>
      <c r="AD77" s="1248"/>
      <c r="AE77" s="1248"/>
      <c r="AF77" s="1248"/>
      <c r="AG77" s="1248"/>
      <c r="AH77" s="1248"/>
      <c r="AI77" s="1248"/>
      <c r="AJ77" s="1248"/>
      <c r="AK77" s="1248"/>
      <c r="AL77" s="1248"/>
      <c r="AM77" s="1248"/>
      <c r="AN77" s="1248"/>
      <c r="AO77" s="1248"/>
      <c r="AP77" s="1248"/>
      <c r="AQ77" s="1248"/>
      <c r="AR77" s="1248"/>
      <c r="AS77" s="1251"/>
      <c r="AT77" s="1251"/>
      <c r="AU77" s="1251"/>
      <c r="AV77" s="1251"/>
      <c r="AW77" s="1251"/>
      <c r="AX77" s="1251"/>
      <c r="AY77" s="1251"/>
      <c r="AZ77" s="1251"/>
      <c r="BA77" s="1251"/>
      <c r="BB77" s="1251"/>
      <c r="BC77" s="1251"/>
      <c r="BD77" s="1251"/>
      <c r="BE77" s="1251"/>
      <c r="BF77" s="1251"/>
      <c r="BG77" s="1251"/>
      <c r="BH77" s="1251"/>
      <c r="BI77" s="1251"/>
      <c r="BJ77" s="1251"/>
      <c r="BK77" s="1251"/>
      <c r="BL77" s="1251"/>
      <c r="BM77" s="1251"/>
      <c r="BN77" s="1251"/>
      <c r="BO77" s="1251"/>
      <c r="BP77" s="1251"/>
      <c r="BQ77" s="1251"/>
      <c r="BR77" s="1251"/>
      <c r="BS77" s="1251"/>
      <c r="BT77" s="1251"/>
      <c r="BU77" s="1251"/>
      <c r="BV77" s="1251"/>
      <c r="BW77" s="1251"/>
      <c r="BX77" s="1251"/>
      <c r="BY77" s="1251"/>
      <c r="BZ77" s="1251"/>
      <c r="CA77" s="1251"/>
      <c r="CB77" s="1251"/>
      <c r="CC77" s="1251"/>
      <c r="CD77" s="1251"/>
      <c r="CE77" s="1251"/>
      <c r="CF77" s="1251"/>
      <c r="CG77" s="1251"/>
      <c r="CH77" s="1251"/>
      <c r="CI77" s="1251"/>
      <c r="CJ77" s="1251"/>
      <c r="CK77" s="1251"/>
      <c r="CL77" s="1251"/>
      <c r="CM77" s="1251"/>
      <c r="CN77" s="1251"/>
      <c r="CO77" s="1251"/>
      <c r="CP77" s="1251"/>
      <c r="CQ77" s="1251"/>
      <c r="CR77" s="1251"/>
      <c r="CS77" s="1251"/>
      <c r="CT77" s="1251"/>
      <c r="CU77" s="1251"/>
      <c r="CV77" s="1251"/>
      <c r="CW77" s="1251"/>
      <c r="CX77" s="1251"/>
      <c r="CY77" s="1251"/>
      <c r="CZ77" s="1251"/>
      <c r="DA77" s="1251"/>
      <c r="DB77" s="1251"/>
      <c r="DC77" s="1251"/>
      <c r="DD77" s="1251"/>
      <c r="DE77" s="1251"/>
      <c r="DF77" s="1251"/>
      <c r="DG77" s="1251"/>
      <c r="DH77" s="1251"/>
      <c r="DI77" s="1251"/>
      <c r="DJ77" s="1251"/>
      <c r="DK77" s="1251"/>
      <c r="DL77" s="1251"/>
      <c r="DM77" s="1251"/>
      <c r="DN77" s="1251"/>
      <c r="DO77" s="1251"/>
      <c r="DP77" s="1251"/>
      <c r="DQ77" s="1251"/>
      <c r="DR77" s="1251"/>
      <c r="DS77" s="1251"/>
      <c r="DT77" s="1251"/>
      <c r="DU77" s="1251"/>
      <c r="DV77" s="1251"/>
      <c r="DW77" s="1251"/>
      <c r="DX77" s="1251"/>
      <c r="DY77" s="1251"/>
      <c r="DZ77" s="1251"/>
      <c r="EA77" s="1251"/>
      <c r="EB77" s="1251"/>
      <c r="EC77" s="1251"/>
      <c r="ED77" s="1251"/>
      <c r="EE77" s="1251"/>
      <c r="EF77" s="1251"/>
      <c r="EG77" s="1251"/>
      <c r="EH77" s="1251"/>
      <c r="EI77" s="1251"/>
      <c r="EJ77" s="1251"/>
      <c r="EK77" s="1251"/>
      <c r="EL77" s="1251"/>
      <c r="EM77" s="1251"/>
      <c r="EN77" s="1251"/>
      <c r="EO77" s="1251"/>
      <c r="EP77" s="1251"/>
      <c r="EQ77" s="1251"/>
      <c r="ER77" s="1251"/>
      <c r="ES77" s="1251"/>
      <c r="ET77" s="1251"/>
      <c r="EU77" s="1251"/>
      <c r="EV77" s="1251"/>
      <c r="EW77" s="1251"/>
      <c r="EX77" s="1251"/>
      <c r="EY77" s="1251"/>
      <c r="EZ77" s="1251"/>
      <c r="FA77" s="1251"/>
      <c r="FB77" s="1251"/>
      <c r="FC77" s="1251"/>
      <c r="FD77" s="1251"/>
      <c r="FE77" s="1251"/>
      <c r="FF77" s="1251"/>
      <c r="FG77" s="1251"/>
      <c r="FH77" s="1251"/>
      <c r="FI77" s="1251"/>
      <c r="FJ77" s="1251"/>
      <c r="FK77" s="1251"/>
      <c r="FL77" s="1251"/>
      <c r="FM77" s="1251"/>
      <c r="FN77" s="1251"/>
      <c r="FO77" s="1251"/>
      <c r="FP77" s="1251"/>
      <c r="FQ77" s="1251"/>
      <c r="FR77" s="1251"/>
      <c r="FS77" s="1251"/>
      <c r="FT77" s="1251"/>
      <c r="FU77" s="1251"/>
      <c r="FV77" s="1251"/>
      <c r="FW77" s="1251"/>
      <c r="FX77" s="1251"/>
      <c r="FY77" s="1251"/>
      <c r="FZ77" s="1251"/>
      <c r="GA77" s="1251"/>
      <c r="GB77" s="1251"/>
      <c r="GC77" s="1251"/>
      <c r="GD77" s="1251"/>
      <c r="GE77" s="1251"/>
      <c r="GF77" s="1251"/>
      <c r="GG77" s="1251"/>
      <c r="GH77" s="1251"/>
      <c r="GI77" s="1251"/>
      <c r="GJ77" s="1251"/>
      <c r="GK77" s="1251"/>
      <c r="GL77" s="1251"/>
      <c r="GM77" s="1251"/>
      <c r="GN77" s="1251"/>
      <c r="GO77" s="1251"/>
      <c r="GP77" s="1251"/>
      <c r="GQ77" s="1251"/>
      <c r="GR77" s="1251"/>
      <c r="GS77" s="1251"/>
      <c r="GT77" s="1251"/>
      <c r="GU77" s="1251"/>
      <c r="GV77" s="1251"/>
      <c r="GW77" s="1251"/>
      <c r="GX77" s="1251"/>
      <c r="GY77" s="1251"/>
      <c r="GZ77" s="1251"/>
      <c r="HA77" s="1251"/>
      <c r="HB77" s="1251"/>
      <c r="HC77" s="1251"/>
      <c r="HD77" s="1251"/>
      <c r="HE77" s="1251"/>
      <c r="HF77" s="1251"/>
      <c r="HG77" s="1251"/>
      <c r="HH77" s="1251"/>
      <c r="HI77" s="1251"/>
      <c r="HJ77" s="1251"/>
      <c r="HK77" s="1251"/>
      <c r="HL77" s="1251"/>
      <c r="HM77" s="1251"/>
      <c r="HN77" s="1251"/>
      <c r="HO77" s="1251"/>
      <c r="HP77" s="1251"/>
      <c r="HQ77" s="1251"/>
      <c r="HR77" s="1251"/>
      <c r="HS77" s="1251"/>
      <c r="HT77" s="1251"/>
      <c r="HU77" s="1251"/>
      <c r="HV77" s="1251"/>
      <c r="HW77" s="1251"/>
      <c r="HX77" s="1251"/>
      <c r="HY77" s="1251"/>
      <c r="HZ77" s="1251"/>
      <c r="IA77" s="1251"/>
      <c r="IB77" s="1251"/>
      <c r="IC77" s="1251"/>
      <c r="ID77" s="1251"/>
      <c r="IE77" s="1251"/>
      <c r="IF77" s="1251"/>
      <c r="IG77" s="1251"/>
      <c r="IH77" s="1251"/>
      <c r="II77" s="1251"/>
      <c r="IJ77" s="1251"/>
      <c r="IK77" s="1251"/>
      <c r="IL77" s="1251"/>
      <c r="IM77" s="1251"/>
      <c r="IN77" s="1251"/>
      <c r="IO77" s="1251"/>
      <c r="IP77" s="1251"/>
      <c r="IQ77" s="1251"/>
      <c r="IR77" s="1251"/>
      <c r="IS77" s="1251"/>
      <c r="IT77" s="1251"/>
      <c r="IU77" s="1251"/>
      <c r="IV77" s="1251"/>
      <c r="IW77" s="1251"/>
      <c r="IX77" s="1251"/>
      <c r="IY77" s="1251"/>
      <c r="IZ77" s="1251"/>
      <c r="JA77" s="1251"/>
      <c r="JB77" s="1251"/>
      <c r="JC77" s="1251"/>
      <c r="JD77" s="1251"/>
      <c r="JE77" s="1251"/>
      <c r="JF77" s="1251"/>
      <c r="JG77" s="1251"/>
      <c r="JH77" s="1251"/>
      <c r="JI77" s="1251"/>
      <c r="JJ77" s="1251"/>
      <c r="JK77" s="1251"/>
      <c r="JL77" s="1251"/>
      <c r="JM77" s="1251"/>
      <c r="JN77" s="1251"/>
      <c r="JO77" s="1251"/>
      <c r="JP77" s="1251"/>
      <c r="JQ77" s="1251"/>
      <c r="JR77" s="1251"/>
      <c r="JS77" s="1251"/>
      <c r="JT77" s="1251"/>
      <c r="JU77" s="1251"/>
      <c r="JV77" s="1251"/>
      <c r="JW77" s="1251"/>
      <c r="JX77" s="1251"/>
      <c r="JY77" s="1251"/>
      <c r="JZ77" s="1251"/>
      <c r="KA77" s="1251"/>
      <c r="KB77" s="1251"/>
      <c r="KC77" s="1251"/>
      <c r="KD77" s="1251"/>
      <c r="KE77" s="1251"/>
      <c r="KF77" s="1251"/>
      <c r="KG77" s="1251"/>
      <c r="KH77" s="1251"/>
      <c r="KI77" s="1251"/>
      <c r="KJ77" s="1251"/>
      <c r="KK77" s="1251"/>
      <c r="KL77" s="1251"/>
      <c r="KM77" s="1251"/>
      <c r="KN77" s="1251"/>
      <c r="KO77" s="1251"/>
      <c r="KP77" s="1251"/>
      <c r="KQ77" s="1251"/>
      <c r="KR77" s="1251"/>
      <c r="KS77" s="1251"/>
      <c r="KT77" s="1251"/>
      <c r="KU77" s="1251"/>
      <c r="KV77" s="1251"/>
      <c r="KW77" s="1251"/>
      <c r="KX77" s="1251"/>
      <c r="KY77" s="1251"/>
      <c r="KZ77" s="1251"/>
      <c r="LA77" s="1251"/>
      <c r="LB77" s="1251"/>
      <c r="LC77" s="1251"/>
      <c r="LD77" s="1251"/>
      <c r="LE77" s="1251"/>
      <c r="LF77" s="1251"/>
      <c r="LG77" s="1251"/>
      <c r="LH77" s="1251"/>
      <c r="LI77" s="1251"/>
      <c r="LJ77" s="1251"/>
      <c r="LK77" s="1251"/>
      <c r="LL77" s="1251"/>
      <c r="LM77" s="1251"/>
      <c r="LN77" s="1251"/>
      <c r="LO77" s="1251"/>
      <c r="LP77" s="1251"/>
      <c r="LQ77" s="1251"/>
      <c r="LR77" s="1251"/>
      <c r="LS77" s="1251"/>
      <c r="LT77" s="1251"/>
      <c r="LU77" s="1251"/>
      <c r="LV77" s="1251"/>
      <c r="LW77" s="1251"/>
      <c r="LX77" s="1251"/>
      <c r="LY77" s="1251"/>
      <c r="LZ77" s="1251"/>
      <c r="MA77" s="1251"/>
      <c r="MB77" s="1251"/>
      <c r="MC77" s="1251"/>
      <c r="MD77" s="1251"/>
      <c r="ME77" s="1251"/>
      <c r="MF77" s="1251"/>
      <c r="MG77" s="1251"/>
      <c r="MH77" s="1251"/>
      <c r="MI77" s="1251"/>
      <c r="MJ77" s="1251"/>
      <c r="MK77" s="1251"/>
      <c r="ML77" s="1251"/>
      <c r="MM77" s="1251"/>
      <c r="MN77" s="1251"/>
      <c r="MO77" s="1251"/>
      <c r="MP77" s="1251"/>
      <c r="MQ77" s="1251"/>
      <c r="MR77" s="1251"/>
      <c r="MS77" s="1251"/>
      <c r="MT77" s="1251"/>
      <c r="MU77" s="1251"/>
      <c r="MV77" s="1251"/>
      <c r="MW77" s="1251"/>
      <c r="MX77" s="1251"/>
      <c r="MY77" s="1251"/>
      <c r="MZ77" s="1251"/>
      <c r="NA77" s="1251"/>
      <c r="NB77" s="1251"/>
      <c r="NC77" s="1251"/>
      <c r="ND77" s="1251"/>
      <c r="NE77" s="1251"/>
      <c r="NF77" s="1251"/>
      <c r="NG77" s="1251"/>
      <c r="NH77" s="1251"/>
      <c r="NI77" s="1251"/>
      <c r="NJ77" s="1251"/>
      <c r="NK77" s="1251"/>
      <c r="NL77" s="1251"/>
      <c r="NM77" s="1251"/>
      <c r="NN77" s="1251"/>
      <c r="NO77" s="1251"/>
      <c r="NP77" s="1251"/>
      <c r="NQ77" s="1251"/>
      <c r="NR77" s="1251"/>
      <c r="NS77" s="1251"/>
      <c r="NT77" s="1251"/>
      <c r="NU77" s="1251"/>
      <c r="NV77" s="1251"/>
      <c r="NW77" s="1251"/>
      <c r="NX77" s="1251"/>
      <c r="NY77" s="1251"/>
      <c r="NZ77" s="1251"/>
      <c r="OA77" s="1251"/>
      <c r="OB77" s="1251"/>
      <c r="OC77" s="1251"/>
      <c r="OD77" s="1251"/>
      <c r="OE77" s="1251"/>
      <c r="OF77" s="1251"/>
      <c r="OG77" s="1251"/>
      <c r="OH77" s="1251"/>
      <c r="OI77" s="1251"/>
      <c r="OJ77" s="1251"/>
      <c r="OK77" s="1251"/>
      <c r="OL77" s="1251"/>
      <c r="OM77" s="1251"/>
      <c r="ON77" s="1251"/>
      <c r="OO77" s="1251"/>
      <c r="OP77" s="1251"/>
      <c r="OQ77" s="1251"/>
      <c r="OR77" s="1251"/>
      <c r="OS77" s="1251"/>
      <c r="OT77" s="1251"/>
      <c r="OU77" s="1251"/>
      <c r="OV77" s="1251"/>
      <c r="OW77" s="1251"/>
      <c r="OX77" s="1251"/>
      <c r="OY77" s="1251"/>
      <c r="OZ77" s="1251"/>
      <c r="PA77" s="1251"/>
      <c r="PB77" s="1251"/>
      <c r="PC77" s="1251"/>
      <c r="PD77" s="1251"/>
      <c r="PE77" s="1251"/>
      <c r="PF77" s="1251"/>
      <c r="PG77" s="1251"/>
      <c r="PH77" s="1251"/>
      <c r="PI77" s="1251"/>
      <c r="PJ77" s="1251"/>
      <c r="PK77" s="1251"/>
      <c r="PL77" s="1251"/>
      <c r="PM77" s="1251"/>
      <c r="PN77" s="1251"/>
      <c r="PO77" s="1251"/>
      <c r="PP77" s="1251"/>
      <c r="PQ77" s="1251"/>
      <c r="PR77" s="1251"/>
      <c r="PS77" s="1251"/>
      <c r="PT77" s="1251"/>
      <c r="PU77" s="1251"/>
      <c r="PV77" s="1251"/>
      <c r="PW77" s="1251"/>
      <c r="PX77" s="1251"/>
      <c r="PY77" s="1251"/>
      <c r="PZ77" s="1251"/>
      <c r="QA77" s="1251"/>
      <c r="QB77" s="1251"/>
      <c r="QC77" s="1251"/>
      <c r="QD77" s="1251"/>
      <c r="QE77" s="1251"/>
      <c r="QF77" s="1251"/>
      <c r="QG77" s="1251"/>
      <c r="QH77" s="1251"/>
      <c r="QI77" s="1251"/>
      <c r="QJ77" s="1251"/>
      <c r="QK77" s="1251"/>
      <c r="QL77" s="1251"/>
      <c r="QM77" s="1251"/>
      <c r="QN77" s="1251"/>
      <c r="QO77" s="1251"/>
      <c r="QP77" s="1251"/>
      <c r="QQ77" s="1251"/>
      <c r="QR77" s="1251"/>
      <c r="QS77" s="1251"/>
      <c r="QT77" s="1251"/>
      <c r="QU77" s="1251"/>
      <c r="QV77" s="1251"/>
      <c r="QW77" s="1251"/>
      <c r="QX77" s="1251"/>
      <c r="QY77" s="1251"/>
      <c r="QZ77" s="1251"/>
      <c r="RA77" s="1251"/>
      <c r="RB77" s="1251"/>
      <c r="RC77" s="1251"/>
      <c r="RD77" s="1251"/>
      <c r="RE77" s="1251"/>
      <c r="RF77" s="1251"/>
      <c r="RG77" s="1251"/>
      <c r="RH77" s="1251"/>
      <c r="RI77" s="1251"/>
      <c r="RJ77" s="1251"/>
      <c r="RK77" s="1251"/>
      <c r="RL77" s="1251"/>
      <c r="RM77" s="1251"/>
      <c r="RN77" s="1251"/>
      <c r="RO77" s="1251"/>
      <c r="RP77" s="1251"/>
      <c r="RQ77" s="1251"/>
      <c r="RR77" s="1251"/>
      <c r="RS77" s="1251"/>
      <c r="RT77" s="1251"/>
      <c r="RU77" s="1251"/>
      <c r="RV77" s="1251"/>
      <c r="RW77" s="1251"/>
      <c r="RX77" s="1251"/>
      <c r="RY77" s="1251"/>
      <c r="RZ77" s="1251"/>
      <c r="SA77" s="1251"/>
      <c r="SB77" s="1251"/>
      <c r="SC77" s="1251"/>
      <c r="SD77" s="1251"/>
      <c r="SE77" s="1251"/>
      <c r="SF77" s="1251"/>
      <c r="SG77" s="1251"/>
      <c r="SH77" s="1251"/>
      <c r="SI77" s="1251"/>
      <c r="SJ77" s="1251"/>
      <c r="SK77" s="1251"/>
      <c r="SL77" s="1251"/>
      <c r="SM77" s="1251"/>
      <c r="SN77" s="1251"/>
      <c r="SO77" s="1251"/>
      <c r="SP77" s="1251"/>
      <c r="SQ77" s="1251"/>
      <c r="SR77" s="1251"/>
      <c r="SS77" s="1251"/>
      <c r="ST77" s="1251"/>
      <c r="SU77" s="1251"/>
      <c r="SV77" s="1251"/>
      <c r="SW77" s="1251"/>
      <c r="SX77" s="1251"/>
      <c r="SY77" s="1251"/>
      <c r="SZ77" s="1251"/>
      <c r="TA77" s="1251"/>
      <c r="TB77" s="1251"/>
      <c r="TC77" s="1251"/>
      <c r="TD77" s="1251"/>
      <c r="TE77" s="1251"/>
      <c r="TF77" s="1251"/>
      <c r="TG77" s="1251"/>
      <c r="TH77" s="1251"/>
      <c r="TI77" s="1251"/>
      <c r="TJ77" s="1251"/>
      <c r="TK77" s="1251"/>
      <c r="TL77" s="1251"/>
      <c r="TM77" s="1251"/>
      <c r="TN77" s="1251"/>
      <c r="TO77" s="1251"/>
      <c r="TP77" s="1251"/>
      <c r="TQ77" s="1251"/>
      <c r="TR77" s="1251"/>
      <c r="TS77" s="1251"/>
      <c r="TT77" s="1251"/>
      <c r="TU77" s="1251"/>
      <c r="TV77" s="1251"/>
      <c r="TW77" s="1251"/>
      <c r="TX77" s="1251"/>
      <c r="TY77" s="1251"/>
      <c r="TZ77" s="1251"/>
      <c r="UA77" s="1251"/>
      <c r="UB77" s="1251"/>
      <c r="UC77" s="1251"/>
      <c r="UD77" s="1251"/>
      <c r="UE77" s="1251"/>
      <c r="UF77" s="1251"/>
      <c r="UG77" s="1251"/>
      <c r="UH77" s="1251"/>
      <c r="UI77" s="1251"/>
      <c r="UJ77" s="1251"/>
      <c r="UK77" s="1251"/>
      <c r="UL77" s="1251"/>
      <c r="UM77" s="1251"/>
      <c r="UN77" s="1251"/>
      <c r="UO77" s="1251"/>
      <c r="UP77" s="1251"/>
      <c r="UQ77" s="1251"/>
      <c r="UR77" s="1251"/>
      <c r="US77" s="1251"/>
      <c r="UT77" s="1251"/>
      <c r="UU77" s="1251"/>
      <c r="UV77" s="1251"/>
      <c r="UW77" s="1251"/>
      <c r="UX77" s="1251"/>
      <c r="UY77" s="1251"/>
      <c r="UZ77" s="1251"/>
      <c r="VA77" s="1251"/>
      <c r="VB77" s="1251"/>
      <c r="VC77" s="1251"/>
      <c r="VD77" s="1251"/>
      <c r="VE77" s="1251"/>
      <c r="VF77" s="1251"/>
      <c r="VG77" s="1251"/>
      <c r="VH77" s="1251"/>
      <c r="VI77" s="1251"/>
      <c r="VJ77" s="1251"/>
      <c r="VK77" s="1251"/>
      <c r="VL77" s="1251"/>
      <c r="VM77" s="1251"/>
      <c r="VN77" s="1251"/>
      <c r="VO77" s="1251"/>
      <c r="VP77" s="1251"/>
      <c r="VQ77" s="1251"/>
      <c r="VR77" s="1251"/>
      <c r="VS77" s="1251"/>
      <c r="VT77" s="1251"/>
      <c r="VU77" s="1251"/>
      <c r="VV77" s="1251"/>
      <c r="VW77" s="1251"/>
      <c r="VX77" s="1251"/>
      <c r="VY77" s="1251"/>
      <c r="VZ77" s="1251"/>
      <c r="WA77" s="1251"/>
      <c r="WB77" s="1251"/>
      <c r="WC77" s="1251"/>
      <c r="WD77" s="1251"/>
      <c r="WE77" s="1251"/>
      <c r="WF77" s="1251"/>
      <c r="WG77" s="1251"/>
      <c r="WH77" s="1251"/>
      <c r="WI77" s="1251"/>
      <c r="WJ77" s="1251"/>
      <c r="WK77" s="1251"/>
      <c r="WL77" s="1251"/>
      <c r="WM77" s="1251"/>
      <c r="WN77" s="1251"/>
      <c r="WO77" s="1251"/>
      <c r="WP77" s="1251"/>
      <c r="WQ77" s="1251"/>
      <c r="WR77" s="1251"/>
      <c r="WS77" s="1251"/>
      <c r="WT77" s="1251"/>
      <c r="WU77" s="1251"/>
      <c r="WV77" s="1251"/>
      <c r="WW77" s="1251"/>
      <c r="WX77" s="1251"/>
      <c r="WY77" s="1251"/>
      <c r="WZ77" s="1251"/>
      <c r="XA77" s="1251"/>
      <c r="XB77" s="1251"/>
      <c r="XC77" s="1251"/>
      <c r="XD77" s="1251"/>
      <c r="XE77" s="1251"/>
      <c r="XF77" s="1251"/>
      <c r="XG77" s="1251"/>
      <c r="XH77" s="1251"/>
      <c r="XI77" s="1251"/>
      <c r="XJ77" s="1251"/>
      <c r="XK77" s="1251"/>
      <c r="XL77" s="1251"/>
      <c r="XM77" s="1251"/>
      <c r="XN77" s="1251"/>
      <c r="XO77" s="1251"/>
      <c r="XP77" s="1251"/>
      <c r="XQ77" s="1251"/>
      <c r="XR77" s="1251"/>
      <c r="XS77" s="1251"/>
      <c r="XT77" s="1251"/>
      <c r="XU77" s="1251"/>
      <c r="XV77" s="1251"/>
      <c r="XW77" s="1251"/>
      <c r="XX77" s="1251"/>
      <c r="XY77" s="1251"/>
      <c r="XZ77" s="1251"/>
      <c r="YA77" s="1251"/>
      <c r="YB77" s="1251"/>
      <c r="YC77" s="1251"/>
      <c r="YD77" s="1251"/>
      <c r="YE77" s="1251"/>
      <c r="YF77" s="1251"/>
      <c r="YG77" s="1251"/>
      <c r="YH77" s="1251"/>
      <c r="YI77" s="1251"/>
      <c r="YJ77" s="1251"/>
      <c r="YK77" s="1251"/>
      <c r="YL77" s="1251"/>
      <c r="YM77" s="1251"/>
      <c r="YN77" s="1251"/>
      <c r="YO77" s="1251"/>
      <c r="YP77" s="1251"/>
      <c r="YQ77" s="1251"/>
      <c r="YR77" s="1251"/>
      <c r="YS77" s="1251"/>
      <c r="YT77" s="1251"/>
      <c r="YU77" s="1251"/>
      <c r="YV77" s="1251"/>
      <c r="YW77" s="1251"/>
      <c r="YX77" s="1251"/>
      <c r="YY77" s="1251"/>
      <c r="YZ77" s="1251"/>
      <c r="ZA77" s="1251"/>
      <c r="ZB77" s="1251"/>
      <c r="ZC77" s="1251"/>
      <c r="ZD77" s="1251"/>
      <c r="ZE77" s="1251"/>
      <c r="ZF77" s="1251"/>
      <c r="ZG77" s="1251"/>
      <c r="ZH77" s="1251"/>
      <c r="ZI77" s="1251"/>
      <c r="ZJ77" s="1251"/>
      <c r="ZK77" s="1251"/>
      <c r="ZL77" s="1251"/>
      <c r="ZM77" s="1251"/>
      <c r="ZN77" s="1251"/>
      <c r="ZO77" s="1251"/>
      <c r="ZP77" s="1251"/>
      <c r="ZQ77" s="1251"/>
      <c r="ZR77" s="1251"/>
      <c r="ZS77" s="1251"/>
      <c r="ZT77" s="1251"/>
      <c r="ZU77" s="1251"/>
      <c r="ZV77" s="1251"/>
      <c r="ZW77" s="1251"/>
      <c r="ZX77" s="1251"/>
      <c r="ZY77" s="1251"/>
      <c r="ZZ77" s="1251"/>
      <c r="AAA77" s="1251"/>
      <c r="AAB77" s="1251"/>
      <c r="AAC77" s="1251"/>
      <c r="AAD77" s="1251"/>
      <c r="AAE77" s="1251"/>
      <c r="AAF77" s="1251"/>
      <c r="AAG77" s="1251"/>
      <c r="AAH77" s="1251"/>
      <c r="AAI77" s="1251"/>
      <c r="AAJ77" s="1251"/>
      <c r="AAK77" s="1251"/>
      <c r="AAL77" s="1251"/>
      <c r="AAM77" s="1251"/>
      <c r="AAN77" s="1251"/>
      <c r="AAO77" s="1251"/>
      <c r="AAP77" s="1251"/>
      <c r="AAQ77" s="1251"/>
      <c r="AAR77" s="1251"/>
      <c r="AAS77" s="1251"/>
      <c r="AAT77" s="1251"/>
      <c r="AAU77" s="1251"/>
      <c r="AAV77" s="1251"/>
      <c r="AAW77" s="1251"/>
      <c r="AAX77" s="1251"/>
      <c r="AAY77" s="1251"/>
      <c r="AAZ77" s="1251"/>
      <c r="ABA77" s="1251"/>
      <c r="ABB77" s="1251"/>
      <c r="ABC77" s="1251"/>
      <c r="ABD77" s="1251"/>
      <c r="ABE77" s="1251"/>
      <c r="ABF77" s="1251"/>
      <c r="ABG77" s="1251"/>
      <c r="ABH77" s="1251"/>
      <c r="ABI77" s="1251"/>
      <c r="ABJ77" s="1251"/>
      <c r="ABK77" s="1251"/>
      <c r="ABL77" s="1251"/>
      <c r="ABM77" s="1251"/>
      <c r="ABN77" s="1251"/>
      <c r="ABO77" s="1251"/>
      <c r="ABP77" s="1251"/>
      <c r="ABQ77" s="1251"/>
      <c r="ABR77" s="1251"/>
      <c r="ABS77" s="1251"/>
      <c r="ABT77" s="1251"/>
      <c r="ABU77" s="1251"/>
      <c r="ABV77" s="1251"/>
      <c r="ABW77" s="1251"/>
      <c r="ABX77" s="1251"/>
      <c r="ABY77" s="1251"/>
      <c r="ABZ77" s="1251"/>
      <c r="ACA77" s="1251"/>
      <c r="ACB77" s="1251"/>
      <c r="ACC77" s="1251"/>
      <c r="ACD77" s="1251"/>
      <c r="ACE77" s="1251"/>
      <c r="ACF77" s="1251"/>
      <c r="ACG77" s="1251"/>
      <c r="ACH77" s="1251"/>
      <c r="ACI77" s="1251"/>
      <c r="ACJ77" s="1251"/>
      <c r="ACK77" s="1251"/>
      <c r="ACL77" s="1251"/>
      <c r="ACM77" s="1251"/>
      <c r="ACN77" s="1251"/>
      <c r="ACO77" s="1251"/>
      <c r="ACP77" s="1251"/>
      <c r="ACQ77" s="1251"/>
      <c r="ACR77" s="1251"/>
      <c r="ACS77" s="1251"/>
      <c r="ACT77" s="1251"/>
      <c r="ACU77" s="1251"/>
      <c r="ACV77" s="1251"/>
      <c r="ACW77" s="1251"/>
      <c r="ACX77" s="1251"/>
      <c r="ACY77" s="1251"/>
      <c r="ACZ77" s="1251"/>
      <c r="ADA77" s="1251"/>
      <c r="ADB77" s="1251"/>
      <c r="ADC77" s="1251"/>
      <c r="ADD77" s="1251"/>
      <c r="ADE77" s="1251"/>
      <c r="ADF77" s="1251"/>
      <c r="ADG77" s="1251"/>
      <c r="ADH77" s="1251"/>
      <c r="ADI77" s="1251"/>
      <c r="ADJ77" s="1251"/>
      <c r="ADK77" s="1251"/>
      <c r="ADL77" s="1251"/>
      <c r="ADM77" s="1251"/>
      <c r="ADN77" s="1251"/>
      <c r="ADO77" s="1251"/>
      <c r="ADP77" s="1251"/>
      <c r="ADQ77" s="1251"/>
      <c r="ADR77" s="1251"/>
      <c r="ADS77" s="1251"/>
      <c r="ADT77" s="1251"/>
      <c r="ADU77" s="1251"/>
      <c r="ADV77" s="1251"/>
      <c r="ADW77" s="1251"/>
      <c r="ADX77" s="1251"/>
      <c r="ADY77" s="1251"/>
      <c r="ADZ77" s="1251"/>
      <c r="AEA77" s="1251"/>
      <c r="AEB77" s="1251"/>
      <c r="AEC77" s="1251"/>
      <c r="AED77" s="1251"/>
      <c r="AEE77" s="1251"/>
      <c r="AEF77" s="1251"/>
      <c r="AEG77" s="1251"/>
      <c r="AEH77" s="1251"/>
      <c r="AEI77" s="1251"/>
      <c r="AEJ77" s="1251"/>
      <c r="AEK77" s="1251"/>
      <c r="AEL77" s="1251"/>
      <c r="AEM77" s="1251"/>
      <c r="AEN77" s="1251"/>
      <c r="AEO77" s="1251"/>
      <c r="AEP77" s="1251"/>
      <c r="AEQ77" s="1251"/>
      <c r="AER77" s="1251"/>
      <c r="AES77" s="1251"/>
      <c r="AET77" s="1251"/>
      <c r="AEU77" s="1251"/>
      <c r="AEV77" s="1251"/>
      <c r="AEW77" s="1251"/>
      <c r="AEX77" s="1251"/>
      <c r="AEY77" s="1251"/>
      <c r="AEZ77" s="1251"/>
      <c r="AFA77" s="1251"/>
      <c r="AFB77" s="1251"/>
      <c r="AFC77" s="1251"/>
      <c r="AFD77" s="1251"/>
      <c r="AFE77" s="1251"/>
      <c r="AFF77" s="1251"/>
      <c r="AFG77" s="1251"/>
      <c r="AFH77" s="1251"/>
      <c r="AFI77" s="1251"/>
      <c r="AFJ77" s="1251"/>
      <c r="AFK77" s="1251"/>
      <c r="AFL77" s="1251"/>
      <c r="AFM77" s="1251"/>
      <c r="AFN77" s="1251"/>
      <c r="AFO77" s="1251"/>
      <c r="AFP77" s="1251"/>
      <c r="AFQ77" s="1251"/>
      <c r="AFR77" s="1251"/>
      <c r="AFS77" s="1251"/>
      <c r="AFT77" s="1251"/>
      <c r="AFU77" s="1251"/>
      <c r="AFV77" s="1251"/>
      <c r="AFW77" s="1251"/>
      <c r="AFX77" s="1251"/>
      <c r="AFY77" s="1251"/>
      <c r="AFZ77" s="1251"/>
      <c r="AGA77" s="1251"/>
      <c r="AGB77" s="1251"/>
      <c r="AGC77" s="1251"/>
      <c r="AGD77" s="1251"/>
      <c r="AGE77" s="1251"/>
      <c r="AGF77" s="1251"/>
      <c r="AGG77" s="1251"/>
      <c r="AGH77" s="1251"/>
      <c r="AGI77" s="1251"/>
      <c r="AGJ77" s="1251"/>
      <c r="AGK77" s="1251"/>
      <c r="AGL77" s="1251"/>
      <c r="AGM77" s="1251"/>
      <c r="AGN77" s="1251"/>
      <c r="AGO77" s="1251"/>
      <c r="AGP77" s="1251"/>
      <c r="AGQ77" s="1251"/>
      <c r="AGR77" s="1251"/>
      <c r="AGS77" s="1251"/>
      <c r="AGT77" s="1251"/>
      <c r="AGU77" s="1251"/>
      <c r="AGV77" s="1251"/>
      <c r="AGW77" s="1251"/>
      <c r="AGX77" s="1251"/>
      <c r="AGY77" s="1251"/>
      <c r="AGZ77" s="1251"/>
      <c r="AHA77" s="1251"/>
      <c r="AHB77" s="1251"/>
      <c r="AHC77" s="1251"/>
      <c r="AHD77" s="1251"/>
      <c r="AHE77" s="1251"/>
      <c r="AHF77" s="1251"/>
      <c r="AHG77" s="1251"/>
      <c r="AHH77" s="1251"/>
      <c r="AHI77" s="1251"/>
      <c r="AHJ77" s="1251"/>
      <c r="AHK77" s="1251"/>
      <c r="AHL77" s="1251"/>
      <c r="AHM77" s="1251"/>
      <c r="AHN77" s="1251"/>
      <c r="AHO77" s="1251"/>
      <c r="AHP77" s="1251"/>
      <c r="AHQ77" s="1251"/>
      <c r="AHR77" s="1251"/>
      <c r="AHS77" s="1251"/>
      <c r="AHT77" s="1251"/>
      <c r="AHU77" s="1251"/>
      <c r="AHV77" s="1251"/>
      <c r="AHW77" s="1251"/>
      <c r="AHX77" s="1251"/>
      <c r="AHY77" s="1251"/>
      <c r="AHZ77" s="1251"/>
      <c r="AIA77" s="1251"/>
      <c r="AIB77" s="1251"/>
      <c r="AIC77" s="1251"/>
      <c r="AID77" s="1251"/>
      <c r="AIE77" s="1251"/>
      <c r="AIF77" s="1251"/>
      <c r="AIG77" s="1251"/>
      <c r="AIH77" s="1251"/>
      <c r="AII77" s="1251"/>
      <c r="AIJ77" s="1251"/>
      <c r="AIK77" s="1251"/>
      <c r="AIL77" s="1251"/>
      <c r="AIM77" s="1251"/>
      <c r="AIN77" s="1251"/>
      <c r="AIO77" s="1251"/>
      <c r="AIP77" s="1251"/>
      <c r="AIQ77" s="1251"/>
      <c r="AIR77" s="1251"/>
      <c r="AIS77" s="1251"/>
      <c r="AIT77" s="1251"/>
      <c r="AIU77" s="1251"/>
      <c r="AIV77" s="1251"/>
      <c r="AIW77" s="1251"/>
      <c r="AIX77" s="1251"/>
      <c r="AIY77" s="1251"/>
      <c r="AIZ77" s="1251"/>
      <c r="AJA77" s="1251"/>
      <c r="AJB77" s="1251"/>
      <c r="AJC77" s="1251"/>
      <c r="AJD77" s="1251"/>
      <c r="AJE77" s="1251"/>
      <c r="AJF77" s="1251"/>
      <c r="AJG77" s="1251"/>
      <c r="AJH77" s="1251"/>
      <c r="AJI77" s="1251"/>
      <c r="AJJ77" s="1251"/>
      <c r="AJK77" s="1251"/>
      <c r="AJL77" s="1251"/>
      <c r="AJM77" s="1251"/>
      <c r="AJN77" s="1251"/>
      <c r="AJO77" s="1251"/>
      <c r="AJP77" s="1251"/>
      <c r="AJQ77" s="1251"/>
      <c r="AJR77" s="1251"/>
      <c r="AJS77" s="1251"/>
      <c r="AJT77" s="1251"/>
      <c r="AJU77" s="1251"/>
      <c r="AJV77" s="1251"/>
      <c r="AJW77" s="1251"/>
      <c r="AJX77" s="1251"/>
      <c r="AJY77" s="1251"/>
      <c r="AJZ77" s="1251"/>
      <c r="AKA77" s="1251"/>
      <c r="AKB77" s="1251"/>
      <c r="AKC77" s="1251"/>
      <c r="AKD77" s="1251"/>
      <c r="AKE77" s="1251"/>
      <c r="AKF77" s="1251"/>
      <c r="AKG77" s="1251"/>
      <c r="AKH77" s="1251"/>
      <c r="AKI77" s="1251"/>
      <c r="AKJ77" s="1251"/>
      <c r="AKK77" s="1251"/>
      <c r="AKL77" s="1251"/>
      <c r="AKM77" s="1251"/>
      <c r="AKN77" s="1251"/>
      <c r="AKO77" s="1251"/>
      <c r="AKP77" s="1251"/>
      <c r="AKQ77" s="1251"/>
      <c r="AKR77" s="1251"/>
      <c r="AKS77" s="1251"/>
      <c r="AKT77" s="1251"/>
      <c r="AKU77" s="1251"/>
      <c r="AKV77" s="1251"/>
      <c r="AKW77" s="1251"/>
      <c r="AKX77" s="1251"/>
      <c r="AKY77" s="1251"/>
      <c r="AKZ77" s="1251"/>
      <c r="ALA77" s="1251"/>
      <c r="ALB77" s="1251"/>
      <c r="ALC77" s="1251"/>
      <c r="ALD77" s="1251"/>
      <c r="ALE77" s="1251"/>
      <c r="ALF77" s="1251"/>
      <c r="ALG77" s="1251"/>
      <c r="ALH77" s="1251"/>
      <c r="ALI77" s="1251"/>
      <c r="ALJ77" s="1251"/>
      <c r="ALK77" s="1251"/>
      <c r="ALL77" s="1251"/>
      <c r="ALM77" s="1251"/>
      <c r="ALN77" s="1251"/>
      <c r="ALO77" s="1251"/>
      <c r="ALP77" s="1251"/>
      <c r="ALQ77" s="1251"/>
      <c r="ALR77" s="1251"/>
      <c r="ALS77" s="1251"/>
      <c r="ALT77" s="1251"/>
      <c r="ALU77" s="1251"/>
      <c r="ALV77" s="1251"/>
      <c r="ALW77" s="1251"/>
      <c r="ALX77" s="1251"/>
      <c r="ALY77" s="1251"/>
      <c r="ALZ77" s="1251"/>
      <c r="AMA77" s="1251"/>
      <c r="AMB77" s="1251"/>
      <c r="AMC77" s="1251"/>
      <c r="AMD77" s="1251"/>
      <c r="AME77" s="1251"/>
      <c r="AMF77" s="1251"/>
      <c r="AMG77" s="1251"/>
      <c r="AMH77" s="1251"/>
      <c r="AMI77" s="1251"/>
      <c r="AMJ77" s="1251"/>
      <c r="AMK77" s="1251"/>
      <c r="AML77" s="1251"/>
      <c r="AMM77" s="1251"/>
      <c r="AMN77" s="1251"/>
      <c r="AMO77" s="1251"/>
      <c r="AMP77" s="1251"/>
      <c r="AMQ77" s="1251"/>
      <c r="AMR77" s="1251"/>
      <c r="AMS77" s="1251"/>
      <c r="AMT77" s="1251"/>
      <c r="AMU77" s="1251"/>
      <c r="AMV77" s="1251"/>
      <c r="AMW77" s="1251"/>
      <c r="AMX77" s="1251"/>
      <c r="AMY77" s="1251"/>
      <c r="AMZ77" s="1251"/>
      <c r="ANA77" s="1251"/>
      <c r="ANB77" s="1251"/>
      <c r="ANC77" s="1251"/>
      <c r="AND77" s="1251"/>
      <c r="ANE77" s="1251"/>
      <c r="ANF77" s="1251"/>
      <c r="ANG77" s="1251"/>
      <c r="ANH77" s="1251"/>
      <c r="ANI77" s="1251"/>
      <c r="ANJ77" s="1251"/>
      <c r="ANK77" s="1251"/>
      <c r="ANL77" s="1251"/>
      <c r="ANM77" s="1251"/>
      <c r="ANN77" s="1251"/>
      <c r="ANO77" s="1251"/>
      <c r="ANP77" s="1251"/>
      <c r="ANQ77" s="1251"/>
      <c r="ANR77" s="1251"/>
      <c r="ANS77" s="1251"/>
      <c r="ANT77" s="1251"/>
      <c r="ANU77" s="1251"/>
      <c r="ANV77" s="1251"/>
      <c r="ANW77" s="1251"/>
      <c r="ANX77" s="1251"/>
      <c r="ANY77" s="1251"/>
      <c r="ANZ77" s="1251"/>
      <c r="AOA77" s="1251"/>
      <c r="AOB77" s="1251"/>
      <c r="AOC77" s="1251"/>
      <c r="AOD77" s="1251"/>
      <c r="AOE77" s="1251"/>
      <c r="AOF77" s="1251"/>
      <c r="AOG77" s="1251"/>
      <c r="AOH77" s="1251"/>
      <c r="AOI77" s="1251"/>
      <c r="AOJ77" s="1251"/>
      <c r="AOK77" s="1251"/>
      <c r="AOL77" s="1251"/>
      <c r="AOM77" s="1251"/>
      <c r="AON77" s="1251"/>
      <c r="AOO77" s="1251"/>
      <c r="AOP77" s="1251"/>
      <c r="AOQ77" s="1251"/>
      <c r="AOR77" s="1251"/>
      <c r="AOS77" s="1251"/>
      <c r="AOT77" s="1251"/>
      <c r="AOU77" s="1251"/>
      <c r="AOV77" s="1251"/>
      <c r="AOW77" s="1251"/>
      <c r="AOX77" s="1251"/>
      <c r="AOY77" s="1251"/>
      <c r="AOZ77" s="1251"/>
      <c r="APA77" s="1251"/>
      <c r="APB77" s="1251"/>
      <c r="APC77" s="1251"/>
      <c r="APD77" s="1251"/>
      <c r="APE77" s="1251"/>
      <c r="APF77" s="1251"/>
      <c r="APG77" s="1251"/>
      <c r="APH77" s="1251"/>
      <c r="API77" s="1251"/>
      <c r="APJ77" s="1251"/>
      <c r="APK77" s="1251"/>
      <c r="APL77" s="1251"/>
      <c r="APM77" s="1251"/>
      <c r="APN77" s="1251"/>
      <c r="APO77" s="1251"/>
      <c r="APP77" s="1251"/>
      <c r="APQ77" s="1251"/>
      <c r="APR77" s="1251"/>
      <c r="APS77" s="1251"/>
      <c r="APT77" s="1251"/>
      <c r="APU77" s="1251"/>
      <c r="APV77" s="1251"/>
      <c r="APW77" s="1251"/>
      <c r="APX77" s="1251"/>
      <c r="APY77" s="1251"/>
      <c r="APZ77" s="1251"/>
      <c r="AQA77" s="1251"/>
      <c r="AQB77" s="1251"/>
      <c r="AQC77" s="1251"/>
      <c r="AQD77" s="1251"/>
      <c r="AQE77" s="1251"/>
      <c r="AQF77" s="1251"/>
      <c r="AQG77" s="1251"/>
      <c r="AQH77" s="1251"/>
      <c r="AQI77" s="1251"/>
      <c r="AQJ77" s="1251"/>
      <c r="AQK77" s="1251"/>
      <c r="AQL77" s="1251"/>
      <c r="AQM77" s="1251"/>
      <c r="AQN77" s="1251"/>
      <c r="AQO77" s="1251"/>
      <c r="AQP77" s="1251"/>
      <c r="AQQ77" s="1251"/>
      <c r="AQR77" s="1251"/>
      <c r="AQS77" s="1251"/>
      <c r="AQT77" s="1251"/>
      <c r="AQU77" s="1251"/>
      <c r="AQV77" s="1251"/>
      <c r="AQW77" s="1251"/>
      <c r="AQX77" s="1251"/>
      <c r="AQY77" s="1251"/>
      <c r="AQZ77" s="1251"/>
      <c r="ARA77" s="1251"/>
      <c r="ARB77" s="1251"/>
      <c r="ARC77" s="1251"/>
      <c r="ARD77" s="1251"/>
      <c r="ARE77" s="1251"/>
      <c r="ARF77" s="1251"/>
      <c r="ARG77" s="1251"/>
      <c r="ARH77" s="1251"/>
      <c r="ARI77" s="1251"/>
      <c r="ARJ77" s="1251"/>
      <c r="ARK77" s="1251"/>
      <c r="ARL77" s="1251"/>
      <c r="ARM77" s="1251"/>
      <c r="ARN77" s="1251"/>
      <c r="ARO77" s="1251"/>
      <c r="ARP77" s="1251"/>
      <c r="ARQ77" s="1251"/>
      <c r="ARR77" s="1251"/>
      <c r="ARS77" s="1251"/>
      <c r="ART77" s="1251"/>
      <c r="ARU77" s="1251"/>
      <c r="ARV77" s="1251"/>
      <c r="ARW77" s="1251"/>
      <c r="ARX77" s="1251"/>
      <c r="ARY77" s="1251"/>
      <c r="ARZ77" s="1251"/>
      <c r="ASA77" s="1251"/>
      <c r="ASB77" s="1251"/>
      <c r="ASC77" s="1251"/>
      <c r="ASD77" s="1251"/>
      <c r="ASE77" s="1251"/>
      <c r="ASF77" s="1251"/>
      <c r="ASG77" s="1251"/>
      <c r="ASH77" s="1251"/>
      <c r="ASI77" s="1251"/>
      <c r="ASJ77" s="1251"/>
      <c r="ASK77" s="1251"/>
      <c r="ASL77" s="1251"/>
      <c r="ASM77" s="1251"/>
      <c r="ASN77" s="1251"/>
      <c r="ASO77" s="1251"/>
      <c r="ASP77" s="1251"/>
      <c r="ASQ77" s="1251"/>
      <c r="ASR77" s="1251"/>
      <c r="ASS77" s="1251"/>
      <c r="AST77" s="1251"/>
      <c r="ASU77" s="1251"/>
      <c r="ASV77" s="1251"/>
      <c r="ASW77" s="1251"/>
      <c r="ASX77" s="1251"/>
      <c r="ASY77" s="1251"/>
      <c r="ASZ77" s="1251"/>
      <c r="ATA77" s="1251"/>
      <c r="ATB77" s="1251"/>
      <c r="ATC77" s="1251"/>
      <c r="ATD77" s="1251"/>
      <c r="ATE77" s="1251"/>
      <c r="ATF77" s="1251"/>
      <c r="ATG77" s="1251"/>
      <c r="ATH77" s="1251"/>
      <c r="ATI77" s="1251"/>
      <c r="ATJ77" s="1251"/>
      <c r="ATK77" s="1251"/>
      <c r="ATL77" s="1251"/>
      <c r="ATM77" s="1251"/>
      <c r="ATN77" s="1251"/>
      <c r="ATO77" s="1251"/>
      <c r="ATP77" s="1251"/>
      <c r="ATQ77" s="1251"/>
      <c r="ATR77" s="1251"/>
      <c r="ATS77" s="1251"/>
      <c r="ATT77" s="1251"/>
      <c r="ATU77" s="1251"/>
      <c r="ATV77" s="1251"/>
      <c r="ATW77" s="1251"/>
      <c r="ATX77" s="1251"/>
      <c r="ATY77" s="1251"/>
      <c r="ATZ77" s="1251"/>
      <c r="AUA77" s="1251"/>
      <c r="AUB77" s="1251"/>
      <c r="AUC77" s="1251"/>
      <c r="AUD77" s="1251"/>
      <c r="AUE77" s="1251"/>
      <c r="AUF77" s="1251"/>
      <c r="AUG77" s="1251"/>
      <c r="AUH77" s="1251"/>
      <c r="AUI77" s="1251"/>
      <c r="AUJ77" s="1251"/>
      <c r="AUK77" s="1251"/>
      <c r="AUL77" s="1251"/>
      <c r="AUM77" s="1251"/>
      <c r="AUN77" s="1251"/>
      <c r="AUO77" s="1251"/>
      <c r="AUP77" s="1251"/>
      <c r="AUQ77" s="1251"/>
      <c r="AUR77" s="1251"/>
      <c r="AUS77" s="1251"/>
      <c r="AUT77" s="1251"/>
      <c r="AUU77" s="1251"/>
      <c r="AUV77" s="1251"/>
      <c r="AUW77" s="1251"/>
      <c r="AUX77" s="1251"/>
      <c r="AUY77" s="1251"/>
      <c r="AUZ77" s="1251"/>
      <c r="AVA77" s="1251"/>
      <c r="AVB77" s="1251"/>
      <c r="AVC77" s="1251"/>
      <c r="AVD77" s="1251"/>
      <c r="AVE77" s="1251"/>
      <c r="AVF77" s="1251"/>
      <c r="AVG77" s="1251"/>
      <c r="AVH77" s="1251"/>
      <c r="AVI77" s="1251"/>
      <c r="AVJ77" s="1251"/>
      <c r="AVK77" s="1251"/>
      <c r="AVL77" s="1251"/>
      <c r="AVM77" s="1251"/>
      <c r="AVN77" s="1251"/>
      <c r="AVO77" s="1251"/>
      <c r="AVP77" s="1251"/>
      <c r="AVQ77" s="1251"/>
      <c r="AVR77" s="1251"/>
      <c r="AVS77" s="1251"/>
      <c r="AVT77" s="1251"/>
      <c r="AVU77" s="1251"/>
      <c r="AVV77" s="1251"/>
      <c r="AVW77" s="1251"/>
      <c r="AVX77" s="1251"/>
      <c r="AVY77" s="1251"/>
      <c r="AVZ77" s="1251"/>
      <c r="AWA77" s="1251"/>
      <c r="AWB77" s="1251"/>
      <c r="AWC77" s="1251"/>
      <c r="AWD77" s="1251"/>
      <c r="AWE77" s="1251"/>
      <c r="AWF77" s="1251"/>
      <c r="AWG77" s="1251"/>
      <c r="AWH77" s="1251"/>
      <c r="AWI77" s="1251"/>
      <c r="AWJ77" s="1251"/>
      <c r="AWK77" s="1251"/>
      <c r="AWL77" s="1251"/>
      <c r="AWM77" s="1251"/>
      <c r="AWN77" s="1251"/>
      <c r="AWO77" s="1251"/>
      <c r="AWP77" s="1251"/>
      <c r="AWQ77" s="1251"/>
      <c r="AWR77" s="1251"/>
      <c r="AWS77" s="1251"/>
      <c r="AWT77" s="1251"/>
      <c r="AWU77" s="1251"/>
      <c r="AWV77" s="1251"/>
      <c r="AWW77" s="1251"/>
      <c r="AWX77" s="1251"/>
      <c r="AWY77" s="1251"/>
      <c r="AWZ77" s="1251"/>
      <c r="AXA77" s="1251"/>
      <c r="AXB77" s="1251"/>
      <c r="AXC77" s="1251"/>
      <c r="AXD77" s="1251"/>
      <c r="AXE77" s="1251"/>
      <c r="AXF77" s="1251"/>
      <c r="AXG77" s="1251"/>
      <c r="AXH77" s="1251"/>
      <c r="AXI77" s="1251"/>
      <c r="AXJ77" s="1251"/>
      <c r="AXK77" s="1251"/>
      <c r="AXL77" s="1251"/>
      <c r="AXM77" s="1251"/>
      <c r="AXN77" s="1251"/>
      <c r="AXO77" s="1251"/>
      <c r="AXP77" s="1251"/>
      <c r="AXQ77" s="1251"/>
      <c r="AXR77" s="1251"/>
      <c r="AXS77" s="1251"/>
      <c r="AXT77" s="1251"/>
      <c r="AXU77" s="1251"/>
      <c r="AXV77" s="1251"/>
      <c r="AXW77" s="1251"/>
      <c r="AXX77" s="1251"/>
      <c r="AXY77" s="1251"/>
      <c r="AXZ77" s="1251"/>
      <c r="AYA77" s="1251"/>
      <c r="AYB77" s="1251"/>
      <c r="AYC77" s="1251"/>
      <c r="AYD77" s="1251"/>
      <c r="AYE77" s="1251"/>
      <c r="AYF77" s="1251"/>
      <c r="AYG77" s="1251"/>
      <c r="AYH77" s="1251"/>
      <c r="AYI77" s="1251"/>
      <c r="AYJ77" s="1251"/>
      <c r="AYK77" s="1251"/>
      <c r="AYL77" s="1251"/>
      <c r="AYM77" s="1251"/>
      <c r="AYN77" s="1251"/>
      <c r="AYO77" s="1251"/>
      <c r="AYP77" s="1251"/>
      <c r="AYQ77" s="1251"/>
      <c r="AYR77" s="1251"/>
      <c r="AYS77" s="1251"/>
      <c r="AYT77" s="1251"/>
      <c r="AYU77" s="1251"/>
      <c r="AYV77" s="1251"/>
      <c r="AYW77" s="1251"/>
      <c r="AYX77" s="1251"/>
      <c r="AYY77" s="1251"/>
      <c r="AYZ77" s="1251"/>
      <c r="AZA77" s="1251"/>
      <c r="AZB77" s="1251"/>
      <c r="AZC77" s="1251"/>
      <c r="AZD77" s="1251"/>
      <c r="AZE77" s="1251"/>
      <c r="AZF77" s="1251"/>
      <c r="AZG77" s="1251"/>
      <c r="AZH77" s="1251"/>
      <c r="AZI77" s="1251"/>
      <c r="AZJ77" s="1251"/>
      <c r="AZK77" s="1251"/>
      <c r="AZL77" s="1251"/>
      <c r="AZM77" s="1251"/>
      <c r="AZN77" s="1251"/>
      <c r="AZO77" s="1251"/>
      <c r="AZP77" s="1251"/>
      <c r="AZQ77" s="1251"/>
      <c r="AZR77" s="1251"/>
      <c r="AZS77" s="1251"/>
      <c r="AZT77" s="1251"/>
      <c r="AZU77" s="1251"/>
      <c r="AZV77" s="1251"/>
      <c r="AZW77" s="1251"/>
      <c r="AZX77" s="1251"/>
      <c r="AZY77" s="1251"/>
      <c r="AZZ77" s="1251"/>
      <c r="BAA77" s="1251"/>
      <c r="BAB77" s="1251"/>
      <c r="BAC77" s="1251"/>
      <c r="BAD77" s="1251"/>
      <c r="BAE77" s="1251"/>
      <c r="BAF77" s="1251"/>
      <c r="BAG77" s="1251"/>
      <c r="BAH77" s="1251"/>
      <c r="BAI77" s="1251"/>
      <c r="BAJ77" s="1251"/>
      <c r="BAK77" s="1251"/>
      <c r="BAL77" s="1251"/>
      <c r="BAM77" s="1251"/>
      <c r="BAN77" s="1251"/>
      <c r="BAO77" s="1251"/>
      <c r="BAP77" s="1251"/>
      <c r="BAQ77" s="1251"/>
      <c r="BAR77" s="1251"/>
      <c r="BAS77" s="1251"/>
      <c r="BAT77" s="1251"/>
      <c r="BAU77" s="1251"/>
      <c r="BAV77" s="1251"/>
      <c r="BAW77" s="1251"/>
      <c r="BAX77" s="1251"/>
      <c r="BAY77" s="1251"/>
      <c r="BAZ77" s="1251"/>
      <c r="BBA77" s="1251"/>
      <c r="BBB77" s="1251"/>
      <c r="BBC77" s="1251"/>
      <c r="BBD77" s="1251"/>
      <c r="BBE77" s="1251"/>
      <c r="BBF77" s="1251"/>
      <c r="BBG77" s="1251"/>
      <c r="BBH77" s="1251"/>
      <c r="BBI77" s="1251"/>
      <c r="BBJ77" s="1251"/>
      <c r="BBK77" s="1251"/>
      <c r="BBL77" s="1251"/>
      <c r="BBM77" s="1251"/>
      <c r="BBN77" s="1251"/>
      <c r="BBO77" s="1251"/>
      <c r="BBP77" s="1251"/>
      <c r="BBQ77" s="1251"/>
      <c r="BBR77" s="1251"/>
      <c r="BBS77" s="1251"/>
      <c r="BBT77" s="1251"/>
      <c r="BBU77" s="1251"/>
      <c r="BBV77" s="1251"/>
      <c r="BBW77" s="1251"/>
      <c r="BBX77" s="1251"/>
      <c r="BBY77" s="1251"/>
      <c r="BBZ77" s="1251"/>
      <c r="BCA77" s="1251"/>
      <c r="BCB77" s="1251"/>
      <c r="BCC77" s="1251"/>
      <c r="BCD77" s="1251"/>
      <c r="BCE77" s="1251"/>
      <c r="BCF77" s="1251"/>
      <c r="BCG77" s="1251"/>
      <c r="BCH77" s="1251"/>
      <c r="BCI77" s="1251"/>
      <c r="BCJ77" s="1251"/>
      <c r="BCK77" s="1251"/>
      <c r="BCL77" s="1251"/>
      <c r="BCM77" s="1251"/>
      <c r="BCN77" s="1251"/>
      <c r="BCO77" s="1251"/>
      <c r="BCP77" s="1251"/>
      <c r="BCQ77" s="1251"/>
      <c r="BCR77" s="1251"/>
      <c r="BCS77" s="1251"/>
      <c r="BCT77" s="1251"/>
      <c r="BCU77" s="1251"/>
      <c r="BCV77" s="1251"/>
      <c r="BCW77" s="1251"/>
      <c r="BCX77" s="1251"/>
      <c r="BCY77" s="1251"/>
      <c r="BCZ77" s="1251"/>
      <c r="BDA77" s="1251"/>
      <c r="BDB77" s="1251"/>
      <c r="BDC77" s="1251"/>
      <c r="BDD77" s="1251"/>
      <c r="BDE77" s="1251"/>
      <c r="BDF77" s="1251"/>
      <c r="BDG77" s="1251"/>
      <c r="BDH77" s="1251"/>
      <c r="BDI77" s="1251"/>
      <c r="BDJ77" s="1251"/>
      <c r="BDK77" s="1251"/>
      <c r="BDL77" s="1251"/>
      <c r="BDM77" s="1251"/>
      <c r="BDN77" s="1251"/>
      <c r="BDO77" s="1251"/>
      <c r="BDP77" s="1251"/>
      <c r="BDQ77" s="1251"/>
      <c r="BDR77" s="1251"/>
      <c r="BDS77" s="1251"/>
      <c r="BDT77" s="1251"/>
      <c r="BDU77" s="1251"/>
      <c r="BDV77" s="1251"/>
      <c r="BDW77" s="1251"/>
      <c r="BDX77" s="1251"/>
      <c r="BDY77" s="1251"/>
      <c r="BDZ77" s="1251"/>
      <c r="BEA77" s="1251"/>
      <c r="BEB77" s="1251"/>
      <c r="BEC77" s="1251"/>
      <c r="BED77" s="1251"/>
      <c r="BEE77" s="1251"/>
      <c r="BEF77" s="1251"/>
      <c r="BEG77" s="1251"/>
      <c r="BEH77" s="1251"/>
      <c r="BEI77" s="1251"/>
      <c r="BEJ77" s="1251"/>
      <c r="BEK77" s="1251"/>
      <c r="BEL77" s="1251"/>
      <c r="BEM77" s="1251"/>
      <c r="BEN77" s="1251"/>
      <c r="BEO77" s="1251"/>
      <c r="BEP77" s="1251"/>
      <c r="BEQ77" s="1251"/>
      <c r="BER77" s="1251"/>
      <c r="BES77" s="1251"/>
      <c r="BET77" s="1251"/>
      <c r="BEU77" s="1251"/>
      <c r="BEV77" s="1251"/>
      <c r="BEW77" s="1251"/>
      <c r="BEX77" s="1251"/>
      <c r="BEY77" s="1251"/>
      <c r="BEZ77" s="1251"/>
      <c r="BFA77" s="1251"/>
      <c r="BFB77" s="1251"/>
      <c r="BFC77" s="1251"/>
      <c r="BFD77" s="1251"/>
      <c r="BFE77" s="1251"/>
      <c r="BFF77" s="1251"/>
      <c r="BFG77" s="1251"/>
      <c r="BFH77" s="1251"/>
      <c r="BFI77" s="1251"/>
      <c r="BFJ77" s="1251"/>
      <c r="BFK77" s="1251"/>
      <c r="BFL77" s="1251"/>
      <c r="BFM77" s="1251"/>
      <c r="BFN77" s="1251"/>
      <c r="BFO77" s="1251"/>
      <c r="BFP77" s="1251"/>
      <c r="BFQ77" s="1251"/>
      <c r="BFR77" s="1251"/>
      <c r="BFS77" s="1251"/>
      <c r="BFT77" s="1251"/>
      <c r="BFU77" s="1251"/>
      <c r="BFV77" s="1251"/>
      <c r="BFW77" s="1251"/>
      <c r="BFX77" s="1251"/>
      <c r="BFY77" s="1251"/>
      <c r="BFZ77" s="1251"/>
      <c r="BGA77" s="1251"/>
      <c r="BGB77" s="1251"/>
      <c r="BGC77" s="1251"/>
      <c r="BGD77" s="1251"/>
      <c r="BGE77" s="1251"/>
      <c r="BGF77" s="1251"/>
      <c r="BGG77" s="1251"/>
      <c r="BGH77" s="1251"/>
      <c r="BGI77" s="1251"/>
      <c r="BGJ77" s="1251"/>
      <c r="BGK77" s="1251"/>
      <c r="BGL77" s="1251"/>
      <c r="BGM77" s="1251"/>
      <c r="BGN77" s="1251"/>
      <c r="BGO77" s="1251"/>
      <c r="BGP77" s="1251"/>
      <c r="BGQ77" s="1251"/>
      <c r="BGR77" s="1251"/>
      <c r="BGS77" s="1251"/>
      <c r="BGT77" s="1251"/>
      <c r="BGU77" s="1251"/>
      <c r="BGV77" s="1251"/>
      <c r="BGW77" s="1251"/>
      <c r="BGX77" s="1251"/>
      <c r="BGY77" s="1251"/>
      <c r="BGZ77" s="1251"/>
      <c r="BHA77" s="1251"/>
      <c r="BHB77" s="1251"/>
      <c r="BHC77" s="1251"/>
      <c r="BHD77" s="1251"/>
      <c r="BHE77" s="1251"/>
      <c r="BHF77" s="1251"/>
      <c r="BHG77" s="1251"/>
      <c r="BHH77" s="1251"/>
      <c r="BHI77" s="1251"/>
      <c r="BHJ77" s="1251"/>
      <c r="BHK77" s="1251"/>
      <c r="BHL77" s="1251"/>
      <c r="BHM77" s="1251"/>
      <c r="BHN77" s="1251"/>
      <c r="BHO77" s="1251"/>
      <c r="BHP77" s="1251"/>
      <c r="BHQ77" s="1251"/>
      <c r="BHR77" s="1251"/>
      <c r="BHS77" s="1251"/>
      <c r="BHT77" s="1251"/>
      <c r="BHU77" s="1251"/>
      <c r="BHV77" s="1251"/>
      <c r="BHW77" s="1251"/>
      <c r="BHX77" s="1251"/>
      <c r="BHY77" s="1251"/>
      <c r="BHZ77" s="1251"/>
      <c r="BIA77" s="1251"/>
      <c r="BIB77" s="1251"/>
      <c r="BIC77" s="1251"/>
      <c r="BID77" s="1251"/>
      <c r="BIE77" s="1251"/>
      <c r="BIF77" s="1251"/>
      <c r="BIG77" s="1251"/>
      <c r="BIH77" s="1251"/>
      <c r="BII77" s="1251"/>
      <c r="BIJ77" s="1251"/>
      <c r="BIK77" s="1251"/>
      <c r="BIL77" s="1251"/>
      <c r="BIM77" s="1251"/>
      <c r="BIN77" s="1251"/>
      <c r="BIO77" s="1251"/>
      <c r="BIP77" s="1251"/>
      <c r="BIQ77" s="1251"/>
      <c r="BIR77" s="1251"/>
      <c r="BIS77" s="1251"/>
      <c r="BIT77" s="1251"/>
      <c r="BIU77" s="1251"/>
      <c r="BIV77" s="1251"/>
      <c r="BIW77" s="1251"/>
      <c r="BIX77" s="1251"/>
      <c r="BIY77" s="1251"/>
      <c r="BIZ77" s="1251"/>
      <c r="BJA77" s="1251"/>
      <c r="BJB77" s="1251"/>
      <c r="BJC77" s="1251"/>
      <c r="BJD77" s="1251"/>
      <c r="BJE77" s="1251"/>
      <c r="BJF77" s="1251"/>
      <c r="BJG77" s="1251"/>
      <c r="BJH77" s="1251"/>
      <c r="BJI77" s="1251"/>
      <c r="BJJ77" s="1251"/>
      <c r="BJK77" s="1251"/>
      <c r="BJL77" s="1251"/>
      <c r="BJM77" s="1251"/>
      <c r="BJN77" s="1251"/>
      <c r="BJO77" s="1251"/>
      <c r="BJP77" s="1251"/>
      <c r="BJQ77" s="1251"/>
      <c r="BJR77" s="1251"/>
      <c r="BJS77" s="1251"/>
      <c r="BJT77" s="1251"/>
      <c r="BJU77" s="1251"/>
      <c r="BJV77" s="1251"/>
      <c r="BJW77" s="1251"/>
      <c r="BJX77" s="1251"/>
      <c r="BJY77" s="1251"/>
      <c r="BJZ77" s="1251"/>
      <c r="BKA77" s="1251"/>
      <c r="BKB77" s="1251"/>
      <c r="BKC77" s="1251"/>
      <c r="BKD77" s="1251"/>
      <c r="BKE77" s="1251"/>
      <c r="BKF77" s="1251"/>
      <c r="BKG77" s="1251"/>
      <c r="BKH77" s="1251"/>
      <c r="BKI77" s="1251"/>
      <c r="BKJ77" s="1251"/>
      <c r="BKK77" s="1251"/>
      <c r="BKL77" s="1251"/>
      <c r="BKM77" s="1251"/>
      <c r="BKN77" s="1251"/>
      <c r="BKO77" s="1251"/>
      <c r="BKP77" s="1251"/>
      <c r="BKQ77" s="1251"/>
      <c r="BKR77" s="1251"/>
      <c r="BKS77" s="1251"/>
      <c r="BKT77" s="1251"/>
      <c r="BKU77" s="1251"/>
      <c r="BKV77" s="1251"/>
      <c r="BKW77" s="1251"/>
      <c r="BKX77" s="1251"/>
      <c r="BKY77" s="1251"/>
      <c r="BKZ77" s="1251"/>
      <c r="BLA77" s="1251"/>
      <c r="BLB77" s="1251"/>
      <c r="BLC77" s="1251"/>
      <c r="BLD77" s="1251"/>
      <c r="BLE77" s="1251"/>
      <c r="BLF77" s="1251"/>
      <c r="BLG77" s="1251"/>
      <c r="BLH77" s="1251"/>
      <c r="BLI77" s="1251"/>
      <c r="BLJ77" s="1251"/>
      <c r="BLK77" s="1251"/>
      <c r="BLL77" s="1251"/>
      <c r="BLM77" s="1251"/>
      <c r="BLN77" s="1251"/>
      <c r="BLO77" s="1251"/>
      <c r="BLP77" s="1251"/>
      <c r="BLQ77" s="1251"/>
      <c r="BLR77" s="1251"/>
      <c r="BLS77" s="1251"/>
      <c r="BLT77" s="1251"/>
      <c r="BLU77" s="1251"/>
      <c r="BLV77" s="1251"/>
      <c r="BLW77" s="1251"/>
      <c r="BLX77" s="1251"/>
      <c r="BLY77" s="1251"/>
      <c r="BLZ77" s="1251"/>
      <c r="BMA77" s="1251"/>
      <c r="BMB77" s="1251"/>
      <c r="BMC77" s="1251"/>
      <c r="BMD77" s="1251"/>
      <c r="BME77" s="1251"/>
      <c r="BMF77" s="1251"/>
      <c r="BMG77" s="1251"/>
      <c r="BMH77" s="1251"/>
      <c r="BMI77" s="1251"/>
      <c r="BMJ77" s="1251"/>
      <c r="BMK77" s="1251"/>
      <c r="BML77" s="1251"/>
      <c r="BMM77" s="1251"/>
      <c r="BMN77" s="1251"/>
      <c r="BMO77" s="1251"/>
      <c r="BMP77" s="1251"/>
      <c r="BMQ77" s="1251"/>
      <c r="BMR77" s="1251"/>
      <c r="BMS77" s="1251"/>
      <c r="BMT77" s="1251"/>
      <c r="BMU77" s="1251"/>
      <c r="BMV77" s="1251"/>
      <c r="BMW77" s="1251"/>
      <c r="BMX77" s="1251"/>
      <c r="BMY77" s="1251"/>
      <c r="BMZ77" s="1251"/>
      <c r="BNA77" s="1251"/>
      <c r="BNB77" s="1251"/>
      <c r="BNC77" s="1251"/>
      <c r="BND77" s="1251"/>
      <c r="BNE77" s="1251"/>
      <c r="BNF77" s="1251"/>
      <c r="BNG77" s="1251"/>
      <c r="BNH77" s="1251"/>
      <c r="BNI77" s="1251"/>
      <c r="BNJ77" s="1251"/>
      <c r="BNK77" s="1251"/>
      <c r="BNL77" s="1251"/>
      <c r="BNM77" s="1251"/>
      <c r="BNN77" s="1251"/>
      <c r="BNO77" s="1251"/>
      <c r="BNP77" s="1251"/>
      <c r="BNQ77" s="1251"/>
      <c r="BNR77" s="1251"/>
      <c r="BNS77" s="1251"/>
      <c r="BNT77" s="1251"/>
      <c r="BNU77" s="1251"/>
      <c r="BNV77" s="1251"/>
      <c r="BNW77" s="1251"/>
      <c r="BNX77" s="1251"/>
      <c r="BNY77" s="1251"/>
      <c r="BNZ77" s="1251"/>
      <c r="BOA77" s="1251"/>
      <c r="BOB77" s="1251"/>
      <c r="BOC77" s="1251"/>
      <c r="BOD77" s="1251"/>
      <c r="BOE77" s="1251"/>
      <c r="BOF77" s="1251"/>
      <c r="BOG77" s="1251"/>
      <c r="BOH77" s="1251"/>
      <c r="BOI77" s="1251"/>
      <c r="BOJ77" s="1251"/>
      <c r="BOK77" s="1251"/>
      <c r="BOL77" s="1251"/>
      <c r="BOM77" s="1251"/>
      <c r="BON77" s="1251"/>
      <c r="BOO77" s="1251"/>
      <c r="BOP77" s="1251"/>
      <c r="BOQ77" s="1251"/>
      <c r="BOR77" s="1251"/>
      <c r="BOS77" s="1251"/>
      <c r="BOT77" s="1251"/>
      <c r="BOU77" s="1251"/>
      <c r="BOV77" s="1251"/>
      <c r="BOW77" s="1251"/>
      <c r="BOX77" s="1251"/>
      <c r="BOY77" s="1251"/>
      <c r="BOZ77" s="1251"/>
      <c r="BPA77" s="1251"/>
      <c r="BPB77" s="1251"/>
      <c r="BPC77" s="1251"/>
      <c r="BPD77" s="1251"/>
      <c r="BPE77" s="1251"/>
      <c r="BPF77" s="1251"/>
      <c r="BPG77" s="1251"/>
      <c r="BPH77" s="1251"/>
      <c r="BPI77" s="1251"/>
      <c r="BPJ77" s="1251"/>
      <c r="BPK77" s="1251"/>
      <c r="BPL77" s="1251"/>
      <c r="BPM77" s="1251"/>
      <c r="BPN77" s="1251"/>
      <c r="BPO77" s="1251"/>
      <c r="BPP77" s="1251"/>
      <c r="BPQ77" s="1251"/>
      <c r="BPR77" s="1251"/>
      <c r="BPS77" s="1251"/>
      <c r="BPT77" s="1251"/>
      <c r="BPU77" s="1251"/>
      <c r="BPV77" s="1251"/>
      <c r="BPW77" s="1251"/>
      <c r="BPX77" s="1251"/>
      <c r="BPY77" s="1251"/>
      <c r="BPZ77" s="1251"/>
      <c r="BQA77" s="1251"/>
      <c r="BQB77" s="1251"/>
      <c r="BQC77" s="1251"/>
      <c r="BQD77" s="1251"/>
      <c r="BQE77" s="1251"/>
      <c r="BQF77" s="1251"/>
      <c r="BQG77" s="1251"/>
      <c r="BQH77" s="1251"/>
      <c r="BQI77" s="1251"/>
      <c r="BQJ77" s="1251"/>
      <c r="BQK77" s="1251"/>
      <c r="BQL77" s="1251"/>
      <c r="BQM77" s="1251"/>
      <c r="BQN77" s="1251"/>
      <c r="BQO77" s="1251"/>
      <c r="BQP77" s="1251"/>
      <c r="BQQ77" s="1251"/>
      <c r="BQR77" s="1251"/>
      <c r="BQS77" s="1251"/>
      <c r="BQT77" s="1251"/>
      <c r="BQU77" s="1251"/>
      <c r="BQV77" s="1251"/>
      <c r="BQW77" s="1251"/>
      <c r="BQX77" s="1251"/>
      <c r="BQY77" s="1251"/>
      <c r="BQZ77" s="1251"/>
      <c r="BRA77" s="1251"/>
      <c r="BRB77" s="1251"/>
      <c r="BRC77" s="1251"/>
      <c r="BRD77" s="1251"/>
      <c r="BRE77" s="1251"/>
      <c r="BRF77" s="1251"/>
      <c r="BRG77" s="1251"/>
      <c r="BRH77" s="1251"/>
      <c r="BRI77" s="1251"/>
      <c r="BRJ77" s="1251"/>
      <c r="BRK77" s="1251"/>
      <c r="BRL77" s="1251"/>
      <c r="BRM77" s="1251"/>
      <c r="BRN77" s="1251"/>
      <c r="BRO77" s="1251"/>
      <c r="BRP77" s="1251"/>
      <c r="BRQ77" s="1251"/>
      <c r="BRR77" s="1251"/>
      <c r="BRS77" s="1251"/>
      <c r="BRT77" s="1251"/>
      <c r="BRU77" s="1251"/>
      <c r="BRV77" s="1251"/>
      <c r="BRW77" s="1251"/>
      <c r="BRX77" s="1251"/>
      <c r="BRY77" s="1251"/>
      <c r="BRZ77" s="1251"/>
      <c r="BSA77" s="1251"/>
      <c r="BSB77" s="1251"/>
      <c r="BSC77" s="1251"/>
      <c r="BSD77" s="1251"/>
      <c r="BSE77" s="1251"/>
      <c r="BSF77" s="1251"/>
      <c r="BSG77" s="1251"/>
      <c r="BSH77" s="1251"/>
      <c r="BSI77" s="1251"/>
      <c r="BSJ77" s="1251"/>
      <c r="BSK77" s="1251"/>
      <c r="BSL77" s="1251"/>
      <c r="BSM77" s="1251"/>
      <c r="BSN77" s="1251"/>
      <c r="BSO77" s="1251"/>
      <c r="BSP77" s="1251"/>
      <c r="BSQ77" s="1251"/>
      <c r="BSR77" s="1251"/>
      <c r="BSS77" s="1251"/>
      <c r="BST77" s="1251"/>
      <c r="BSU77" s="1251"/>
      <c r="BSV77" s="1251"/>
      <c r="BSW77" s="1251"/>
      <c r="BSX77" s="1251"/>
      <c r="BSY77" s="1251"/>
      <c r="BSZ77" s="1251"/>
      <c r="BTA77" s="1251"/>
      <c r="BTB77" s="1251"/>
      <c r="BTC77" s="1251"/>
      <c r="BTD77" s="1251"/>
      <c r="BTE77" s="1251"/>
      <c r="BTF77" s="1251"/>
      <c r="BTG77" s="1251"/>
      <c r="BTH77" s="1251"/>
      <c r="BTI77" s="1251"/>
    </row>
    <row r="78" spans="1:1881" s="1261" customFormat="1" ht="57.75" hidden="1" customHeight="1" thickBot="1" x14ac:dyDescent="0.35">
      <c r="A78" s="1248">
        <v>16</v>
      </c>
      <c r="B78" s="593" t="s">
        <v>66</v>
      </c>
      <c r="C78" s="593" t="s">
        <v>152</v>
      </c>
      <c r="D78" s="29" t="s">
        <v>150</v>
      </c>
      <c r="E78" s="1249" t="e">
        <f>HLOOKUP($D$2,'2020 Data(H)'!$C$1:$CZ$426,12,FALSE)</f>
        <v>#N/A</v>
      </c>
      <c r="F78" s="1263">
        <v>0</v>
      </c>
      <c r="G78" s="727"/>
      <c r="H78" s="17"/>
      <c r="I78" s="760"/>
      <c r="J78" s="1252"/>
      <c r="K78" s="1251"/>
      <c r="L78" s="701"/>
      <c r="M78" s="1251"/>
      <c r="N78" s="1253"/>
      <c r="O78" s="1251"/>
      <c r="P78" s="1251"/>
      <c r="Q78" s="1251"/>
      <c r="R78" s="1251"/>
      <c r="S78" s="1251"/>
      <c r="T78" s="1251"/>
      <c r="U78" s="1251"/>
      <c r="V78" s="1251"/>
      <c r="W78" s="1251"/>
      <c r="X78" s="1251"/>
      <c r="Y78" s="1251"/>
      <c r="Z78" s="1248"/>
      <c r="AA78" s="1248"/>
      <c r="AB78" s="1248"/>
      <c r="AC78" s="1248"/>
      <c r="AD78" s="1248"/>
      <c r="AE78" s="1248"/>
      <c r="AF78" s="1248"/>
      <c r="AG78" s="1248"/>
      <c r="AH78" s="1248"/>
      <c r="AI78" s="1248"/>
      <c r="AJ78" s="1248"/>
      <c r="AK78" s="1248"/>
      <c r="AL78" s="1248"/>
      <c r="AM78" s="1248"/>
      <c r="AN78" s="1248"/>
      <c r="AO78" s="1248"/>
      <c r="AP78" s="1248"/>
      <c r="AQ78" s="1248"/>
      <c r="AR78" s="1248"/>
      <c r="AS78" s="1251"/>
      <c r="AT78" s="1251"/>
      <c r="AU78" s="1251"/>
      <c r="AV78" s="1251"/>
      <c r="AW78" s="1251"/>
      <c r="AX78" s="1251"/>
      <c r="AY78" s="1251"/>
      <c r="AZ78" s="1251"/>
      <c r="BA78" s="1251"/>
      <c r="BB78" s="1251"/>
      <c r="BC78" s="1251"/>
      <c r="BD78" s="1251"/>
      <c r="BE78" s="1251"/>
      <c r="BF78" s="1251"/>
      <c r="BG78" s="1251"/>
      <c r="BH78" s="1251"/>
      <c r="BI78" s="1251"/>
      <c r="BJ78" s="1251"/>
      <c r="BK78" s="1251"/>
      <c r="BL78" s="1251"/>
      <c r="BM78" s="1251"/>
      <c r="BN78" s="1251"/>
      <c r="BO78" s="1251"/>
      <c r="BP78" s="1251"/>
      <c r="BQ78" s="1251"/>
      <c r="BR78" s="1251"/>
      <c r="BS78" s="1251"/>
      <c r="BT78" s="1251"/>
      <c r="BU78" s="1251"/>
      <c r="BV78" s="1251"/>
      <c r="BW78" s="1251"/>
      <c r="BX78" s="1251"/>
      <c r="BY78" s="1251"/>
      <c r="BZ78" s="1251"/>
      <c r="CA78" s="1251"/>
      <c r="CB78" s="1251"/>
      <c r="CC78" s="1251"/>
      <c r="CD78" s="1251"/>
      <c r="CE78" s="1251"/>
      <c r="CF78" s="1251"/>
      <c r="CG78" s="1251"/>
      <c r="CH78" s="1251"/>
      <c r="CI78" s="1251"/>
      <c r="CJ78" s="1251"/>
      <c r="CK78" s="1251"/>
      <c r="CL78" s="1251"/>
      <c r="CM78" s="1251"/>
      <c r="CN78" s="1251"/>
      <c r="CO78" s="1251"/>
      <c r="CP78" s="1251"/>
      <c r="CQ78" s="1251"/>
      <c r="CR78" s="1251"/>
      <c r="CS78" s="1251"/>
      <c r="CT78" s="1251"/>
      <c r="CU78" s="1251"/>
      <c r="CV78" s="1251"/>
      <c r="CW78" s="1251"/>
      <c r="CX78" s="1251"/>
      <c r="CY78" s="1251"/>
      <c r="CZ78" s="1251"/>
      <c r="DA78" s="1251"/>
      <c r="DB78" s="1251"/>
      <c r="DC78" s="1251"/>
      <c r="DD78" s="1251"/>
      <c r="DE78" s="1251"/>
      <c r="DF78" s="1251"/>
      <c r="DG78" s="1251"/>
      <c r="DH78" s="1251"/>
      <c r="DI78" s="1251"/>
      <c r="DJ78" s="1251"/>
      <c r="DK78" s="1251"/>
      <c r="DL78" s="1251"/>
      <c r="DM78" s="1251"/>
      <c r="DN78" s="1251"/>
      <c r="DO78" s="1251"/>
      <c r="DP78" s="1251"/>
      <c r="DQ78" s="1251"/>
      <c r="DR78" s="1251"/>
      <c r="DS78" s="1251"/>
      <c r="DT78" s="1251"/>
      <c r="DU78" s="1251"/>
      <c r="DV78" s="1251"/>
      <c r="DW78" s="1251"/>
      <c r="DX78" s="1251"/>
      <c r="DY78" s="1251"/>
      <c r="DZ78" s="1251"/>
      <c r="EA78" s="1251"/>
      <c r="EB78" s="1251"/>
      <c r="EC78" s="1251"/>
      <c r="ED78" s="1251"/>
      <c r="EE78" s="1251"/>
      <c r="EF78" s="1251"/>
      <c r="EG78" s="1251"/>
      <c r="EH78" s="1251"/>
      <c r="EI78" s="1251"/>
      <c r="EJ78" s="1251"/>
      <c r="EK78" s="1251"/>
      <c r="EL78" s="1251"/>
      <c r="EM78" s="1251"/>
      <c r="EN78" s="1251"/>
      <c r="EO78" s="1251"/>
      <c r="EP78" s="1251"/>
      <c r="EQ78" s="1251"/>
      <c r="ER78" s="1251"/>
      <c r="ES78" s="1251"/>
      <c r="ET78" s="1251"/>
      <c r="EU78" s="1251"/>
      <c r="EV78" s="1251"/>
      <c r="EW78" s="1251"/>
      <c r="EX78" s="1251"/>
      <c r="EY78" s="1251"/>
      <c r="EZ78" s="1251"/>
      <c r="FA78" s="1251"/>
      <c r="FB78" s="1251"/>
      <c r="FC78" s="1251"/>
      <c r="FD78" s="1251"/>
      <c r="FE78" s="1251"/>
      <c r="FF78" s="1251"/>
      <c r="FG78" s="1251"/>
      <c r="FH78" s="1251"/>
      <c r="FI78" s="1251"/>
      <c r="FJ78" s="1251"/>
      <c r="FK78" s="1251"/>
      <c r="FL78" s="1251"/>
      <c r="FM78" s="1251"/>
      <c r="FN78" s="1251"/>
      <c r="FO78" s="1251"/>
      <c r="FP78" s="1251"/>
      <c r="FQ78" s="1251"/>
      <c r="FR78" s="1251"/>
      <c r="FS78" s="1251"/>
      <c r="FT78" s="1251"/>
      <c r="FU78" s="1251"/>
      <c r="FV78" s="1251"/>
      <c r="FW78" s="1251"/>
      <c r="FX78" s="1251"/>
      <c r="FY78" s="1251"/>
      <c r="FZ78" s="1251"/>
      <c r="GA78" s="1251"/>
      <c r="GB78" s="1251"/>
      <c r="GC78" s="1251"/>
      <c r="GD78" s="1251"/>
      <c r="GE78" s="1251"/>
      <c r="GF78" s="1251"/>
      <c r="GG78" s="1251"/>
      <c r="GH78" s="1251"/>
      <c r="GI78" s="1251"/>
      <c r="GJ78" s="1251"/>
      <c r="GK78" s="1251"/>
      <c r="GL78" s="1251"/>
      <c r="GM78" s="1251"/>
      <c r="GN78" s="1251"/>
      <c r="GO78" s="1251"/>
      <c r="GP78" s="1251"/>
      <c r="GQ78" s="1251"/>
      <c r="GR78" s="1251"/>
      <c r="GS78" s="1251"/>
      <c r="GT78" s="1251"/>
      <c r="GU78" s="1251"/>
      <c r="GV78" s="1251"/>
      <c r="GW78" s="1251"/>
      <c r="GX78" s="1251"/>
      <c r="GY78" s="1251"/>
      <c r="GZ78" s="1251"/>
      <c r="HA78" s="1251"/>
      <c r="HB78" s="1251"/>
      <c r="HC78" s="1251"/>
      <c r="HD78" s="1251"/>
      <c r="HE78" s="1251"/>
      <c r="HF78" s="1251"/>
      <c r="HG78" s="1251"/>
      <c r="HH78" s="1251"/>
      <c r="HI78" s="1251"/>
      <c r="HJ78" s="1251"/>
      <c r="HK78" s="1251"/>
      <c r="HL78" s="1251"/>
      <c r="HM78" s="1251"/>
      <c r="HN78" s="1251"/>
      <c r="HO78" s="1251"/>
      <c r="HP78" s="1251"/>
      <c r="HQ78" s="1251"/>
      <c r="HR78" s="1251"/>
      <c r="HS78" s="1251"/>
      <c r="HT78" s="1251"/>
      <c r="HU78" s="1251"/>
      <c r="HV78" s="1251"/>
      <c r="HW78" s="1251"/>
      <c r="HX78" s="1251"/>
      <c r="HY78" s="1251"/>
      <c r="HZ78" s="1251"/>
      <c r="IA78" s="1251"/>
      <c r="IB78" s="1251"/>
      <c r="IC78" s="1251"/>
      <c r="ID78" s="1251"/>
      <c r="IE78" s="1251"/>
      <c r="IF78" s="1251"/>
      <c r="IG78" s="1251"/>
      <c r="IH78" s="1251"/>
      <c r="II78" s="1251"/>
      <c r="IJ78" s="1251"/>
      <c r="IK78" s="1251"/>
      <c r="IL78" s="1251"/>
      <c r="IM78" s="1251"/>
      <c r="IN78" s="1251"/>
      <c r="IO78" s="1251"/>
      <c r="IP78" s="1251"/>
      <c r="IQ78" s="1251"/>
      <c r="IR78" s="1251"/>
      <c r="IS78" s="1251"/>
      <c r="IT78" s="1251"/>
      <c r="IU78" s="1251"/>
      <c r="IV78" s="1251"/>
      <c r="IW78" s="1251"/>
      <c r="IX78" s="1251"/>
      <c r="IY78" s="1251"/>
      <c r="IZ78" s="1251"/>
      <c r="JA78" s="1251"/>
      <c r="JB78" s="1251"/>
      <c r="JC78" s="1251"/>
      <c r="JD78" s="1251"/>
      <c r="JE78" s="1251"/>
      <c r="JF78" s="1251"/>
      <c r="JG78" s="1251"/>
      <c r="JH78" s="1251"/>
      <c r="JI78" s="1251"/>
      <c r="JJ78" s="1251"/>
      <c r="JK78" s="1251"/>
      <c r="JL78" s="1251"/>
      <c r="JM78" s="1251"/>
      <c r="JN78" s="1251"/>
      <c r="JO78" s="1251"/>
      <c r="JP78" s="1251"/>
      <c r="JQ78" s="1251"/>
      <c r="JR78" s="1251"/>
      <c r="JS78" s="1251"/>
      <c r="JT78" s="1251"/>
      <c r="JU78" s="1251"/>
      <c r="JV78" s="1251"/>
      <c r="JW78" s="1251"/>
      <c r="JX78" s="1251"/>
      <c r="JY78" s="1251"/>
      <c r="JZ78" s="1251"/>
      <c r="KA78" s="1251"/>
      <c r="KB78" s="1251"/>
      <c r="KC78" s="1251"/>
      <c r="KD78" s="1251"/>
      <c r="KE78" s="1251"/>
      <c r="KF78" s="1251"/>
      <c r="KG78" s="1251"/>
      <c r="KH78" s="1251"/>
      <c r="KI78" s="1251"/>
      <c r="KJ78" s="1251"/>
      <c r="KK78" s="1251"/>
      <c r="KL78" s="1251"/>
      <c r="KM78" s="1251"/>
      <c r="KN78" s="1251"/>
      <c r="KO78" s="1251"/>
      <c r="KP78" s="1251"/>
      <c r="KQ78" s="1251"/>
      <c r="KR78" s="1251"/>
      <c r="KS78" s="1251"/>
      <c r="KT78" s="1251"/>
      <c r="KU78" s="1251"/>
      <c r="KV78" s="1251"/>
      <c r="KW78" s="1251"/>
      <c r="KX78" s="1251"/>
      <c r="KY78" s="1251"/>
      <c r="KZ78" s="1251"/>
      <c r="LA78" s="1251"/>
      <c r="LB78" s="1251"/>
      <c r="LC78" s="1251"/>
      <c r="LD78" s="1251"/>
      <c r="LE78" s="1251"/>
      <c r="LF78" s="1251"/>
      <c r="LG78" s="1251"/>
      <c r="LH78" s="1251"/>
      <c r="LI78" s="1251"/>
      <c r="LJ78" s="1251"/>
      <c r="LK78" s="1251"/>
      <c r="LL78" s="1251"/>
      <c r="LM78" s="1251"/>
      <c r="LN78" s="1251"/>
      <c r="LO78" s="1251"/>
      <c r="LP78" s="1251"/>
      <c r="LQ78" s="1251"/>
      <c r="LR78" s="1251"/>
      <c r="LS78" s="1251"/>
      <c r="LT78" s="1251"/>
      <c r="LU78" s="1251"/>
      <c r="LV78" s="1251"/>
      <c r="LW78" s="1251"/>
      <c r="LX78" s="1251"/>
      <c r="LY78" s="1251"/>
      <c r="LZ78" s="1251"/>
      <c r="MA78" s="1251"/>
      <c r="MB78" s="1251"/>
      <c r="MC78" s="1251"/>
      <c r="MD78" s="1251"/>
      <c r="ME78" s="1251"/>
      <c r="MF78" s="1251"/>
      <c r="MG78" s="1251"/>
      <c r="MH78" s="1251"/>
      <c r="MI78" s="1251"/>
      <c r="MJ78" s="1251"/>
      <c r="MK78" s="1251"/>
      <c r="ML78" s="1251"/>
      <c r="MM78" s="1251"/>
      <c r="MN78" s="1251"/>
      <c r="MO78" s="1251"/>
      <c r="MP78" s="1251"/>
      <c r="MQ78" s="1251"/>
      <c r="MR78" s="1251"/>
      <c r="MS78" s="1251"/>
      <c r="MT78" s="1251"/>
      <c r="MU78" s="1251"/>
      <c r="MV78" s="1251"/>
      <c r="MW78" s="1251"/>
      <c r="MX78" s="1251"/>
      <c r="MY78" s="1251"/>
      <c r="MZ78" s="1251"/>
      <c r="NA78" s="1251"/>
      <c r="NB78" s="1251"/>
      <c r="NC78" s="1251"/>
      <c r="ND78" s="1251"/>
      <c r="NE78" s="1251"/>
      <c r="NF78" s="1251"/>
      <c r="NG78" s="1251"/>
      <c r="NH78" s="1251"/>
      <c r="NI78" s="1251"/>
      <c r="NJ78" s="1251"/>
      <c r="NK78" s="1251"/>
      <c r="NL78" s="1251"/>
      <c r="NM78" s="1251"/>
      <c r="NN78" s="1251"/>
      <c r="NO78" s="1251"/>
      <c r="NP78" s="1251"/>
      <c r="NQ78" s="1251"/>
      <c r="NR78" s="1251"/>
      <c r="NS78" s="1251"/>
      <c r="NT78" s="1251"/>
      <c r="NU78" s="1251"/>
      <c r="NV78" s="1251"/>
      <c r="NW78" s="1251"/>
      <c r="NX78" s="1251"/>
      <c r="NY78" s="1251"/>
      <c r="NZ78" s="1251"/>
      <c r="OA78" s="1251"/>
      <c r="OB78" s="1251"/>
      <c r="OC78" s="1251"/>
      <c r="OD78" s="1251"/>
      <c r="OE78" s="1251"/>
      <c r="OF78" s="1251"/>
      <c r="OG78" s="1251"/>
      <c r="OH78" s="1251"/>
      <c r="OI78" s="1251"/>
      <c r="OJ78" s="1251"/>
      <c r="OK78" s="1251"/>
      <c r="OL78" s="1251"/>
      <c r="OM78" s="1251"/>
      <c r="ON78" s="1251"/>
      <c r="OO78" s="1251"/>
      <c r="OP78" s="1251"/>
      <c r="OQ78" s="1251"/>
      <c r="OR78" s="1251"/>
      <c r="OS78" s="1251"/>
      <c r="OT78" s="1251"/>
      <c r="OU78" s="1251"/>
      <c r="OV78" s="1251"/>
      <c r="OW78" s="1251"/>
      <c r="OX78" s="1251"/>
      <c r="OY78" s="1251"/>
      <c r="OZ78" s="1251"/>
      <c r="PA78" s="1251"/>
      <c r="PB78" s="1251"/>
      <c r="PC78" s="1251"/>
      <c r="PD78" s="1251"/>
      <c r="PE78" s="1251"/>
      <c r="PF78" s="1251"/>
      <c r="PG78" s="1251"/>
      <c r="PH78" s="1251"/>
      <c r="PI78" s="1251"/>
      <c r="PJ78" s="1251"/>
      <c r="PK78" s="1251"/>
      <c r="PL78" s="1251"/>
      <c r="PM78" s="1251"/>
      <c r="PN78" s="1251"/>
      <c r="PO78" s="1251"/>
      <c r="PP78" s="1251"/>
      <c r="PQ78" s="1251"/>
      <c r="PR78" s="1251"/>
      <c r="PS78" s="1251"/>
      <c r="PT78" s="1251"/>
      <c r="PU78" s="1251"/>
      <c r="PV78" s="1251"/>
      <c r="PW78" s="1251"/>
      <c r="PX78" s="1251"/>
      <c r="PY78" s="1251"/>
      <c r="PZ78" s="1251"/>
      <c r="QA78" s="1251"/>
      <c r="QB78" s="1251"/>
      <c r="QC78" s="1251"/>
      <c r="QD78" s="1251"/>
      <c r="QE78" s="1251"/>
      <c r="QF78" s="1251"/>
      <c r="QG78" s="1251"/>
      <c r="QH78" s="1251"/>
      <c r="QI78" s="1251"/>
      <c r="QJ78" s="1251"/>
      <c r="QK78" s="1251"/>
      <c r="QL78" s="1251"/>
      <c r="QM78" s="1251"/>
      <c r="QN78" s="1251"/>
      <c r="QO78" s="1251"/>
      <c r="QP78" s="1251"/>
      <c r="QQ78" s="1251"/>
      <c r="QR78" s="1251"/>
      <c r="QS78" s="1251"/>
      <c r="QT78" s="1251"/>
      <c r="QU78" s="1251"/>
      <c r="QV78" s="1251"/>
      <c r="QW78" s="1251"/>
      <c r="QX78" s="1251"/>
      <c r="QY78" s="1251"/>
      <c r="QZ78" s="1251"/>
      <c r="RA78" s="1251"/>
      <c r="RB78" s="1251"/>
      <c r="RC78" s="1251"/>
      <c r="RD78" s="1251"/>
      <c r="RE78" s="1251"/>
      <c r="RF78" s="1251"/>
      <c r="RG78" s="1251"/>
      <c r="RH78" s="1251"/>
      <c r="RI78" s="1251"/>
      <c r="RJ78" s="1251"/>
      <c r="RK78" s="1251"/>
      <c r="RL78" s="1251"/>
      <c r="RM78" s="1251"/>
      <c r="RN78" s="1251"/>
      <c r="RO78" s="1251"/>
      <c r="RP78" s="1251"/>
      <c r="RQ78" s="1251"/>
      <c r="RR78" s="1251"/>
      <c r="RS78" s="1251"/>
      <c r="RT78" s="1251"/>
      <c r="RU78" s="1251"/>
      <c r="RV78" s="1251"/>
      <c r="RW78" s="1251"/>
      <c r="RX78" s="1251"/>
      <c r="RY78" s="1251"/>
      <c r="RZ78" s="1251"/>
      <c r="SA78" s="1251"/>
      <c r="SB78" s="1251"/>
      <c r="SC78" s="1251"/>
      <c r="SD78" s="1251"/>
      <c r="SE78" s="1251"/>
      <c r="SF78" s="1251"/>
      <c r="SG78" s="1251"/>
      <c r="SH78" s="1251"/>
      <c r="SI78" s="1251"/>
      <c r="SJ78" s="1251"/>
      <c r="SK78" s="1251"/>
      <c r="SL78" s="1251"/>
      <c r="SM78" s="1251"/>
      <c r="SN78" s="1251"/>
      <c r="SO78" s="1251"/>
      <c r="SP78" s="1251"/>
      <c r="SQ78" s="1251"/>
      <c r="SR78" s="1251"/>
      <c r="SS78" s="1251"/>
      <c r="ST78" s="1251"/>
      <c r="SU78" s="1251"/>
      <c r="SV78" s="1251"/>
      <c r="SW78" s="1251"/>
      <c r="SX78" s="1251"/>
      <c r="SY78" s="1251"/>
      <c r="SZ78" s="1251"/>
      <c r="TA78" s="1251"/>
      <c r="TB78" s="1251"/>
      <c r="TC78" s="1251"/>
      <c r="TD78" s="1251"/>
      <c r="TE78" s="1251"/>
      <c r="TF78" s="1251"/>
      <c r="TG78" s="1251"/>
      <c r="TH78" s="1251"/>
      <c r="TI78" s="1251"/>
      <c r="TJ78" s="1251"/>
      <c r="TK78" s="1251"/>
      <c r="TL78" s="1251"/>
      <c r="TM78" s="1251"/>
      <c r="TN78" s="1251"/>
      <c r="TO78" s="1251"/>
      <c r="TP78" s="1251"/>
      <c r="TQ78" s="1251"/>
      <c r="TR78" s="1251"/>
      <c r="TS78" s="1251"/>
      <c r="TT78" s="1251"/>
      <c r="TU78" s="1251"/>
      <c r="TV78" s="1251"/>
      <c r="TW78" s="1251"/>
      <c r="TX78" s="1251"/>
      <c r="TY78" s="1251"/>
      <c r="TZ78" s="1251"/>
      <c r="UA78" s="1251"/>
      <c r="UB78" s="1251"/>
      <c r="UC78" s="1251"/>
      <c r="UD78" s="1251"/>
      <c r="UE78" s="1251"/>
      <c r="UF78" s="1251"/>
      <c r="UG78" s="1251"/>
      <c r="UH78" s="1251"/>
      <c r="UI78" s="1251"/>
      <c r="UJ78" s="1251"/>
      <c r="UK78" s="1251"/>
      <c r="UL78" s="1251"/>
      <c r="UM78" s="1251"/>
      <c r="UN78" s="1251"/>
      <c r="UO78" s="1251"/>
      <c r="UP78" s="1251"/>
      <c r="UQ78" s="1251"/>
      <c r="UR78" s="1251"/>
      <c r="US78" s="1251"/>
      <c r="UT78" s="1251"/>
      <c r="UU78" s="1251"/>
      <c r="UV78" s="1251"/>
      <c r="UW78" s="1251"/>
      <c r="UX78" s="1251"/>
      <c r="UY78" s="1251"/>
      <c r="UZ78" s="1251"/>
      <c r="VA78" s="1251"/>
      <c r="VB78" s="1251"/>
      <c r="VC78" s="1251"/>
      <c r="VD78" s="1251"/>
      <c r="VE78" s="1251"/>
      <c r="VF78" s="1251"/>
      <c r="VG78" s="1251"/>
      <c r="VH78" s="1251"/>
      <c r="VI78" s="1251"/>
      <c r="VJ78" s="1251"/>
      <c r="VK78" s="1251"/>
      <c r="VL78" s="1251"/>
      <c r="VM78" s="1251"/>
      <c r="VN78" s="1251"/>
      <c r="VO78" s="1251"/>
      <c r="VP78" s="1251"/>
      <c r="VQ78" s="1251"/>
      <c r="VR78" s="1251"/>
      <c r="VS78" s="1251"/>
      <c r="VT78" s="1251"/>
      <c r="VU78" s="1251"/>
      <c r="VV78" s="1251"/>
      <c r="VW78" s="1251"/>
      <c r="VX78" s="1251"/>
      <c r="VY78" s="1251"/>
      <c r="VZ78" s="1251"/>
      <c r="WA78" s="1251"/>
      <c r="WB78" s="1251"/>
      <c r="WC78" s="1251"/>
      <c r="WD78" s="1251"/>
      <c r="WE78" s="1251"/>
      <c r="WF78" s="1251"/>
      <c r="WG78" s="1251"/>
      <c r="WH78" s="1251"/>
      <c r="WI78" s="1251"/>
      <c r="WJ78" s="1251"/>
      <c r="WK78" s="1251"/>
      <c r="WL78" s="1251"/>
      <c r="WM78" s="1251"/>
      <c r="WN78" s="1251"/>
      <c r="WO78" s="1251"/>
      <c r="WP78" s="1251"/>
      <c r="WQ78" s="1251"/>
      <c r="WR78" s="1251"/>
      <c r="WS78" s="1251"/>
      <c r="WT78" s="1251"/>
      <c r="WU78" s="1251"/>
      <c r="WV78" s="1251"/>
      <c r="WW78" s="1251"/>
      <c r="WX78" s="1251"/>
      <c r="WY78" s="1251"/>
      <c r="WZ78" s="1251"/>
      <c r="XA78" s="1251"/>
      <c r="XB78" s="1251"/>
      <c r="XC78" s="1251"/>
      <c r="XD78" s="1251"/>
      <c r="XE78" s="1251"/>
      <c r="XF78" s="1251"/>
      <c r="XG78" s="1251"/>
      <c r="XH78" s="1251"/>
      <c r="XI78" s="1251"/>
      <c r="XJ78" s="1251"/>
      <c r="XK78" s="1251"/>
      <c r="XL78" s="1251"/>
      <c r="XM78" s="1251"/>
      <c r="XN78" s="1251"/>
      <c r="XO78" s="1251"/>
      <c r="XP78" s="1251"/>
      <c r="XQ78" s="1251"/>
      <c r="XR78" s="1251"/>
      <c r="XS78" s="1251"/>
      <c r="XT78" s="1251"/>
      <c r="XU78" s="1251"/>
      <c r="XV78" s="1251"/>
      <c r="XW78" s="1251"/>
      <c r="XX78" s="1251"/>
      <c r="XY78" s="1251"/>
      <c r="XZ78" s="1251"/>
      <c r="YA78" s="1251"/>
      <c r="YB78" s="1251"/>
      <c r="YC78" s="1251"/>
      <c r="YD78" s="1251"/>
      <c r="YE78" s="1251"/>
      <c r="YF78" s="1251"/>
      <c r="YG78" s="1251"/>
      <c r="YH78" s="1251"/>
      <c r="YI78" s="1251"/>
      <c r="YJ78" s="1251"/>
      <c r="YK78" s="1251"/>
      <c r="YL78" s="1251"/>
      <c r="YM78" s="1251"/>
      <c r="YN78" s="1251"/>
      <c r="YO78" s="1251"/>
      <c r="YP78" s="1251"/>
      <c r="YQ78" s="1251"/>
      <c r="YR78" s="1251"/>
      <c r="YS78" s="1251"/>
      <c r="YT78" s="1251"/>
      <c r="YU78" s="1251"/>
      <c r="YV78" s="1251"/>
      <c r="YW78" s="1251"/>
      <c r="YX78" s="1251"/>
      <c r="YY78" s="1251"/>
      <c r="YZ78" s="1251"/>
      <c r="ZA78" s="1251"/>
      <c r="ZB78" s="1251"/>
      <c r="ZC78" s="1251"/>
      <c r="ZD78" s="1251"/>
      <c r="ZE78" s="1251"/>
      <c r="ZF78" s="1251"/>
      <c r="ZG78" s="1251"/>
      <c r="ZH78" s="1251"/>
      <c r="ZI78" s="1251"/>
      <c r="ZJ78" s="1251"/>
      <c r="ZK78" s="1251"/>
      <c r="ZL78" s="1251"/>
      <c r="ZM78" s="1251"/>
      <c r="ZN78" s="1251"/>
      <c r="ZO78" s="1251"/>
      <c r="ZP78" s="1251"/>
      <c r="ZQ78" s="1251"/>
      <c r="ZR78" s="1251"/>
      <c r="ZS78" s="1251"/>
      <c r="ZT78" s="1251"/>
      <c r="ZU78" s="1251"/>
      <c r="ZV78" s="1251"/>
      <c r="ZW78" s="1251"/>
      <c r="ZX78" s="1251"/>
      <c r="ZY78" s="1251"/>
      <c r="ZZ78" s="1251"/>
      <c r="AAA78" s="1251"/>
      <c r="AAB78" s="1251"/>
      <c r="AAC78" s="1251"/>
      <c r="AAD78" s="1251"/>
      <c r="AAE78" s="1251"/>
      <c r="AAF78" s="1251"/>
      <c r="AAG78" s="1251"/>
      <c r="AAH78" s="1251"/>
      <c r="AAI78" s="1251"/>
      <c r="AAJ78" s="1251"/>
      <c r="AAK78" s="1251"/>
      <c r="AAL78" s="1251"/>
      <c r="AAM78" s="1251"/>
      <c r="AAN78" s="1251"/>
      <c r="AAO78" s="1251"/>
      <c r="AAP78" s="1251"/>
      <c r="AAQ78" s="1251"/>
      <c r="AAR78" s="1251"/>
      <c r="AAS78" s="1251"/>
      <c r="AAT78" s="1251"/>
      <c r="AAU78" s="1251"/>
      <c r="AAV78" s="1251"/>
      <c r="AAW78" s="1251"/>
      <c r="AAX78" s="1251"/>
      <c r="AAY78" s="1251"/>
      <c r="AAZ78" s="1251"/>
      <c r="ABA78" s="1251"/>
      <c r="ABB78" s="1251"/>
      <c r="ABC78" s="1251"/>
      <c r="ABD78" s="1251"/>
      <c r="ABE78" s="1251"/>
      <c r="ABF78" s="1251"/>
      <c r="ABG78" s="1251"/>
      <c r="ABH78" s="1251"/>
      <c r="ABI78" s="1251"/>
      <c r="ABJ78" s="1251"/>
      <c r="ABK78" s="1251"/>
      <c r="ABL78" s="1251"/>
      <c r="ABM78" s="1251"/>
      <c r="ABN78" s="1251"/>
      <c r="ABO78" s="1251"/>
      <c r="ABP78" s="1251"/>
      <c r="ABQ78" s="1251"/>
      <c r="ABR78" s="1251"/>
      <c r="ABS78" s="1251"/>
      <c r="ABT78" s="1251"/>
      <c r="ABU78" s="1251"/>
      <c r="ABV78" s="1251"/>
      <c r="ABW78" s="1251"/>
      <c r="ABX78" s="1251"/>
      <c r="ABY78" s="1251"/>
      <c r="ABZ78" s="1251"/>
      <c r="ACA78" s="1251"/>
      <c r="ACB78" s="1251"/>
      <c r="ACC78" s="1251"/>
      <c r="ACD78" s="1251"/>
      <c r="ACE78" s="1251"/>
      <c r="ACF78" s="1251"/>
      <c r="ACG78" s="1251"/>
      <c r="ACH78" s="1251"/>
      <c r="ACI78" s="1251"/>
      <c r="ACJ78" s="1251"/>
      <c r="ACK78" s="1251"/>
      <c r="ACL78" s="1251"/>
      <c r="ACM78" s="1251"/>
      <c r="ACN78" s="1251"/>
      <c r="ACO78" s="1251"/>
      <c r="ACP78" s="1251"/>
      <c r="ACQ78" s="1251"/>
      <c r="ACR78" s="1251"/>
      <c r="ACS78" s="1251"/>
      <c r="ACT78" s="1251"/>
      <c r="ACU78" s="1251"/>
      <c r="ACV78" s="1251"/>
      <c r="ACW78" s="1251"/>
      <c r="ACX78" s="1251"/>
      <c r="ACY78" s="1251"/>
      <c r="ACZ78" s="1251"/>
      <c r="ADA78" s="1251"/>
      <c r="ADB78" s="1251"/>
      <c r="ADC78" s="1251"/>
      <c r="ADD78" s="1251"/>
      <c r="ADE78" s="1251"/>
      <c r="ADF78" s="1251"/>
      <c r="ADG78" s="1251"/>
      <c r="ADH78" s="1251"/>
      <c r="ADI78" s="1251"/>
      <c r="ADJ78" s="1251"/>
      <c r="ADK78" s="1251"/>
      <c r="ADL78" s="1251"/>
      <c r="ADM78" s="1251"/>
      <c r="ADN78" s="1251"/>
      <c r="ADO78" s="1251"/>
      <c r="ADP78" s="1251"/>
      <c r="ADQ78" s="1251"/>
      <c r="ADR78" s="1251"/>
      <c r="ADS78" s="1251"/>
      <c r="ADT78" s="1251"/>
      <c r="ADU78" s="1251"/>
      <c r="ADV78" s="1251"/>
      <c r="ADW78" s="1251"/>
      <c r="ADX78" s="1251"/>
      <c r="ADY78" s="1251"/>
      <c r="ADZ78" s="1251"/>
      <c r="AEA78" s="1251"/>
      <c r="AEB78" s="1251"/>
      <c r="AEC78" s="1251"/>
      <c r="AED78" s="1251"/>
      <c r="AEE78" s="1251"/>
      <c r="AEF78" s="1251"/>
      <c r="AEG78" s="1251"/>
      <c r="AEH78" s="1251"/>
      <c r="AEI78" s="1251"/>
      <c r="AEJ78" s="1251"/>
      <c r="AEK78" s="1251"/>
      <c r="AEL78" s="1251"/>
      <c r="AEM78" s="1251"/>
      <c r="AEN78" s="1251"/>
      <c r="AEO78" s="1251"/>
      <c r="AEP78" s="1251"/>
      <c r="AEQ78" s="1251"/>
      <c r="AER78" s="1251"/>
      <c r="AES78" s="1251"/>
      <c r="AET78" s="1251"/>
      <c r="AEU78" s="1251"/>
      <c r="AEV78" s="1251"/>
      <c r="AEW78" s="1251"/>
      <c r="AEX78" s="1251"/>
      <c r="AEY78" s="1251"/>
      <c r="AEZ78" s="1251"/>
      <c r="AFA78" s="1251"/>
      <c r="AFB78" s="1251"/>
      <c r="AFC78" s="1251"/>
      <c r="AFD78" s="1251"/>
      <c r="AFE78" s="1251"/>
      <c r="AFF78" s="1251"/>
      <c r="AFG78" s="1251"/>
      <c r="AFH78" s="1251"/>
      <c r="AFI78" s="1251"/>
      <c r="AFJ78" s="1251"/>
      <c r="AFK78" s="1251"/>
      <c r="AFL78" s="1251"/>
      <c r="AFM78" s="1251"/>
      <c r="AFN78" s="1251"/>
      <c r="AFO78" s="1251"/>
      <c r="AFP78" s="1251"/>
      <c r="AFQ78" s="1251"/>
      <c r="AFR78" s="1251"/>
      <c r="AFS78" s="1251"/>
      <c r="AFT78" s="1251"/>
      <c r="AFU78" s="1251"/>
      <c r="AFV78" s="1251"/>
      <c r="AFW78" s="1251"/>
      <c r="AFX78" s="1251"/>
      <c r="AFY78" s="1251"/>
      <c r="AFZ78" s="1251"/>
      <c r="AGA78" s="1251"/>
      <c r="AGB78" s="1251"/>
      <c r="AGC78" s="1251"/>
      <c r="AGD78" s="1251"/>
      <c r="AGE78" s="1251"/>
      <c r="AGF78" s="1251"/>
      <c r="AGG78" s="1251"/>
      <c r="AGH78" s="1251"/>
      <c r="AGI78" s="1251"/>
      <c r="AGJ78" s="1251"/>
      <c r="AGK78" s="1251"/>
      <c r="AGL78" s="1251"/>
      <c r="AGM78" s="1251"/>
      <c r="AGN78" s="1251"/>
      <c r="AGO78" s="1251"/>
      <c r="AGP78" s="1251"/>
      <c r="AGQ78" s="1251"/>
      <c r="AGR78" s="1251"/>
      <c r="AGS78" s="1251"/>
      <c r="AGT78" s="1251"/>
      <c r="AGU78" s="1251"/>
      <c r="AGV78" s="1251"/>
      <c r="AGW78" s="1251"/>
      <c r="AGX78" s="1251"/>
      <c r="AGY78" s="1251"/>
      <c r="AGZ78" s="1251"/>
      <c r="AHA78" s="1251"/>
      <c r="AHB78" s="1251"/>
      <c r="AHC78" s="1251"/>
      <c r="AHD78" s="1251"/>
      <c r="AHE78" s="1251"/>
      <c r="AHF78" s="1251"/>
      <c r="AHG78" s="1251"/>
      <c r="AHH78" s="1251"/>
      <c r="AHI78" s="1251"/>
      <c r="AHJ78" s="1251"/>
      <c r="AHK78" s="1251"/>
      <c r="AHL78" s="1251"/>
      <c r="AHM78" s="1251"/>
      <c r="AHN78" s="1251"/>
      <c r="AHO78" s="1251"/>
      <c r="AHP78" s="1251"/>
      <c r="AHQ78" s="1251"/>
      <c r="AHR78" s="1251"/>
      <c r="AHS78" s="1251"/>
      <c r="AHT78" s="1251"/>
      <c r="AHU78" s="1251"/>
      <c r="AHV78" s="1251"/>
      <c r="AHW78" s="1251"/>
      <c r="AHX78" s="1251"/>
      <c r="AHY78" s="1251"/>
      <c r="AHZ78" s="1251"/>
      <c r="AIA78" s="1251"/>
      <c r="AIB78" s="1251"/>
      <c r="AIC78" s="1251"/>
      <c r="AID78" s="1251"/>
      <c r="AIE78" s="1251"/>
      <c r="AIF78" s="1251"/>
      <c r="AIG78" s="1251"/>
      <c r="AIH78" s="1251"/>
      <c r="AII78" s="1251"/>
      <c r="AIJ78" s="1251"/>
      <c r="AIK78" s="1251"/>
      <c r="AIL78" s="1251"/>
      <c r="AIM78" s="1251"/>
      <c r="AIN78" s="1251"/>
      <c r="AIO78" s="1251"/>
      <c r="AIP78" s="1251"/>
      <c r="AIQ78" s="1251"/>
      <c r="AIR78" s="1251"/>
      <c r="AIS78" s="1251"/>
      <c r="AIT78" s="1251"/>
      <c r="AIU78" s="1251"/>
      <c r="AIV78" s="1251"/>
      <c r="AIW78" s="1251"/>
      <c r="AIX78" s="1251"/>
      <c r="AIY78" s="1251"/>
      <c r="AIZ78" s="1251"/>
      <c r="AJA78" s="1251"/>
      <c r="AJB78" s="1251"/>
      <c r="AJC78" s="1251"/>
      <c r="AJD78" s="1251"/>
      <c r="AJE78" s="1251"/>
      <c r="AJF78" s="1251"/>
      <c r="AJG78" s="1251"/>
      <c r="AJH78" s="1251"/>
      <c r="AJI78" s="1251"/>
      <c r="AJJ78" s="1251"/>
      <c r="AJK78" s="1251"/>
      <c r="AJL78" s="1251"/>
      <c r="AJM78" s="1251"/>
      <c r="AJN78" s="1251"/>
      <c r="AJO78" s="1251"/>
      <c r="AJP78" s="1251"/>
      <c r="AJQ78" s="1251"/>
      <c r="AJR78" s="1251"/>
      <c r="AJS78" s="1251"/>
      <c r="AJT78" s="1251"/>
      <c r="AJU78" s="1251"/>
      <c r="AJV78" s="1251"/>
      <c r="AJW78" s="1251"/>
      <c r="AJX78" s="1251"/>
      <c r="AJY78" s="1251"/>
      <c r="AJZ78" s="1251"/>
      <c r="AKA78" s="1251"/>
      <c r="AKB78" s="1251"/>
      <c r="AKC78" s="1251"/>
      <c r="AKD78" s="1251"/>
      <c r="AKE78" s="1251"/>
      <c r="AKF78" s="1251"/>
      <c r="AKG78" s="1251"/>
      <c r="AKH78" s="1251"/>
      <c r="AKI78" s="1251"/>
      <c r="AKJ78" s="1251"/>
      <c r="AKK78" s="1251"/>
      <c r="AKL78" s="1251"/>
      <c r="AKM78" s="1251"/>
      <c r="AKN78" s="1251"/>
      <c r="AKO78" s="1251"/>
      <c r="AKP78" s="1251"/>
      <c r="AKQ78" s="1251"/>
      <c r="AKR78" s="1251"/>
      <c r="AKS78" s="1251"/>
      <c r="AKT78" s="1251"/>
      <c r="AKU78" s="1251"/>
      <c r="AKV78" s="1251"/>
      <c r="AKW78" s="1251"/>
      <c r="AKX78" s="1251"/>
      <c r="AKY78" s="1251"/>
      <c r="AKZ78" s="1251"/>
      <c r="ALA78" s="1251"/>
      <c r="ALB78" s="1251"/>
      <c r="ALC78" s="1251"/>
      <c r="ALD78" s="1251"/>
      <c r="ALE78" s="1251"/>
      <c r="ALF78" s="1251"/>
      <c r="ALG78" s="1251"/>
      <c r="ALH78" s="1251"/>
      <c r="ALI78" s="1251"/>
      <c r="ALJ78" s="1251"/>
      <c r="ALK78" s="1251"/>
      <c r="ALL78" s="1251"/>
      <c r="ALM78" s="1251"/>
      <c r="ALN78" s="1251"/>
      <c r="ALO78" s="1251"/>
      <c r="ALP78" s="1251"/>
      <c r="ALQ78" s="1251"/>
      <c r="ALR78" s="1251"/>
      <c r="ALS78" s="1251"/>
      <c r="ALT78" s="1251"/>
      <c r="ALU78" s="1251"/>
      <c r="ALV78" s="1251"/>
      <c r="ALW78" s="1251"/>
      <c r="ALX78" s="1251"/>
      <c r="ALY78" s="1251"/>
      <c r="ALZ78" s="1251"/>
      <c r="AMA78" s="1251"/>
      <c r="AMB78" s="1251"/>
      <c r="AMC78" s="1251"/>
      <c r="AMD78" s="1251"/>
      <c r="AME78" s="1251"/>
      <c r="AMF78" s="1251"/>
      <c r="AMG78" s="1251"/>
      <c r="AMH78" s="1251"/>
      <c r="AMI78" s="1251"/>
      <c r="AMJ78" s="1251"/>
      <c r="AMK78" s="1251"/>
      <c r="AML78" s="1251"/>
      <c r="AMM78" s="1251"/>
      <c r="AMN78" s="1251"/>
      <c r="AMO78" s="1251"/>
      <c r="AMP78" s="1251"/>
      <c r="AMQ78" s="1251"/>
      <c r="AMR78" s="1251"/>
      <c r="AMS78" s="1251"/>
      <c r="AMT78" s="1251"/>
      <c r="AMU78" s="1251"/>
      <c r="AMV78" s="1251"/>
      <c r="AMW78" s="1251"/>
      <c r="AMX78" s="1251"/>
      <c r="AMY78" s="1251"/>
      <c r="AMZ78" s="1251"/>
      <c r="ANA78" s="1251"/>
      <c r="ANB78" s="1251"/>
      <c r="ANC78" s="1251"/>
      <c r="AND78" s="1251"/>
      <c r="ANE78" s="1251"/>
      <c r="ANF78" s="1251"/>
      <c r="ANG78" s="1251"/>
      <c r="ANH78" s="1251"/>
      <c r="ANI78" s="1251"/>
      <c r="ANJ78" s="1251"/>
      <c r="ANK78" s="1251"/>
      <c r="ANL78" s="1251"/>
      <c r="ANM78" s="1251"/>
      <c r="ANN78" s="1251"/>
      <c r="ANO78" s="1251"/>
      <c r="ANP78" s="1251"/>
      <c r="ANQ78" s="1251"/>
      <c r="ANR78" s="1251"/>
      <c r="ANS78" s="1251"/>
      <c r="ANT78" s="1251"/>
      <c r="ANU78" s="1251"/>
      <c r="ANV78" s="1251"/>
      <c r="ANW78" s="1251"/>
      <c r="ANX78" s="1251"/>
      <c r="ANY78" s="1251"/>
      <c r="ANZ78" s="1251"/>
      <c r="AOA78" s="1251"/>
      <c r="AOB78" s="1251"/>
      <c r="AOC78" s="1251"/>
      <c r="AOD78" s="1251"/>
      <c r="AOE78" s="1251"/>
      <c r="AOF78" s="1251"/>
      <c r="AOG78" s="1251"/>
      <c r="AOH78" s="1251"/>
      <c r="AOI78" s="1251"/>
      <c r="AOJ78" s="1251"/>
      <c r="AOK78" s="1251"/>
      <c r="AOL78" s="1251"/>
      <c r="AOM78" s="1251"/>
      <c r="AON78" s="1251"/>
      <c r="AOO78" s="1251"/>
      <c r="AOP78" s="1251"/>
      <c r="AOQ78" s="1251"/>
      <c r="AOR78" s="1251"/>
      <c r="AOS78" s="1251"/>
      <c r="AOT78" s="1251"/>
      <c r="AOU78" s="1251"/>
      <c r="AOV78" s="1251"/>
      <c r="AOW78" s="1251"/>
      <c r="AOX78" s="1251"/>
      <c r="AOY78" s="1251"/>
      <c r="AOZ78" s="1251"/>
      <c r="APA78" s="1251"/>
      <c r="APB78" s="1251"/>
      <c r="APC78" s="1251"/>
      <c r="APD78" s="1251"/>
      <c r="APE78" s="1251"/>
      <c r="APF78" s="1251"/>
      <c r="APG78" s="1251"/>
      <c r="APH78" s="1251"/>
      <c r="API78" s="1251"/>
      <c r="APJ78" s="1251"/>
      <c r="APK78" s="1251"/>
      <c r="APL78" s="1251"/>
      <c r="APM78" s="1251"/>
      <c r="APN78" s="1251"/>
      <c r="APO78" s="1251"/>
      <c r="APP78" s="1251"/>
      <c r="APQ78" s="1251"/>
      <c r="APR78" s="1251"/>
      <c r="APS78" s="1251"/>
      <c r="APT78" s="1251"/>
      <c r="APU78" s="1251"/>
      <c r="APV78" s="1251"/>
      <c r="APW78" s="1251"/>
      <c r="APX78" s="1251"/>
      <c r="APY78" s="1251"/>
      <c r="APZ78" s="1251"/>
      <c r="AQA78" s="1251"/>
      <c r="AQB78" s="1251"/>
      <c r="AQC78" s="1251"/>
      <c r="AQD78" s="1251"/>
      <c r="AQE78" s="1251"/>
      <c r="AQF78" s="1251"/>
      <c r="AQG78" s="1251"/>
      <c r="AQH78" s="1251"/>
      <c r="AQI78" s="1251"/>
      <c r="AQJ78" s="1251"/>
      <c r="AQK78" s="1251"/>
      <c r="AQL78" s="1251"/>
      <c r="AQM78" s="1251"/>
      <c r="AQN78" s="1251"/>
      <c r="AQO78" s="1251"/>
      <c r="AQP78" s="1251"/>
      <c r="AQQ78" s="1251"/>
      <c r="AQR78" s="1251"/>
      <c r="AQS78" s="1251"/>
      <c r="AQT78" s="1251"/>
      <c r="AQU78" s="1251"/>
      <c r="AQV78" s="1251"/>
      <c r="AQW78" s="1251"/>
      <c r="AQX78" s="1251"/>
      <c r="AQY78" s="1251"/>
      <c r="AQZ78" s="1251"/>
      <c r="ARA78" s="1251"/>
      <c r="ARB78" s="1251"/>
      <c r="ARC78" s="1251"/>
      <c r="ARD78" s="1251"/>
      <c r="ARE78" s="1251"/>
      <c r="ARF78" s="1251"/>
      <c r="ARG78" s="1251"/>
      <c r="ARH78" s="1251"/>
      <c r="ARI78" s="1251"/>
      <c r="ARJ78" s="1251"/>
      <c r="ARK78" s="1251"/>
      <c r="ARL78" s="1251"/>
      <c r="ARM78" s="1251"/>
      <c r="ARN78" s="1251"/>
      <c r="ARO78" s="1251"/>
      <c r="ARP78" s="1251"/>
      <c r="ARQ78" s="1251"/>
      <c r="ARR78" s="1251"/>
      <c r="ARS78" s="1251"/>
      <c r="ART78" s="1251"/>
      <c r="ARU78" s="1251"/>
      <c r="ARV78" s="1251"/>
      <c r="ARW78" s="1251"/>
      <c r="ARX78" s="1251"/>
      <c r="ARY78" s="1251"/>
      <c r="ARZ78" s="1251"/>
      <c r="ASA78" s="1251"/>
      <c r="ASB78" s="1251"/>
      <c r="ASC78" s="1251"/>
      <c r="ASD78" s="1251"/>
      <c r="ASE78" s="1251"/>
      <c r="ASF78" s="1251"/>
      <c r="ASG78" s="1251"/>
      <c r="ASH78" s="1251"/>
      <c r="ASI78" s="1251"/>
      <c r="ASJ78" s="1251"/>
      <c r="ASK78" s="1251"/>
      <c r="ASL78" s="1251"/>
      <c r="ASM78" s="1251"/>
      <c r="ASN78" s="1251"/>
      <c r="ASO78" s="1251"/>
      <c r="ASP78" s="1251"/>
      <c r="ASQ78" s="1251"/>
      <c r="ASR78" s="1251"/>
      <c r="ASS78" s="1251"/>
      <c r="AST78" s="1251"/>
      <c r="ASU78" s="1251"/>
      <c r="ASV78" s="1251"/>
      <c r="ASW78" s="1251"/>
      <c r="ASX78" s="1251"/>
      <c r="ASY78" s="1251"/>
      <c r="ASZ78" s="1251"/>
      <c r="ATA78" s="1251"/>
      <c r="ATB78" s="1251"/>
      <c r="ATC78" s="1251"/>
      <c r="ATD78" s="1251"/>
      <c r="ATE78" s="1251"/>
      <c r="ATF78" s="1251"/>
      <c r="ATG78" s="1251"/>
      <c r="ATH78" s="1251"/>
      <c r="ATI78" s="1251"/>
      <c r="ATJ78" s="1251"/>
      <c r="ATK78" s="1251"/>
      <c r="ATL78" s="1251"/>
      <c r="ATM78" s="1251"/>
      <c r="ATN78" s="1251"/>
      <c r="ATO78" s="1251"/>
      <c r="ATP78" s="1251"/>
      <c r="ATQ78" s="1251"/>
      <c r="ATR78" s="1251"/>
      <c r="ATS78" s="1251"/>
      <c r="ATT78" s="1251"/>
      <c r="ATU78" s="1251"/>
      <c r="ATV78" s="1251"/>
      <c r="ATW78" s="1251"/>
      <c r="ATX78" s="1251"/>
      <c r="ATY78" s="1251"/>
      <c r="ATZ78" s="1251"/>
      <c r="AUA78" s="1251"/>
      <c r="AUB78" s="1251"/>
      <c r="AUC78" s="1251"/>
      <c r="AUD78" s="1251"/>
      <c r="AUE78" s="1251"/>
      <c r="AUF78" s="1251"/>
      <c r="AUG78" s="1251"/>
      <c r="AUH78" s="1251"/>
      <c r="AUI78" s="1251"/>
      <c r="AUJ78" s="1251"/>
      <c r="AUK78" s="1251"/>
      <c r="AUL78" s="1251"/>
      <c r="AUM78" s="1251"/>
      <c r="AUN78" s="1251"/>
      <c r="AUO78" s="1251"/>
      <c r="AUP78" s="1251"/>
      <c r="AUQ78" s="1251"/>
      <c r="AUR78" s="1251"/>
      <c r="AUS78" s="1251"/>
      <c r="AUT78" s="1251"/>
      <c r="AUU78" s="1251"/>
      <c r="AUV78" s="1251"/>
      <c r="AUW78" s="1251"/>
      <c r="AUX78" s="1251"/>
      <c r="AUY78" s="1251"/>
      <c r="AUZ78" s="1251"/>
      <c r="AVA78" s="1251"/>
      <c r="AVB78" s="1251"/>
      <c r="AVC78" s="1251"/>
      <c r="AVD78" s="1251"/>
      <c r="AVE78" s="1251"/>
      <c r="AVF78" s="1251"/>
      <c r="AVG78" s="1251"/>
      <c r="AVH78" s="1251"/>
      <c r="AVI78" s="1251"/>
      <c r="AVJ78" s="1251"/>
      <c r="AVK78" s="1251"/>
      <c r="AVL78" s="1251"/>
      <c r="AVM78" s="1251"/>
      <c r="AVN78" s="1251"/>
      <c r="AVO78" s="1251"/>
      <c r="AVP78" s="1251"/>
      <c r="AVQ78" s="1251"/>
      <c r="AVR78" s="1251"/>
      <c r="AVS78" s="1251"/>
      <c r="AVT78" s="1251"/>
      <c r="AVU78" s="1251"/>
      <c r="AVV78" s="1251"/>
      <c r="AVW78" s="1251"/>
      <c r="AVX78" s="1251"/>
      <c r="AVY78" s="1251"/>
      <c r="AVZ78" s="1251"/>
      <c r="AWA78" s="1251"/>
      <c r="AWB78" s="1251"/>
      <c r="AWC78" s="1251"/>
      <c r="AWD78" s="1251"/>
      <c r="AWE78" s="1251"/>
      <c r="AWF78" s="1251"/>
      <c r="AWG78" s="1251"/>
      <c r="AWH78" s="1251"/>
      <c r="AWI78" s="1251"/>
      <c r="AWJ78" s="1251"/>
      <c r="AWK78" s="1251"/>
      <c r="AWL78" s="1251"/>
      <c r="AWM78" s="1251"/>
      <c r="AWN78" s="1251"/>
      <c r="AWO78" s="1251"/>
      <c r="AWP78" s="1251"/>
      <c r="AWQ78" s="1251"/>
      <c r="AWR78" s="1251"/>
      <c r="AWS78" s="1251"/>
      <c r="AWT78" s="1251"/>
      <c r="AWU78" s="1251"/>
      <c r="AWV78" s="1251"/>
      <c r="AWW78" s="1251"/>
      <c r="AWX78" s="1251"/>
      <c r="AWY78" s="1251"/>
      <c r="AWZ78" s="1251"/>
      <c r="AXA78" s="1251"/>
      <c r="AXB78" s="1251"/>
      <c r="AXC78" s="1251"/>
      <c r="AXD78" s="1251"/>
      <c r="AXE78" s="1251"/>
      <c r="AXF78" s="1251"/>
      <c r="AXG78" s="1251"/>
      <c r="AXH78" s="1251"/>
      <c r="AXI78" s="1251"/>
      <c r="AXJ78" s="1251"/>
      <c r="AXK78" s="1251"/>
      <c r="AXL78" s="1251"/>
      <c r="AXM78" s="1251"/>
      <c r="AXN78" s="1251"/>
      <c r="AXO78" s="1251"/>
      <c r="AXP78" s="1251"/>
      <c r="AXQ78" s="1251"/>
      <c r="AXR78" s="1251"/>
      <c r="AXS78" s="1251"/>
      <c r="AXT78" s="1251"/>
      <c r="AXU78" s="1251"/>
      <c r="AXV78" s="1251"/>
      <c r="AXW78" s="1251"/>
      <c r="AXX78" s="1251"/>
      <c r="AXY78" s="1251"/>
      <c r="AXZ78" s="1251"/>
      <c r="AYA78" s="1251"/>
      <c r="AYB78" s="1251"/>
      <c r="AYC78" s="1251"/>
      <c r="AYD78" s="1251"/>
      <c r="AYE78" s="1251"/>
      <c r="AYF78" s="1251"/>
      <c r="AYG78" s="1251"/>
      <c r="AYH78" s="1251"/>
      <c r="AYI78" s="1251"/>
      <c r="AYJ78" s="1251"/>
      <c r="AYK78" s="1251"/>
      <c r="AYL78" s="1251"/>
      <c r="AYM78" s="1251"/>
      <c r="AYN78" s="1251"/>
      <c r="AYO78" s="1251"/>
      <c r="AYP78" s="1251"/>
      <c r="AYQ78" s="1251"/>
      <c r="AYR78" s="1251"/>
      <c r="AYS78" s="1251"/>
      <c r="AYT78" s="1251"/>
      <c r="AYU78" s="1251"/>
      <c r="AYV78" s="1251"/>
      <c r="AYW78" s="1251"/>
      <c r="AYX78" s="1251"/>
      <c r="AYY78" s="1251"/>
      <c r="AYZ78" s="1251"/>
      <c r="AZA78" s="1251"/>
      <c r="AZB78" s="1251"/>
      <c r="AZC78" s="1251"/>
      <c r="AZD78" s="1251"/>
      <c r="AZE78" s="1251"/>
      <c r="AZF78" s="1251"/>
      <c r="AZG78" s="1251"/>
      <c r="AZH78" s="1251"/>
      <c r="AZI78" s="1251"/>
      <c r="AZJ78" s="1251"/>
      <c r="AZK78" s="1251"/>
      <c r="AZL78" s="1251"/>
      <c r="AZM78" s="1251"/>
      <c r="AZN78" s="1251"/>
      <c r="AZO78" s="1251"/>
      <c r="AZP78" s="1251"/>
      <c r="AZQ78" s="1251"/>
      <c r="AZR78" s="1251"/>
      <c r="AZS78" s="1251"/>
      <c r="AZT78" s="1251"/>
      <c r="AZU78" s="1251"/>
      <c r="AZV78" s="1251"/>
      <c r="AZW78" s="1251"/>
      <c r="AZX78" s="1251"/>
      <c r="AZY78" s="1251"/>
      <c r="AZZ78" s="1251"/>
      <c r="BAA78" s="1251"/>
      <c r="BAB78" s="1251"/>
      <c r="BAC78" s="1251"/>
      <c r="BAD78" s="1251"/>
      <c r="BAE78" s="1251"/>
      <c r="BAF78" s="1251"/>
      <c r="BAG78" s="1251"/>
      <c r="BAH78" s="1251"/>
      <c r="BAI78" s="1251"/>
      <c r="BAJ78" s="1251"/>
      <c r="BAK78" s="1251"/>
      <c r="BAL78" s="1251"/>
      <c r="BAM78" s="1251"/>
      <c r="BAN78" s="1251"/>
      <c r="BAO78" s="1251"/>
      <c r="BAP78" s="1251"/>
      <c r="BAQ78" s="1251"/>
      <c r="BAR78" s="1251"/>
      <c r="BAS78" s="1251"/>
      <c r="BAT78" s="1251"/>
      <c r="BAU78" s="1251"/>
      <c r="BAV78" s="1251"/>
      <c r="BAW78" s="1251"/>
      <c r="BAX78" s="1251"/>
      <c r="BAY78" s="1251"/>
      <c r="BAZ78" s="1251"/>
      <c r="BBA78" s="1251"/>
      <c r="BBB78" s="1251"/>
      <c r="BBC78" s="1251"/>
      <c r="BBD78" s="1251"/>
      <c r="BBE78" s="1251"/>
      <c r="BBF78" s="1251"/>
      <c r="BBG78" s="1251"/>
      <c r="BBH78" s="1251"/>
      <c r="BBI78" s="1251"/>
      <c r="BBJ78" s="1251"/>
      <c r="BBK78" s="1251"/>
      <c r="BBL78" s="1251"/>
      <c r="BBM78" s="1251"/>
      <c r="BBN78" s="1251"/>
      <c r="BBO78" s="1251"/>
      <c r="BBP78" s="1251"/>
      <c r="BBQ78" s="1251"/>
      <c r="BBR78" s="1251"/>
      <c r="BBS78" s="1251"/>
      <c r="BBT78" s="1251"/>
      <c r="BBU78" s="1251"/>
      <c r="BBV78" s="1251"/>
      <c r="BBW78" s="1251"/>
      <c r="BBX78" s="1251"/>
      <c r="BBY78" s="1251"/>
      <c r="BBZ78" s="1251"/>
      <c r="BCA78" s="1251"/>
      <c r="BCB78" s="1251"/>
      <c r="BCC78" s="1251"/>
      <c r="BCD78" s="1251"/>
      <c r="BCE78" s="1251"/>
      <c r="BCF78" s="1251"/>
      <c r="BCG78" s="1251"/>
      <c r="BCH78" s="1251"/>
      <c r="BCI78" s="1251"/>
      <c r="BCJ78" s="1251"/>
      <c r="BCK78" s="1251"/>
      <c r="BCL78" s="1251"/>
      <c r="BCM78" s="1251"/>
      <c r="BCN78" s="1251"/>
      <c r="BCO78" s="1251"/>
      <c r="BCP78" s="1251"/>
      <c r="BCQ78" s="1251"/>
      <c r="BCR78" s="1251"/>
      <c r="BCS78" s="1251"/>
      <c r="BCT78" s="1251"/>
      <c r="BCU78" s="1251"/>
      <c r="BCV78" s="1251"/>
      <c r="BCW78" s="1251"/>
      <c r="BCX78" s="1251"/>
      <c r="BCY78" s="1251"/>
      <c r="BCZ78" s="1251"/>
      <c r="BDA78" s="1251"/>
      <c r="BDB78" s="1251"/>
      <c r="BDC78" s="1251"/>
      <c r="BDD78" s="1251"/>
      <c r="BDE78" s="1251"/>
      <c r="BDF78" s="1251"/>
      <c r="BDG78" s="1251"/>
      <c r="BDH78" s="1251"/>
      <c r="BDI78" s="1251"/>
      <c r="BDJ78" s="1251"/>
      <c r="BDK78" s="1251"/>
      <c r="BDL78" s="1251"/>
      <c r="BDM78" s="1251"/>
      <c r="BDN78" s="1251"/>
      <c r="BDO78" s="1251"/>
      <c r="BDP78" s="1251"/>
      <c r="BDQ78" s="1251"/>
      <c r="BDR78" s="1251"/>
      <c r="BDS78" s="1251"/>
      <c r="BDT78" s="1251"/>
      <c r="BDU78" s="1251"/>
      <c r="BDV78" s="1251"/>
      <c r="BDW78" s="1251"/>
      <c r="BDX78" s="1251"/>
      <c r="BDY78" s="1251"/>
      <c r="BDZ78" s="1251"/>
      <c r="BEA78" s="1251"/>
      <c r="BEB78" s="1251"/>
      <c r="BEC78" s="1251"/>
      <c r="BED78" s="1251"/>
      <c r="BEE78" s="1251"/>
      <c r="BEF78" s="1251"/>
      <c r="BEG78" s="1251"/>
      <c r="BEH78" s="1251"/>
      <c r="BEI78" s="1251"/>
      <c r="BEJ78" s="1251"/>
      <c r="BEK78" s="1251"/>
      <c r="BEL78" s="1251"/>
      <c r="BEM78" s="1251"/>
      <c r="BEN78" s="1251"/>
      <c r="BEO78" s="1251"/>
      <c r="BEP78" s="1251"/>
      <c r="BEQ78" s="1251"/>
      <c r="BER78" s="1251"/>
      <c r="BES78" s="1251"/>
      <c r="BET78" s="1251"/>
      <c r="BEU78" s="1251"/>
      <c r="BEV78" s="1251"/>
      <c r="BEW78" s="1251"/>
      <c r="BEX78" s="1251"/>
      <c r="BEY78" s="1251"/>
      <c r="BEZ78" s="1251"/>
      <c r="BFA78" s="1251"/>
      <c r="BFB78" s="1251"/>
      <c r="BFC78" s="1251"/>
      <c r="BFD78" s="1251"/>
      <c r="BFE78" s="1251"/>
      <c r="BFF78" s="1251"/>
      <c r="BFG78" s="1251"/>
      <c r="BFH78" s="1251"/>
      <c r="BFI78" s="1251"/>
      <c r="BFJ78" s="1251"/>
      <c r="BFK78" s="1251"/>
      <c r="BFL78" s="1251"/>
      <c r="BFM78" s="1251"/>
      <c r="BFN78" s="1251"/>
      <c r="BFO78" s="1251"/>
      <c r="BFP78" s="1251"/>
      <c r="BFQ78" s="1251"/>
      <c r="BFR78" s="1251"/>
      <c r="BFS78" s="1251"/>
      <c r="BFT78" s="1251"/>
      <c r="BFU78" s="1251"/>
      <c r="BFV78" s="1251"/>
      <c r="BFW78" s="1251"/>
      <c r="BFX78" s="1251"/>
      <c r="BFY78" s="1251"/>
      <c r="BFZ78" s="1251"/>
      <c r="BGA78" s="1251"/>
      <c r="BGB78" s="1251"/>
      <c r="BGC78" s="1251"/>
      <c r="BGD78" s="1251"/>
      <c r="BGE78" s="1251"/>
      <c r="BGF78" s="1251"/>
      <c r="BGG78" s="1251"/>
      <c r="BGH78" s="1251"/>
      <c r="BGI78" s="1251"/>
      <c r="BGJ78" s="1251"/>
      <c r="BGK78" s="1251"/>
      <c r="BGL78" s="1251"/>
      <c r="BGM78" s="1251"/>
      <c r="BGN78" s="1251"/>
      <c r="BGO78" s="1251"/>
      <c r="BGP78" s="1251"/>
      <c r="BGQ78" s="1251"/>
      <c r="BGR78" s="1251"/>
      <c r="BGS78" s="1251"/>
      <c r="BGT78" s="1251"/>
      <c r="BGU78" s="1251"/>
      <c r="BGV78" s="1251"/>
      <c r="BGW78" s="1251"/>
      <c r="BGX78" s="1251"/>
      <c r="BGY78" s="1251"/>
      <c r="BGZ78" s="1251"/>
      <c r="BHA78" s="1251"/>
      <c r="BHB78" s="1251"/>
      <c r="BHC78" s="1251"/>
      <c r="BHD78" s="1251"/>
      <c r="BHE78" s="1251"/>
      <c r="BHF78" s="1251"/>
      <c r="BHG78" s="1251"/>
      <c r="BHH78" s="1251"/>
      <c r="BHI78" s="1251"/>
      <c r="BHJ78" s="1251"/>
      <c r="BHK78" s="1251"/>
      <c r="BHL78" s="1251"/>
      <c r="BHM78" s="1251"/>
      <c r="BHN78" s="1251"/>
      <c r="BHO78" s="1251"/>
      <c r="BHP78" s="1251"/>
      <c r="BHQ78" s="1251"/>
      <c r="BHR78" s="1251"/>
      <c r="BHS78" s="1251"/>
      <c r="BHT78" s="1251"/>
      <c r="BHU78" s="1251"/>
      <c r="BHV78" s="1251"/>
      <c r="BHW78" s="1251"/>
      <c r="BHX78" s="1251"/>
      <c r="BHY78" s="1251"/>
      <c r="BHZ78" s="1251"/>
      <c r="BIA78" s="1251"/>
      <c r="BIB78" s="1251"/>
      <c r="BIC78" s="1251"/>
      <c r="BID78" s="1251"/>
      <c r="BIE78" s="1251"/>
      <c r="BIF78" s="1251"/>
      <c r="BIG78" s="1251"/>
      <c r="BIH78" s="1251"/>
      <c r="BII78" s="1251"/>
      <c r="BIJ78" s="1251"/>
      <c r="BIK78" s="1251"/>
      <c r="BIL78" s="1251"/>
      <c r="BIM78" s="1251"/>
      <c r="BIN78" s="1251"/>
      <c r="BIO78" s="1251"/>
      <c r="BIP78" s="1251"/>
      <c r="BIQ78" s="1251"/>
      <c r="BIR78" s="1251"/>
      <c r="BIS78" s="1251"/>
      <c r="BIT78" s="1251"/>
      <c r="BIU78" s="1251"/>
      <c r="BIV78" s="1251"/>
      <c r="BIW78" s="1251"/>
      <c r="BIX78" s="1251"/>
      <c r="BIY78" s="1251"/>
      <c r="BIZ78" s="1251"/>
      <c r="BJA78" s="1251"/>
      <c r="BJB78" s="1251"/>
      <c r="BJC78" s="1251"/>
      <c r="BJD78" s="1251"/>
      <c r="BJE78" s="1251"/>
      <c r="BJF78" s="1251"/>
      <c r="BJG78" s="1251"/>
      <c r="BJH78" s="1251"/>
      <c r="BJI78" s="1251"/>
      <c r="BJJ78" s="1251"/>
      <c r="BJK78" s="1251"/>
      <c r="BJL78" s="1251"/>
      <c r="BJM78" s="1251"/>
      <c r="BJN78" s="1251"/>
      <c r="BJO78" s="1251"/>
      <c r="BJP78" s="1251"/>
      <c r="BJQ78" s="1251"/>
      <c r="BJR78" s="1251"/>
      <c r="BJS78" s="1251"/>
      <c r="BJT78" s="1251"/>
      <c r="BJU78" s="1251"/>
      <c r="BJV78" s="1251"/>
      <c r="BJW78" s="1251"/>
      <c r="BJX78" s="1251"/>
      <c r="BJY78" s="1251"/>
      <c r="BJZ78" s="1251"/>
      <c r="BKA78" s="1251"/>
      <c r="BKB78" s="1251"/>
      <c r="BKC78" s="1251"/>
      <c r="BKD78" s="1251"/>
      <c r="BKE78" s="1251"/>
      <c r="BKF78" s="1251"/>
      <c r="BKG78" s="1251"/>
      <c r="BKH78" s="1251"/>
      <c r="BKI78" s="1251"/>
      <c r="BKJ78" s="1251"/>
      <c r="BKK78" s="1251"/>
      <c r="BKL78" s="1251"/>
      <c r="BKM78" s="1251"/>
      <c r="BKN78" s="1251"/>
      <c r="BKO78" s="1251"/>
      <c r="BKP78" s="1251"/>
      <c r="BKQ78" s="1251"/>
      <c r="BKR78" s="1251"/>
      <c r="BKS78" s="1251"/>
      <c r="BKT78" s="1251"/>
      <c r="BKU78" s="1251"/>
      <c r="BKV78" s="1251"/>
      <c r="BKW78" s="1251"/>
      <c r="BKX78" s="1251"/>
      <c r="BKY78" s="1251"/>
      <c r="BKZ78" s="1251"/>
      <c r="BLA78" s="1251"/>
      <c r="BLB78" s="1251"/>
      <c r="BLC78" s="1251"/>
      <c r="BLD78" s="1251"/>
      <c r="BLE78" s="1251"/>
      <c r="BLF78" s="1251"/>
      <c r="BLG78" s="1251"/>
      <c r="BLH78" s="1251"/>
      <c r="BLI78" s="1251"/>
      <c r="BLJ78" s="1251"/>
      <c r="BLK78" s="1251"/>
      <c r="BLL78" s="1251"/>
      <c r="BLM78" s="1251"/>
      <c r="BLN78" s="1251"/>
      <c r="BLO78" s="1251"/>
      <c r="BLP78" s="1251"/>
      <c r="BLQ78" s="1251"/>
      <c r="BLR78" s="1251"/>
      <c r="BLS78" s="1251"/>
      <c r="BLT78" s="1251"/>
      <c r="BLU78" s="1251"/>
      <c r="BLV78" s="1251"/>
      <c r="BLW78" s="1251"/>
      <c r="BLX78" s="1251"/>
      <c r="BLY78" s="1251"/>
      <c r="BLZ78" s="1251"/>
      <c r="BMA78" s="1251"/>
      <c r="BMB78" s="1251"/>
      <c r="BMC78" s="1251"/>
      <c r="BMD78" s="1251"/>
      <c r="BME78" s="1251"/>
      <c r="BMF78" s="1251"/>
      <c r="BMG78" s="1251"/>
      <c r="BMH78" s="1251"/>
      <c r="BMI78" s="1251"/>
      <c r="BMJ78" s="1251"/>
      <c r="BMK78" s="1251"/>
      <c r="BML78" s="1251"/>
      <c r="BMM78" s="1251"/>
      <c r="BMN78" s="1251"/>
      <c r="BMO78" s="1251"/>
      <c r="BMP78" s="1251"/>
      <c r="BMQ78" s="1251"/>
      <c r="BMR78" s="1251"/>
      <c r="BMS78" s="1251"/>
      <c r="BMT78" s="1251"/>
      <c r="BMU78" s="1251"/>
      <c r="BMV78" s="1251"/>
      <c r="BMW78" s="1251"/>
      <c r="BMX78" s="1251"/>
      <c r="BMY78" s="1251"/>
      <c r="BMZ78" s="1251"/>
      <c r="BNA78" s="1251"/>
      <c r="BNB78" s="1251"/>
      <c r="BNC78" s="1251"/>
      <c r="BND78" s="1251"/>
      <c r="BNE78" s="1251"/>
      <c r="BNF78" s="1251"/>
      <c r="BNG78" s="1251"/>
      <c r="BNH78" s="1251"/>
      <c r="BNI78" s="1251"/>
      <c r="BNJ78" s="1251"/>
      <c r="BNK78" s="1251"/>
      <c r="BNL78" s="1251"/>
      <c r="BNM78" s="1251"/>
      <c r="BNN78" s="1251"/>
      <c r="BNO78" s="1251"/>
      <c r="BNP78" s="1251"/>
      <c r="BNQ78" s="1251"/>
      <c r="BNR78" s="1251"/>
      <c r="BNS78" s="1251"/>
      <c r="BNT78" s="1251"/>
      <c r="BNU78" s="1251"/>
      <c r="BNV78" s="1251"/>
      <c r="BNW78" s="1251"/>
      <c r="BNX78" s="1251"/>
      <c r="BNY78" s="1251"/>
      <c r="BNZ78" s="1251"/>
      <c r="BOA78" s="1251"/>
      <c r="BOB78" s="1251"/>
      <c r="BOC78" s="1251"/>
      <c r="BOD78" s="1251"/>
      <c r="BOE78" s="1251"/>
      <c r="BOF78" s="1251"/>
      <c r="BOG78" s="1251"/>
      <c r="BOH78" s="1251"/>
      <c r="BOI78" s="1251"/>
      <c r="BOJ78" s="1251"/>
      <c r="BOK78" s="1251"/>
      <c r="BOL78" s="1251"/>
      <c r="BOM78" s="1251"/>
      <c r="BON78" s="1251"/>
      <c r="BOO78" s="1251"/>
      <c r="BOP78" s="1251"/>
      <c r="BOQ78" s="1251"/>
      <c r="BOR78" s="1251"/>
      <c r="BOS78" s="1251"/>
      <c r="BOT78" s="1251"/>
      <c r="BOU78" s="1251"/>
      <c r="BOV78" s="1251"/>
      <c r="BOW78" s="1251"/>
      <c r="BOX78" s="1251"/>
      <c r="BOY78" s="1251"/>
      <c r="BOZ78" s="1251"/>
      <c r="BPA78" s="1251"/>
      <c r="BPB78" s="1251"/>
      <c r="BPC78" s="1251"/>
      <c r="BPD78" s="1251"/>
      <c r="BPE78" s="1251"/>
      <c r="BPF78" s="1251"/>
      <c r="BPG78" s="1251"/>
      <c r="BPH78" s="1251"/>
      <c r="BPI78" s="1251"/>
      <c r="BPJ78" s="1251"/>
      <c r="BPK78" s="1251"/>
      <c r="BPL78" s="1251"/>
      <c r="BPM78" s="1251"/>
      <c r="BPN78" s="1251"/>
      <c r="BPO78" s="1251"/>
      <c r="BPP78" s="1251"/>
      <c r="BPQ78" s="1251"/>
      <c r="BPR78" s="1251"/>
      <c r="BPS78" s="1251"/>
      <c r="BPT78" s="1251"/>
      <c r="BPU78" s="1251"/>
      <c r="BPV78" s="1251"/>
      <c r="BPW78" s="1251"/>
      <c r="BPX78" s="1251"/>
      <c r="BPY78" s="1251"/>
      <c r="BPZ78" s="1251"/>
      <c r="BQA78" s="1251"/>
      <c r="BQB78" s="1251"/>
      <c r="BQC78" s="1251"/>
      <c r="BQD78" s="1251"/>
      <c r="BQE78" s="1251"/>
      <c r="BQF78" s="1251"/>
      <c r="BQG78" s="1251"/>
      <c r="BQH78" s="1251"/>
      <c r="BQI78" s="1251"/>
      <c r="BQJ78" s="1251"/>
      <c r="BQK78" s="1251"/>
      <c r="BQL78" s="1251"/>
      <c r="BQM78" s="1251"/>
      <c r="BQN78" s="1251"/>
      <c r="BQO78" s="1251"/>
      <c r="BQP78" s="1251"/>
      <c r="BQQ78" s="1251"/>
      <c r="BQR78" s="1251"/>
      <c r="BQS78" s="1251"/>
      <c r="BQT78" s="1251"/>
      <c r="BQU78" s="1251"/>
      <c r="BQV78" s="1251"/>
      <c r="BQW78" s="1251"/>
      <c r="BQX78" s="1251"/>
      <c r="BQY78" s="1251"/>
      <c r="BQZ78" s="1251"/>
      <c r="BRA78" s="1251"/>
      <c r="BRB78" s="1251"/>
      <c r="BRC78" s="1251"/>
      <c r="BRD78" s="1251"/>
      <c r="BRE78" s="1251"/>
      <c r="BRF78" s="1251"/>
      <c r="BRG78" s="1251"/>
      <c r="BRH78" s="1251"/>
      <c r="BRI78" s="1251"/>
      <c r="BRJ78" s="1251"/>
      <c r="BRK78" s="1251"/>
      <c r="BRL78" s="1251"/>
      <c r="BRM78" s="1251"/>
      <c r="BRN78" s="1251"/>
      <c r="BRO78" s="1251"/>
      <c r="BRP78" s="1251"/>
      <c r="BRQ78" s="1251"/>
      <c r="BRR78" s="1251"/>
      <c r="BRS78" s="1251"/>
      <c r="BRT78" s="1251"/>
      <c r="BRU78" s="1251"/>
      <c r="BRV78" s="1251"/>
      <c r="BRW78" s="1251"/>
      <c r="BRX78" s="1251"/>
      <c r="BRY78" s="1251"/>
      <c r="BRZ78" s="1251"/>
      <c r="BSA78" s="1251"/>
      <c r="BSB78" s="1251"/>
      <c r="BSC78" s="1251"/>
      <c r="BSD78" s="1251"/>
      <c r="BSE78" s="1251"/>
      <c r="BSF78" s="1251"/>
      <c r="BSG78" s="1251"/>
      <c r="BSH78" s="1251"/>
      <c r="BSI78" s="1251"/>
      <c r="BSJ78" s="1251"/>
      <c r="BSK78" s="1251"/>
      <c r="BSL78" s="1251"/>
      <c r="BSM78" s="1251"/>
      <c r="BSN78" s="1251"/>
      <c r="BSO78" s="1251"/>
      <c r="BSP78" s="1251"/>
      <c r="BSQ78" s="1251"/>
      <c r="BSR78" s="1251"/>
      <c r="BSS78" s="1251"/>
      <c r="BST78" s="1251"/>
      <c r="BSU78" s="1251"/>
      <c r="BSV78" s="1251"/>
      <c r="BSW78" s="1251"/>
      <c r="BSX78" s="1251"/>
      <c r="BSY78" s="1251"/>
      <c r="BSZ78" s="1251"/>
      <c r="BTA78" s="1251"/>
      <c r="BTB78" s="1251"/>
      <c r="BTC78" s="1251"/>
      <c r="BTD78" s="1251"/>
      <c r="BTE78" s="1251"/>
      <c r="BTF78" s="1251"/>
      <c r="BTG78" s="1251"/>
      <c r="BTH78" s="1251"/>
      <c r="BTI78" s="1251"/>
    </row>
    <row r="79" spans="1:1881" s="1261" customFormat="1" ht="65.25" hidden="1" customHeight="1" thickBot="1" x14ac:dyDescent="0.35">
      <c r="A79" s="1248">
        <v>370</v>
      </c>
      <c r="B79" s="593" t="s">
        <v>56</v>
      </c>
      <c r="C79" s="593" t="s">
        <v>152</v>
      </c>
      <c r="D79" s="24" t="s">
        <v>1371</v>
      </c>
      <c r="E79" s="1249" t="e">
        <f>HLOOKUP($D$2,'2020 Data(H)'!$C$1:$CZ$426,131,FALSE)</f>
        <v>#N/A</v>
      </c>
      <c r="F79" s="1263">
        <v>0</v>
      </c>
      <c r="G79" s="727">
        <f>IF(F79&lt;0,"Error: Enter as positive.",)</f>
        <v>0</v>
      </c>
      <c r="H79" s="17"/>
      <c r="I79" s="760"/>
      <c r="J79" s="1252"/>
      <c r="K79" s="1251"/>
      <c r="L79" s="701"/>
      <c r="M79" s="1251"/>
      <c r="N79" s="1253"/>
      <c r="O79" s="1251"/>
      <c r="P79" s="1251"/>
      <c r="Q79" s="1251"/>
      <c r="R79" s="1251"/>
      <c r="S79" s="1251"/>
      <c r="T79" s="1251"/>
      <c r="U79" s="1251"/>
      <c r="V79" s="1251"/>
      <c r="W79" s="1251"/>
      <c r="X79" s="1251"/>
      <c r="Y79" s="1251"/>
      <c r="Z79" s="1248"/>
      <c r="AA79" s="1248"/>
      <c r="AB79" s="1248"/>
      <c r="AC79" s="1248"/>
      <c r="AD79" s="1248"/>
      <c r="AE79" s="1248"/>
      <c r="AF79" s="1248"/>
      <c r="AG79" s="1248"/>
      <c r="AH79" s="1248"/>
      <c r="AI79" s="1248"/>
      <c r="AJ79" s="1248"/>
      <c r="AK79" s="1248"/>
      <c r="AL79" s="1248"/>
      <c r="AM79" s="1248"/>
      <c r="AN79" s="1248"/>
      <c r="AO79" s="1248"/>
      <c r="AP79" s="1248"/>
      <c r="AQ79" s="1248"/>
      <c r="AR79" s="1248"/>
      <c r="AS79" s="1251"/>
      <c r="AT79" s="1251"/>
      <c r="AU79" s="1251"/>
      <c r="AV79" s="1251"/>
      <c r="AW79" s="1251"/>
      <c r="AX79" s="1251"/>
      <c r="AY79" s="1251"/>
      <c r="AZ79" s="1251"/>
      <c r="BA79" s="1251"/>
      <c r="BB79" s="1251"/>
      <c r="BC79" s="1251"/>
      <c r="BD79" s="1251"/>
      <c r="BE79" s="1251"/>
      <c r="BF79" s="1251"/>
      <c r="BG79" s="1251"/>
      <c r="BH79" s="1251"/>
      <c r="BI79" s="1251"/>
      <c r="BJ79" s="1251"/>
      <c r="BK79" s="1251"/>
      <c r="BL79" s="1251"/>
      <c r="BM79" s="1251"/>
      <c r="BN79" s="1251"/>
      <c r="BO79" s="1251"/>
      <c r="BP79" s="1251"/>
      <c r="BQ79" s="1251"/>
      <c r="BR79" s="1251"/>
      <c r="BS79" s="1251"/>
      <c r="BT79" s="1251"/>
      <c r="BU79" s="1251"/>
      <c r="BV79" s="1251"/>
      <c r="BW79" s="1251"/>
      <c r="BX79" s="1251"/>
      <c r="BY79" s="1251"/>
      <c r="BZ79" s="1251"/>
      <c r="CA79" s="1251"/>
      <c r="CB79" s="1251"/>
      <c r="CC79" s="1251"/>
      <c r="CD79" s="1251"/>
      <c r="CE79" s="1251"/>
      <c r="CF79" s="1251"/>
      <c r="CG79" s="1251"/>
      <c r="CH79" s="1251"/>
      <c r="CI79" s="1251"/>
      <c r="CJ79" s="1251"/>
      <c r="CK79" s="1251"/>
      <c r="CL79" s="1251"/>
      <c r="CM79" s="1251"/>
      <c r="CN79" s="1251"/>
      <c r="CO79" s="1251"/>
      <c r="CP79" s="1251"/>
      <c r="CQ79" s="1251"/>
      <c r="CR79" s="1251"/>
      <c r="CS79" s="1251"/>
      <c r="CT79" s="1251"/>
      <c r="CU79" s="1251"/>
      <c r="CV79" s="1251"/>
      <c r="CW79" s="1251"/>
      <c r="CX79" s="1251"/>
      <c r="CY79" s="1251"/>
      <c r="CZ79" s="1251"/>
      <c r="DA79" s="1251"/>
      <c r="DB79" s="1251"/>
      <c r="DC79" s="1251"/>
      <c r="DD79" s="1251"/>
      <c r="DE79" s="1251"/>
      <c r="DF79" s="1251"/>
      <c r="DG79" s="1251"/>
      <c r="DH79" s="1251"/>
      <c r="DI79" s="1251"/>
      <c r="DJ79" s="1251"/>
      <c r="DK79" s="1251"/>
      <c r="DL79" s="1251"/>
      <c r="DM79" s="1251"/>
      <c r="DN79" s="1251"/>
      <c r="DO79" s="1251"/>
      <c r="DP79" s="1251"/>
      <c r="DQ79" s="1251"/>
      <c r="DR79" s="1251"/>
      <c r="DS79" s="1251"/>
      <c r="DT79" s="1251"/>
      <c r="DU79" s="1251"/>
      <c r="DV79" s="1251"/>
      <c r="DW79" s="1251"/>
      <c r="DX79" s="1251"/>
      <c r="DY79" s="1251"/>
      <c r="DZ79" s="1251"/>
      <c r="EA79" s="1251"/>
      <c r="EB79" s="1251"/>
      <c r="EC79" s="1251"/>
      <c r="ED79" s="1251"/>
      <c r="EE79" s="1251"/>
      <c r="EF79" s="1251"/>
      <c r="EG79" s="1251"/>
      <c r="EH79" s="1251"/>
      <c r="EI79" s="1251"/>
      <c r="EJ79" s="1251"/>
      <c r="EK79" s="1251"/>
      <c r="EL79" s="1251"/>
      <c r="EM79" s="1251"/>
      <c r="EN79" s="1251"/>
      <c r="EO79" s="1251"/>
      <c r="EP79" s="1251"/>
      <c r="EQ79" s="1251"/>
      <c r="ER79" s="1251"/>
      <c r="ES79" s="1251"/>
      <c r="ET79" s="1251"/>
      <c r="EU79" s="1251"/>
      <c r="EV79" s="1251"/>
      <c r="EW79" s="1251"/>
      <c r="EX79" s="1251"/>
      <c r="EY79" s="1251"/>
      <c r="EZ79" s="1251"/>
      <c r="FA79" s="1251"/>
      <c r="FB79" s="1251"/>
      <c r="FC79" s="1251"/>
      <c r="FD79" s="1251"/>
      <c r="FE79" s="1251"/>
      <c r="FF79" s="1251"/>
      <c r="FG79" s="1251"/>
      <c r="FH79" s="1251"/>
      <c r="FI79" s="1251"/>
      <c r="FJ79" s="1251"/>
      <c r="FK79" s="1251"/>
      <c r="FL79" s="1251"/>
      <c r="FM79" s="1251"/>
      <c r="FN79" s="1251"/>
      <c r="FO79" s="1251"/>
      <c r="FP79" s="1251"/>
      <c r="FQ79" s="1251"/>
      <c r="FR79" s="1251"/>
      <c r="FS79" s="1251"/>
      <c r="FT79" s="1251"/>
      <c r="FU79" s="1251"/>
      <c r="FV79" s="1251"/>
      <c r="FW79" s="1251"/>
      <c r="FX79" s="1251"/>
      <c r="FY79" s="1251"/>
      <c r="FZ79" s="1251"/>
      <c r="GA79" s="1251"/>
      <c r="GB79" s="1251"/>
      <c r="GC79" s="1251"/>
      <c r="GD79" s="1251"/>
      <c r="GE79" s="1251"/>
      <c r="GF79" s="1251"/>
      <c r="GG79" s="1251"/>
      <c r="GH79" s="1251"/>
      <c r="GI79" s="1251"/>
      <c r="GJ79" s="1251"/>
      <c r="GK79" s="1251"/>
      <c r="GL79" s="1251"/>
      <c r="GM79" s="1251"/>
      <c r="GN79" s="1251"/>
      <c r="GO79" s="1251"/>
      <c r="GP79" s="1251"/>
      <c r="GQ79" s="1251"/>
      <c r="GR79" s="1251"/>
      <c r="GS79" s="1251"/>
      <c r="GT79" s="1251"/>
      <c r="GU79" s="1251"/>
      <c r="GV79" s="1251"/>
      <c r="GW79" s="1251"/>
      <c r="GX79" s="1251"/>
      <c r="GY79" s="1251"/>
      <c r="GZ79" s="1251"/>
      <c r="HA79" s="1251"/>
      <c r="HB79" s="1251"/>
      <c r="HC79" s="1251"/>
      <c r="HD79" s="1251"/>
      <c r="HE79" s="1251"/>
      <c r="HF79" s="1251"/>
      <c r="HG79" s="1251"/>
      <c r="HH79" s="1251"/>
      <c r="HI79" s="1251"/>
      <c r="HJ79" s="1251"/>
      <c r="HK79" s="1251"/>
      <c r="HL79" s="1251"/>
      <c r="HM79" s="1251"/>
      <c r="HN79" s="1251"/>
      <c r="HO79" s="1251"/>
      <c r="HP79" s="1251"/>
      <c r="HQ79" s="1251"/>
      <c r="HR79" s="1251"/>
      <c r="HS79" s="1251"/>
      <c r="HT79" s="1251"/>
      <c r="HU79" s="1251"/>
      <c r="HV79" s="1251"/>
      <c r="HW79" s="1251"/>
      <c r="HX79" s="1251"/>
      <c r="HY79" s="1251"/>
      <c r="HZ79" s="1251"/>
      <c r="IA79" s="1251"/>
      <c r="IB79" s="1251"/>
      <c r="IC79" s="1251"/>
      <c r="ID79" s="1251"/>
      <c r="IE79" s="1251"/>
      <c r="IF79" s="1251"/>
      <c r="IG79" s="1251"/>
      <c r="IH79" s="1251"/>
      <c r="II79" s="1251"/>
      <c r="IJ79" s="1251"/>
      <c r="IK79" s="1251"/>
      <c r="IL79" s="1251"/>
      <c r="IM79" s="1251"/>
      <c r="IN79" s="1251"/>
      <c r="IO79" s="1251"/>
      <c r="IP79" s="1251"/>
      <c r="IQ79" s="1251"/>
      <c r="IR79" s="1251"/>
      <c r="IS79" s="1251"/>
      <c r="IT79" s="1251"/>
      <c r="IU79" s="1251"/>
      <c r="IV79" s="1251"/>
      <c r="IW79" s="1251"/>
      <c r="IX79" s="1251"/>
      <c r="IY79" s="1251"/>
      <c r="IZ79" s="1251"/>
      <c r="JA79" s="1251"/>
      <c r="JB79" s="1251"/>
      <c r="JC79" s="1251"/>
      <c r="JD79" s="1251"/>
      <c r="JE79" s="1251"/>
      <c r="JF79" s="1251"/>
      <c r="JG79" s="1251"/>
      <c r="JH79" s="1251"/>
      <c r="JI79" s="1251"/>
      <c r="JJ79" s="1251"/>
      <c r="JK79" s="1251"/>
      <c r="JL79" s="1251"/>
      <c r="JM79" s="1251"/>
      <c r="JN79" s="1251"/>
      <c r="JO79" s="1251"/>
      <c r="JP79" s="1251"/>
      <c r="JQ79" s="1251"/>
      <c r="JR79" s="1251"/>
      <c r="JS79" s="1251"/>
      <c r="JT79" s="1251"/>
      <c r="JU79" s="1251"/>
      <c r="JV79" s="1251"/>
      <c r="JW79" s="1251"/>
      <c r="JX79" s="1251"/>
      <c r="JY79" s="1251"/>
      <c r="JZ79" s="1251"/>
      <c r="KA79" s="1251"/>
      <c r="KB79" s="1251"/>
      <c r="KC79" s="1251"/>
      <c r="KD79" s="1251"/>
      <c r="KE79" s="1251"/>
      <c r="KF79" s="1251"/>
      <c r="KG79" s="1251"/>
      <c r="KH79" s="1251"/>
      <c r="KI79" s="1251"/>
      <c r="KJ79" s="1251"/>
      <c r="KK79" s="1251"/>
      <c r="KL79" s="1251"/>
      <c r="KM79" s="1251"/>
      <c r="KN79" s="1251"/>
      <c r="KO79" s="1251"/>
      <c r="KP79" s="1251"/>
      <c r="KQ79" s="1251"/>
      <c r="KR79" s="1251"/>
      <c r="KS79" s="1251"/>
      <c r="KT79" s="1251"/>
      <c r="KU79" s="1251"/>
      <c r="KV79" s="1251"/>
      <c r="KW79" s="1251"/>
      <c r="KX79" s="1251"/>
      <c r="KY79" s="1251"/>
      <c r="KZ79" s="1251"/>
      <c r="LA79" s="1251"/>
      <c r="LB79" s="1251"/>
      <c r="LC79" s="1251"/>
      <c r="LD79" s="1251"/>
      <c r="LE79" s="1251"/>
      <c r="LF79" s="1251"/>
      <c r="LG79" s="1251"/>
      <c r="LH79" s="1251"/>
      <c r="LI79" s="1251"/>
      <c r="LJ79" s="1251"/>
      <c r="LK79" s="1251"/>
      <c r="LL79" s="1251"/>
      <c r="LM79" s="1251"/>
      <c r="LN79" s="1251"/>
      <c r="LO79" s="1251"/>
      <c r="LP79" s="1251"/>
      <c r="LQ79" s="1251"/>
      <c r="LR79" s="1251"/>
      <c r="LS79" s="1251"/>
      <c r="LT79" s="1251"/>
      <c r="LU79" s="1251"/>
      <c r="LV79" s="1251"/>
      <c r="LW79" s="1251"/>
      <c r="LX79" s="1251"/>
      <c r="LY79" s="1251"/>
      <c r="LZ79" s="1251"/>
      <c r="MA79" s="1251"/>
      <c r="MB79" s="1251"/>
      <c r="MC79" s="1251"/>
      <c r="MD79" s="1251"/>
      <c r="ME79" s="1251"/>
      <c r="MF79" s="1251"/>
      <c r="MG79" s="1251"/>
      <c r="MH79" s="1251"/>
      <c r="MI79" s="1251"/>
      <c r="MJ79" s="1251"/>
      <c r="MK79" s="1251"/>
      <c r="ML79" s="1251"/>
      <c r="MM79" s="1251"/>
      <c r="MN79" s="1251"/>
      <c r="MO79" s="1251"/>
      <c r="MP79" s="1251"/>
      <c r="MQ79" s="1251"/>
      <c r="MR79" s="1251"/>
      <c r="MS79" s="1251"/>
      <c r="MT79" s="1251"/>
      <c r="MU79" s="1251"/>
      <c r="MV79" s="1251"/>
      <c r="MW79" s="1251"/>
      <c r="MX79" s="1251"/>
      <c r="MY79" s="1251"/>
      <c r="MZ79" s="1251"/>
      <c r="NA79" s="1251"/>
      <c r="NB79" s="1251"/>
      <c r="NC79" s="1251"/>
      <c r="ND79" s="1251"/>
      <c r="NE79" s="1251"/>
      <c r="NF79" s="1251"/>
      <c r="NG79" s="1251"/>
      <c r="NH79" s="1251"/>
      <c r="NI79" s="1251"/>
      <c r="NJ79" s="1251"/>
      <c r="NK79" s="1251"/>
      <c r="NL79" s="1251"/>
      <c r="NM79" s="1251"/>
      <c r="NN79" s="1251"/>
      <c r="NO79" s="1251"/>
      <c r="NP79" s="1251"/>
      <c r="NQ79" s="1251"/>
      <c r="NR79" s="1251"/>
      <c r="NS79" s="1251"/>
      <c r="NT79" s="1251"/>
      <c r="NU79" s="1251"/>
      <c r="NV79" s="1251"/>
      <c r="NW79" s="1251"/>
      <c r="NX79" s="1251"/>
      <c r="NY79" s="1251"/>
      <c r="NZ79" s="1251"/>
      <c r="OA79" s="1251"/>
      <c r="OB79" s="1251"/>
      <c r="OC79" s="1251"/>
      <c r="OD79" s="1251"/>
      <c r="OE79" s="1251"/>
      <c r="OF79" s="1251"/>
      <c r="OG79" s="1251"/>
      <c r="OH79" s="1251"/>
      <c r="OI79" s="1251"/>
      <c r="OJ79" s="1251"/>
      <c r="OK79" s="1251"/>
      <c r="OL79" s="1251"/>
      <c r="OM79" s="1251"/>
      <c r="ON79" s="1251"/>
      <c r="OO79" s="1251"/>
      <c r="OP79" s="1251"/>
      <c r="OQ79" s="1251"/>
      <c r="OR79" s="1251"/>
      <c r="OS79" s="1251"/>
      <c r="OT79" s="1251"/>
      <c r="OU79" s="1251"/>
      <c r="OV79" s="1251"/>
      <c r="OW79" s="1251"/>
      <c r="OX79" s="1251"/>
      <c r="OY79" s="1251"/>
      <c r="OZ79" s="1251"/>
      <c r="PA79" s="1251"/>
      <c r="PB79" s="1251"/>
      <c r="PC79" s="1251"/>
      <c r="PD79" s="1251"/>
      <c r="PE79" s="1251"/>
      <c r="PF79" s="1251"/>
      <c r="PG79" s="1251"/>
      <c r="PH79" s="1251"/>
      <c r="PI79" s="1251"/>
      <c r="PJ79" s="1251"/>
      <c r="PK79" s="1251"/>
      <c r="PL79" s="1251"/>
      <c r="PM79" s="1251"/>
      <c r="PN79" s="1251"/>
      <c r="PO79" s="1251"/>
      <c r="PP79" s="1251"/>
      <c r="PQ79" s="1251"/>
      <c r="PR79" s="1251"/>
      <c r="PS79" s="1251"/>
      <c r="PT79" s="1251"/>
      <c r="PU79" s="1251"/>
      <c r="PV79" s="1251"/>
      <c r="PW79" s="1251"/>
      <c r="PX79" s="1251"/>
      <c r="PY79" s="1251"/>
      <c r="PZ79" s="1251"/>
      <c r="QA79" s="1251"/>
      <c r="QB79" s="1251"/>
      <c r="QC79" s="1251"/>
      <c r="QD79" s="1251"/>
      <c r="QE79" s="1251"/>
      <c r="QF79" s="1251"/>
      <c r="QG79" s="1251"/>
      <c r="QH79" s="1251"/>
      <c r="QI79" s="1251"/>
      <c r="QJ79" s="1251"/>
      <c r="QK79" s="1251"/>
      <c r="QL79" s="1251"/>
      <c r="QM79" s="1251"/>
      <c r="QN79" s="1251"/>
      <c r="QO79" s="1251"/>
      <c r="QP79" s="1251"/>
      <c r="QQ79" s="1251"/>
      <c r="QR79" s="1251"/>
      <c r="QS79" s="1251"/>
      <c r="QT79" s="1251"/>
      <c r="QU79" s="1251"/>
      <c r="QV79" s="1251"/>
      <c r="QW79" s="1251"/>
      <c r="QX79" s="1251"/>
      <c r="QY79" s="1251"/>
      <c r="QZ79" s="1251"/>
      <c r="RA79" s="1251"/>
      <c r="RB79" s="1251"/>
      <c r="RC79" s="1251"/>
      <c r="RD79" s="1251"/>
      <c r="RE79" s="1251"/>
      <c r="RF79" s="1251"/>
      <c r="RG79" s="1251"/>
      <c r="RH79" s="1251"/>
      <c r="RI79" s="1251"/>
      <c r="RJ79" s="1251"/>
      <c r="RK79" s="1251"/>
      <c r="RL79" s="1251"/>
      <c r="RM79" s="1251"/>
      <c r="RN79" s="1251"/>
      <c r="RO79" s="1251"/>
      <c r="RP79" s="1251"/>
      <c r="RQ79" s="1251"/>
      <c r="RR79" s="1251"/>
      <c r="RS79" s="1251"/>
      <c r="RT79" s="1251"/>
      <c r="RU79" s="1251"/>
      <c r="RV79" s="1251"/>
      <c r="RW79" s="1251"/>
      <c r="RX79" s="1251"/>
      <c r="RY79" s="1251"/>
      <c r="RZ79" s="1251"/>
      <c r="SA79" s="1251"/>
      <c r="SB79" s="1251"/>
      <c r="SC79" s="1251"/>
      <c r="SD79" s="1251"/>
      <c r="SE79" s="1251"/>
      <c r="SF79" s="1251"/>
      <c r="SG79" s="1251"/>
      <c r="SH79" s="1251"/>
      <c r="SI79" s="1251"/>
      <c r="SJ79" s="1251"/>
      <c r="SK79" s="1251"/>
      <c r="SL79" s="1251"/>
      <c r="SM79" s="1251"/>
      <c r="SN79" s="1251"/>
      <c r="SO79" s="1251"/>
      <c r="SP79" s="1251"/>
      <c r="SQ79" s="1251"/>
      <c r="SR79" s="1251"/>
      <c r="SS79" s="1251"/>
      <c r="ST79" s="1251"/>
      <c r="SU79" s="1251"/>
      <c r="SV79" s="1251"/>
      <c r="SW79" s="1251"/>
      <c r="SX79" s="1251"/>
      <c r="SY79" s="1251"/>
      <c r="SZ79" s="1251"/>
      <c r="TA79" s="1251"/>
      <c r="TB79" s="1251"/>
      <c r="TC79" s="1251"/>
      <c r="TD79" s="1251"/>
      <c r="TE79" s="1251"/>
      <c r="TF79" s="1251"/>
      <c r="TG79" s="1251"/>
      <c r="TH79" s="1251"/>
      <c r="TI79" s="1251"/>
      <c r="TJ79" s="1251"/>
      <c r="TK79" s="1251"/>
      <c r="TL79" s="1251"/>
      <c r="TM79" s="1251"/>
      <c r="TN79" s="1251"/>
      <c r="TO79" s="1251"/>
      <c r="TP79" s="1251"/>
      <c r="TQ79" s="1251"/>
      <c r="TR79" s="1251"/>
      <c r="TS79" s="1251"/>
      <c r="TT79" s="1251"/>
      <c r="TU79" s="1251"/>
      <c r="TV79" s="1251"/>
      <c r="TW79" s="1251"/>
      <c r="TX79" s="1251"/>
      <c r="TY79" s="1251"/>
      <c r="TZ79" s="1251"/>
      <c r="UA79" s="1251"/>
      <c r="UB79" s="1251"/>
      <c r="UC79" s="1251"/>
      <c r="UD79" s="1251"/>
      <c r="UE79" s="1251"/>
      <c r="UF79" s="1251"/>
      <c r="UG79" s="1251"/>
      <c r="UH79" s="1251"/>
      <c r="UI79" s="1251"/>
      <c r="UJ79" s="1251"/>
      <c r="UK79" s="1251"/>
      <c r="UL79" s="1251"/>
      <c r="UM79" s="1251"/>
      <c r="UN79" s="1251"/>
      <c r="UO79" s="1251"/>
      <c r="UP79" s="1251"/>
      <c r="UQ79" s="1251"/>
      <c r="UR79" s="1251"/>
      <c r="US79" s="1251"/>
      <c r="UT79" s="1251"/>
      <c r="UU79" s="1251"/>
      <c r="UV79" s="1251"/>
      <c r="UW79" s="1251"/>
      <c r="UX79" s="1251"/>
      <c r="UY79" s="1251"/>
      <c r="UZ79" s="1251"/>
      <c r="VA79" s="1251"/>
      <c r="VB79" s="1251"/>
      <c r="VC79" s="1251"/>
      <c r="VD79" s="1251"/>
      <c r="VE79" s="1251"/>
      <c r="VF79" s="1251"/>
      <c r="VG79" s="1251"/>
      <c r="VH79" s="1251"/>
      <c r="VI79" s="1251"/>
      <c r="VJ79" s="1251"/>
      <c r="VK79" s="1251"/>
      <c r="VL79" s="1251"/>
      <c r="VM79" s="1251"/>
      <c r="VN79" s="1251"/>
      <c r="VO79" s="1251"/>
      <c r="VP79" s="1251"/>
      <c r="VQ79" s="1251"/>
      <c r="VR79" s="1251"/>
      <c r="VS79" s="1251"/>
      <c r="VT79" s="1251"/>
      <c r="VU79" s="1251"/>
      <c r="VV79" s="1251"/>
      <c r="VW79" s="1251"/>
      <c r="VX79" s="1251"/>
      <c r="VY79" s="1251"/>
      <c r="VZ79" s="1251"/>
      <c r="WA79" s="1251"/>
      <c r="WB79" s="1251"/>
      <c r="WC79" s="1251"/>
      <c r="WD79" s="1251"/>
      <c r="WE79" s="1251"/>
      <c r="WF79" s="1251"/>
      <c r="WG79" s="1251"/>
      <c r="WH79" s="1251"/>
      <c r="WI79" s="1251"/>
      <c r="WJ79" s="1251"/>
      <c r="WK79" s="1251"/>
      <c r="WL79" s="1251"/>
      <c r="WM79" s="1251"/>
      <c r="WN79" s="1251"/>
      <c r="WO79" s="1251"/>
      <c r="WP79" s="1251"/>
      <c r="WQ79" s="1251"/>
      <c r="WR79" s="1251"/>
      <c r="WS79" s="1251"/>
      <c r="WT79" s="1251"/>
      <c r="WU79" s="1251"/>
      <c r="WV79" s="1251"/>
      <c r="WW79" s="1251"/>
      <c r="WX79" s="1251"/>
      <c r="WY79" s="1251"/>
      <c r="WZ79" s="1251"/>
      <c r="XA79" s="1251"/>
      <c r="XB79" s="1251"/>
      <c r="XC79" s="1251"/>
      <c r="XD79" s="1251"/>
      <c r="XE79" s="1251"/>
      <c r="XF79" s="1251"/>
      <c r="XG79" s="1251"/>
      <c r="XH79" s="1251"/>
      <c r="XI79" s="1251"/>
      <c r="XJ79" s="1251"/>
      <c r="XK79" s="1251"/>
      <c r="XL79" s="1251"/>
      <c r="XM79" s="1251"/>
      <c r="XN79" s="1251"/>
      <c r="XO79" s="1251"/>
      <c r="XP79" s="1251"/>
      <c r="XQ79" s="1251"/>
      <c r="XR79" s="1251"/>
      <c r="XS79" s="1251"/>
      <c r="XT79" s="1251"/>
      <c r="XU79" s="1251"/>
      <c r="XV79" s="1251"/>
      <c r="XW79" s="1251"/>
      <c r="XX79" s="1251"/>
      <c r="XY79" s="1251"/>
      <c r="XZ79" s="1251"/>
      <c r="YA79" s="1251"/>
      <c r="YB79" s="1251"/>
      <c r="YC79" s="1251"/>
      <c r="YD79" s="1251"/>
      <c r="YE79" s="1251"/>
      <c r="YF79" s="1251"/>
      <c r="YG79" s="1251"/>
      <c r="YH79" s="1251"/>
      <c r="YI79" s="1251"/>
      <c r="YJ79" s="1251"/>
      <c r="YK79" s="1251"/>
      <c r="YL79" s="1251"/>
      <c r="YM79" s="1251"/>
      <c r="YN79" s="1251"/>
      <c r="YO79" s="1251"/>
      <c r="YP79" s="1251"/>
      <c r="YQ79" s="1251"/>
      <c r="YR79" s="1251"/>
      <c r="YS79" s="1251"/>
      <c r="YT79" s="1251"/>
      <c r="YU79" s="1251"/>
      <c r="YV79" s="1251"/>
      <c r="YW79" s="1251"/>
      <c r="YX79" s="1251"/>
      <c r="YY79" s="1251"/>
      <c r="YZ79" s="1251"/>
      <c r="ZA79" s="1251"/>
      <c r="ZB79" s="1251"/>
      <c r="ZC79" s="1251"/>
      <c r="ZD79" s="1251"/>
      <c r="ZE79" s="1251"/>
      <c r="ZF79" s="1251"/>
      <c r="ZG79" s="1251"/>
      <c r="ZH79" s="1251"/>
      <c r="ZI79" s="1251"/>
      <c r="ZJ79" s="1251"/>
      <c r="ZK79" s="1251"/>
      <c r="ZL79" s="1251"/>
      <c r="ZM79" s="1251"/>
      <c r="ZN79" s="1251"/>
      <c r="ZO79" s="1251"/>
      <c r="ZP79" s="1251"/>
      <c r="ZQ79" s="1251"/>
      <c r="ZR79" s="1251"/>
      <c r="ZS79" s="1251"/>
      <c r="ZT79" s="1251"/>
      <c r="ZU79" s="1251"/>
      <c r="ZV79" s="1251"/>
      <c r="ZW79" s="1251"/>
      <c r="ZX79" s="1251"/>
      <c r="ZY79" s="1251"/>
      <c r="ZZ79" s="1251"/>
      <c r="AAA79" s="1251"/>
      <c r="AAB79" s="1251"/>
      <c r="AAC79" s="1251"/>
      <c r="AAD79" s="1251"/>
      <c r="AAE79" s="1251"/>
      <c r="AAF79" s="1251"/>
      <c r="AAG79" s="1251"/>
      <c r="AAH79" s="1251"/>
      <c r="AAI79" s="1251"/>
      <c r="AAJ79" s="1251"/>
      <c r="AAK79" s="1251"/>
      <c r="AAL79" s="1251"/>
      <c r="AAM79" s="1251"/>
      <c r="AAN79" s="1251"/>
      <c r="AAO79" s="1251"/>
      <c r="AAP79" s="1251"/>
      <c r="AAQ79" s="1251"/>
      <c r="AAR79" s="1251"/>
      <c r="AAS79" s="1251"/>
      <c r="AAT79" s="1251"/>
      <c r="AAU79" s="1251"/>
      <c r="AAV79" s="1251"/>
      <c r="AAW79" s="1251"/>
      <c r="AAX79" s="1251"/>
      <c r="AAY79" s="1251"/>
      <c r="AAZ79" s="1251"/>
      <c r="ABA79" s="1251"/>
      <c r="ABB79" s="1251"/>
      <c r="ABC79" s="1251"/>
      <c r="ABD79" s="1251"/>
      <c r="ABE79" s="1251"/>
      <c r="ABF79" s="1251"/>
      <c r="ABG79" s="1251"/>
      <c r="ABH79" s="1251"/>
      <c r="ABI79" s="1251"/>
      <c r="ABJ79" s="1251"/>
      <c r="ABK79" s="1251"/>
      <c r="ABL79" s="1251"/>
      <c r="ABM79" s="1251"/>
      <c r="ABN79" s="1251"/>
      <c r="ABO79" s="1251"/>
      <c r="ABP79" s="1251"/>
      <c r="ABQ79" s="1251"/>
      <c r="ABR79" s="1251"/>
      <c r="ABS79" s="1251"/>
      <c r="ABT79" s="1251"/>
      <c r="ABU79" s="1251"/>
      <c r="ABV79" s="1251"/>
      <c r="ABW79" s="1251"/>
      <c r="ABX79" s="1251"/>
      <c r="ABY79" s="1251"/>
      <c r="ABZ79" s="1251"/>
      <c r="ACA79" s="1251"/>
      <c r="ACB79" s="1251"/>
      <c r="ACC79" s="1251"/>
      <c r="ACD79" s="1251"/>
      <c r="ACE79" s="1251"/>
      <c r="ACF79" s="1251"/>
      <c r="ACG79" s="1251"/>
      <c r="ACH79" s="1251"/>
      <c r="ACI79" s="1251"/>
      <c r="ACJ79" s="1251"/>
      <c r="ACK79" s="1251"/>
      <c r="ACL79" s="1251"/>
      <c r="ACM79" s="1251"/>
      <c r="ACN79" s="1251"/>
      <c r="ACO79" s="1251"/>
      <c r="ACP79" s="1251"/>
      <c r="ACQ79" s="1251"/>
      <c r="ACR79" s="1251"/>
      <c r="ACS79" s="1251"/>
      <c r="ACT79" s="1251"/>
      <c r="ACU79" s="1251"/>
      <c r="ACV79" s="1251"/>
      <c r="ACW79" s="1251"/>
      <c r="ACX79" s="1251"/>
      <c r="ACY79" s="1251"/>
      <c r="ACZ79" s="1251"/>
      <c r="ADA79" s="1251"/>
      <c r="ADB79" s="1251"/>
      <c r="ADC79" s="1251"/>
      <c r="ADD79" s="1251"/>
      <c r="ADE79" s="1251"/>
      <c r="ADF79" s="1251"/>
      <c r="ADG79" s="1251"/>
      <c r="ADH79" s="1251"/>
      <c r="ADI79" s="1251"/>
      <c r="ADJ79" s="1251"/>
      <c r="ADK79" s="1251"/>
      <c r="ADL79" s="1251"/>
      <c r="ADM79" s="1251"/>
      <c r="ADN79" s="1251"/>
      <c r="ADO79" s="1251"/>
      <c r="ADP79" s="1251"/>
      <c r="ADQ79" s="1251"/>
      <c r="ADR79" s="1251"/>
      <c r="ADS79" s="1251"/>
      <c r="ADT79" s="1251"/>
      <c r="ADU79" s="1251"/>
      <c r="ADV79" s="1251"/>
      <c r="ADW79" s="1251"/>
      <c r="ADX79" s="1251"/>
      <c r="ADY79" s="1251"/>
      <c r="ADZ79" s="1251"/>
      <c r="AEA79" s="1251"/>
      <c r="AEB79" s="1251"/>
      <c r="AEC79" s="1251"/>
      <c r="AED79" s="1251"/>
      <c r="AEE79" s="1251"/>
      <c r="AEF79" s="1251"/>
      <c r="AEG79" s="1251"/>
      <c r="AEH79" s="1251"/>
      <c r="AEI79" s="1251"/>
      <c r="AEJ79" s="1251"/>
      <c r="AEK79" s="1251"/>
      <c r="AEL79" s="1251"/>
      <c r="AEM79" s="1251"/>
      <c r="AEN79" s="1251"/>
      <c r="AEO79" s="1251"/>
      <c r="AEP79" s="1251"/>
      <c r="AEQ79" s="1251"/>
      <c r="AER79" s="1251"/>
      <c r="AES79" s="1251"/>
      <c r="AET79" s="1251"/>
      <c r="AEU79" s="1251"/>
      <c r="AEV79" s="1251"/>
      <c r="AEW79" s="1251"/>
      <c r="AEX79" s="1251"/>
      <c r="AEY79" s="1251"/>
      <c r="AEZ79" s="1251"/>
      <c r="AFA79" s="1251"/>
      <c r="AFB79" s="1251"/>
      <c r="AFC79" s="1251"/>
      <c r="AFD79" s="1251"/>
      <c r="AFE79" s="1251"/>
      <c r="AFF79" s="1251"/>
      <c r="AFG79" s="1251"/>
      <c r="AFH79" s="1251"/>
      <c r="AFI79" s="1251"/>
      <c r="AFJ79" s="1251"/>
      <c r="AFK79" s="1251"/>
      <c r="AFL79" s="1251"/>
      <c r="AFM79" s="1251"/>
      <c r="AFN79" s="1251"/>
      <c r="AFO79" s="1251"/>
      <c r="AFP79" s="1251"/>
      <c r="AFQ79" s="1251"/>
      <c r="AFR79" s="1251"/>
      <c r="AFS79" s="1251"/>
      <c r="AFT79" s="1251"/>
      <c r="AFU79" s="1251"/>
      <c r="AFV79" s="1251"/>
      <c r="AFW79" s="1251"/>
      <c r="AFX79" s="1251"/>
      <c r="AFY79" s="1251"/>
      <c r="AFZ79" s="1251"/>
      <c r="AGA79" s="1251"/>
      <c r="AGB79" s="1251"/>
      <c r="AGC79" s="1251"/>
      <c r="AGD79" s="1251"/>
      <c r="AGE79" s="1251"/>
      <c r="AGF79" s="1251"/>
      <c r="AGG79" s="1251"/>
      <c r="AGH79" s="1251"/>
      <c r="AGI79" s="1251"/>
      <c r="AGJ79" s="1251"/>
      <c r="AGK79" s="1251"/>
      <c r="AGL79" s="1251"/>
      <c r="AGM79" s="1251"/>
      <c r="AGN79" s="1251"/>
      <c r="AGO79" s="1251"/>
      <c r="AGP79" s="1251"/>
      <c r="AGQ79" s="1251"/>
      <c r="AGR79" s="1251"/>
      <c r="AGS79" s="1251"/>
      <c r="AGT79" s="1251"/>
      <c r="AGU79" s="1251"/>
      <c r="AGV79" s="1251"/>
      <c r="AGW79" s="1251"/>
      <c r="AGX79" s="1251"/>
      <c r="AGY79" s="1251"/>
      <c r="AGZ79" s="1251"/>
      <c r="AHA79" s="1251"/>
      <c r="AHB79" s="1251"/>
      <c r="AHC79" s="1251"/>
      <c r="AHD79" s="1251"/>
      <c r="AHE79" s="1251"/>
      <c r="AHF79" s="1251"/>
      <c r="AHG79" s="1251"/>
      <c r="AHH79" s="1251"/>
      <c r="AHI79" s="1251"/>
      <c r="AHJ79" s="1251"/>
      <c r="AHK79" s="1251"/>
      <c r="AHL79" s="1251"/>
      <c r="AHM79" s="1251"/>
      <c r="AHN79" s="1251"/>
      <c r="AHO79" s="1251"/>
      <c r="AHP79" s="1251"/>
      <c r="AHQ79" s="1251"/>
      <c r="AHR79" s="1251"/>
      <c r="AHS79" s="1251"/>
      <c r="AHT79" s="1251"/>
      <c r="AHU79" s="1251"/>
      <c r="AHV79" s="1251"/>
      <c r="AHW79" s="1251"/>
      <c r="AHX79" s="1251"/>
      <c r="AHY79" s="1251"/>
      <c r="AHZ79" s="1251"/>
      <c r="AIA79" s="1251"/>
      <c r="AIB79" s="1251"/>
      <c r="AIC79" s="1251"/>
      <c r="AID79" s="1251"/>
      <c r="AIE79" s="1251"/>
      <c r="AIF79" s="1251"/>
      <c r="AIG79" s="1251"/>
      <c r="AIH79" s="1251"/>
      <c r="AII79" s="1251"/>
      <c r="AIJ79" s="1251"/>
      <c r="AIK79" s="1251"/>
      <c r="AIL79" s="1251"/>
      <c r="AIM79" s="1251"/>
      <c r="AIN79" s="1251"/>
      <c r="AIO79" s="1251"/>
      <c r="AIP79" s="1251"/>
      <c r="AIQ79" s="1251"/>
      <c r="AIR79" s="1251"/>
      <c r="AIS79" s="1251"/>
      <c r="AIT79" s="1251"/>
      <c r="AIU79" s="1251"/>
      <c r="AIV79" s="1251"/>
      <c r="AIW79" s="1251"/>
      <c r="AIX79" s="1251"/>
      <c r="AIY79" s="1251"/>
      <c r="AIZ79" s="1251"/>
      <c r="AJA79" s="1251"/>
      <c r="AJB79" s="1251"/>
      <c r="AJC79" s="1251"/>
      <c r="AJD79" s="1251"/>
      <c r="AJE79" s="1251"/>
      <c r="AJF79" s="1251"/>
      <c r="AJG79" s="1251"/>
      <c r="AJH79" s="1251"/>
      <c r="AJI79" s="1251"/>
      <c r="AJJ79" s="1251"/>
      <c r="AJK79" s="1251"/>
      <c r="AJL79" s="1251"/>
      <c r="AJM79" s="1251"/>
      <c r="AJN79" s="1251"/>
      <c r="AJO79" s="1251"/>
      <c r="AJP79" s="1251"/>
      <c r="AJQ79" s="1251"/>
      <c r="AJR79" s="1251"/>
      <c r="AJS79" s="1251"/>
      <c r="AJT79" s="1251"/>
      <c r="AJU79" s="1251"/>
      <c r="AJV79" s="1251"/>
      <c r="AJW79" s="1251"/>
      <c r="AJX79" s="1251"/>
      <c r="AJY79" s="1251"/>
      <c r="AJZ79" s="1251"/>
      <c r="AKA79" s="1251"/>
      <c r="AKB79" s="1251"/>
      <c r="AKC79" s="1251"/>
      <c r="AKD79" s="1251"/>
      <c r="AKE79" s="1251"/>
      <c r="AKF79" s="1251"/>
      <c r="AKG79" s="1251"/>
      <c r="AKH79" s="1251"/>
      <c r="AKI79" s="1251"/>
      <c r="AKJ79" s="1251"/>
      <c r="AKK79" s="1251"/>
      <c r="AKL79" s="1251"/>
      <c r="AKM79" s="1251"/>
      <c r="AKN79" s="1251"/>
      <c r="AKO79" s="1251"/>
      <c r="AKP79" s="1251"/>
      <c r="AKQ79" s="1251"/>
      <c r="AKR79" s="1251"/>
      <c r="AKS79" s="1251"/>
      <c r="AKT79" s="1251"/>
      <c r="AKU79" s="1251"/>
      <c r="AKV79" s="1251"/>
      <c r="AKW79" s="1251"/>
      <c r="AKX79" s="1251"/>
      <c r="AKY79" s="1251"/>
      <c r="AKZ79" s="1251"/>
      <c r="ALA79" s="1251"/>
      <c r="ALB79" s="1251"/>
      <c r="ALC79" s="1251"/>
      <c r="ALD79" s="1251"/>
      <c r="ALE79" s="1251"/>
      <c r="ALF79" s="1251"/>
      <c r="ALG79" s="1251"/>
      <c r="ALH79" s="1251"/>
      <c r="ALI79" s="1251"/>
      <c r="ALJ79" s="1251"/>
      <c r="ALK79" s="1251"/>
      <c r="ALL79" s="1251"/>
      <c r="ALM79" s="1251"/>
      <c r="ALN79" s="1251"/>
      <c r="ALO79" s="1251"/>
      <c r="ALP79" s="1251"/>
      <c r="ALQ79" s="1251"/>
      <c r="ALR79" s="1251"/>
      <c r="ALS79" s="1251"/>
      <c r="ALT79" s="1251"/>
      <c r="ALU79" s="1251"/>
      <c r="ALV79" s="1251"/>
      <c r="ALW79" s="1251"/>
      <c r="ALX79" s="1251"/>
      <c r="ALY79" s="1251"/>
      <c r="ALZ79" s="1251"/>
      <c r="AMA79" s="1251"/>
      <c r="AMB79" s="1251"/>
      <c r="AMC79" s="1251"/>
      <c r="AMD79" s="1251"/>
      <c r="AME79" s="1251"/>
      <c r="AMF79" s="1251"/>
      <c r="AMG79" s="1251"/>
      <c r="AMH79" s="1251"/>
      <c r="AMI79" s="1251"/>
      <c r="AMJ79" s="1251"/>
      <c r="AMK79" s="1251"/>
      <c r="AML79" s="1251"/>
      <c r="AMM79" s="1251"/>
      <c r="AMN79" s="1251"/>
      <c r="AMO79" s="1251"/>
      <c r="AMP79" s="1251"/>
      <c r="AMQ79" s="1251"/>
      <c r="AMR79" s="1251"/>
      <c r="AMS79" s="1251"/>
      <c r="AMT79" s="1251"/>
      <c r="AMU79" s="1251"/>
      <c r="AMV79" s="1251"/>
      <c r="AMW79" s="1251"/>
      <c r="AMX79" s="1251"/>
      <c r="AMY79" s="1251"/>
      <c r="AMZ79" s="1251"/>
      <c r="ANA79" s="1251"/>
      <c r="ANB79" s="1251"/>
      <c r="ANC79" s="1251"/>
      <c r="AND79" s="1251"/>
      <c r="ANE79" s="1251"/>
      <c r="ANF79" s="1251"/>
      <c r="ANG79" s="1251"/>
      <c r="ANH79" s="1251"/>
      <c r="ANI79" s="1251"/>
      <c r="ANJ79" s="1251"/>
      <c r="ANK79" s="1251"/>
      <c r="ANL79" s="1251"/>
      <c r="ANM79" s="1251"/>
      <c r="ANN79" s="1251"/>
      <c r="ANO79" s="1251"/>
      <c r="ANP79" s="1251"/>
      <c r="ANQ79" s="1251"/>
      <c r="ANR79" s="1251"/>
      <c r="ANS79" s="1251"/>
      <c r="ANT79" s="1251"/>
      <c r="ANU79" s="1251"/>
      <c r="ANV79" s="1251"/>
      <c r="ANW79" s="1251"/>
      <c r="ANX79" s="1251"/>
      <c r="ANY79" s="1251"/>
      <c r="ANZ79" s="1251"/>
      <c r="AOA79" s="1251"/>
      <c r="AOB79" s="1251"/>
      <c r="AOC79" s="1251"/>
      <c r="AOD79" s="1251"/>
      <c r="AOE79" s="1251"/>
      <c r="AOF79" s="1251"/>
      <c r="AOG79" s="1251"/>
      <c r="AOH79" s="1251"/>
      <c r="AOI79" s="1251"/>
      <c r="AOJ79" s="1251"/>
      <c r="AOK79" s="1251"/>
      <c r="AOL79" s="1251"/>
      <c r="AOM79" s="1251"/>
      <c r="AON79" s="1251"/>
      <c r="AOO79" s="1251"/>
      <c r="AOP79" s="1251"/>
      <c r="AOQ79" s="1251"/>
      <c r="AOR79" s="1251"/>
      <c r="AOS79" s="1251"/>
      <c r="AOT79" s="1251"/>
      <c r="AOU79" s="1251"/>
      <c r="AOV79" s="1251"/>
      <c r="AOW79" s="1251"/>
      <c r="AOX79" s="1251"/>
      <c r="AOY79" s="1251"/>
      <c r="AOZ79" s="1251"/>
      <c r="APA79" s="1251"/>
      <c r="APB79" s="1251"/>
      <c r="APC79" s="1251"/>
      <c r="APD79" s="1251"/>
      <c r="APE79" s="1251"/>
      <c r="APF79" s="1251"/>
      <c r="APG79" s="1251"/>
      <c r="APH79" s="1251"/>
      <c r="API79" s="1251"/>
      <c r="APJ79" s="1251"/>
      <c r="APK79" s="1251"/>
      <c r="APL79" s="1251"/>
      <c r="APM79" s="1251"/>
      <c r="APN79" s="1251"/>
      <c r="APO79" s="1251"/>
      <c r="APP79" s="1251"/>
      <c r="APQ79" s="1251"/>
      <c r="APR79" s="1251"/>
      <c r="APS79" s="1251"/>
      <c r="APT79" s="1251"/>
      <c r="APU79" s="1251"/>
      <c r="APV79" s="1251"/>
      <c r="APW79" s="1251"/>
      <c r="APX79" s="1251"/>
      <c r="APY79" s="1251"/>
      <c r="APZ79" s="1251"/>
      <c r="AQA79" s="1251"/>
      <c r="AQB79" s="1251"/>
      <c r="AQC79" s="1251"/>
      <c r="AQD79" s="1251"/>
      <c r="AQE79" s="1251"/>
      <c r="AQF79" s="1251"/>
      <c r="AQG79" s="1251"/>
      <c r="AQH79" s="1251"/>
      <c r="AQI79" s="1251"/>
      <c r="AQJ79" s="1251"/>
      <c r="AQK79" s="1251"/>
      <c r="AQL79" s="1251"/>
      <c r="AQM79" s="1251"/>
      <c r="AQN79" s="1251"/>
      <c r="AQO79" s="1251"/>
      <c r="AQP79" s="1251"/>
      <c r="AQQ79" s="1251"/>
      <c r="AQR79" s="1251"/>
      <c r="AQS79" s="1251"/>
      <c r="AQT79" s="1251"/>
      <c r="AQU79" s="1251"/>
      <c r="AQV79" s="1251"/>
      <c r="AQW79" s="1251"/>
      <c r="AQX79" s="1251"/>
      <c r="AQY79" s="1251"/>
      <c r="AQZ79" s="1251"/>
      <c r="ARA79" s="1251"/>
      <c r="ARB79" s="1251"/>
      <c r="ARC79" s="1251"/>
      <c r="ARD79" s="1251"/>
      <c r="ARE79" s="1251"/>
      <c r="ARF79" s="1251"/>
      <c r="ARG79" s="1251"/>
      <c r="ARH79" s="1251"/>
      <c r="ARI79" s="1251"/>
      <c r="ARJ79" s="1251"/>
      <c r="ARK79" s="1251"/>
      <c r="ARL79" s="1251"/>
      <c r="ARM79" s="1251"/>
      <c r="ARN79" s="1251"/>
      <c r="ARO79" s="1251"/>
      <c r="ARP79" s="1251"/>
      <c r="ARQ79" s="1251"/>
      <c r="ARR79" s="1251"/>
      <c r="ARS79" s="1251"/>
      <c r="ART79" s="1251"/>
      <c r="ARU79" s="1251"/>
      <c r="ARV79" s="1251"/>
      <c r="ARW79" s="1251"/>
      <c r="ARX79" s="1251"/>
      <c r="ARY79" s="1251"/>
      <c r="ARZ79" s="1251"/>
      <c r="ASA79" s="1251"/>
      <c r="ASB79" s="1251"/>
      <c r="ASC79" s="1251"/>
      <c r="ASD79" s="1251"/>
      <c r="ASE79" s="1251"/>
      <c r="ASF79" s="1251"/>
      <c r="ASG79" s="1251"/>
      <c r="ASH79" s="1251"/>
      <c r="ASI79" s="1251"/>
      <c r="ASJ79" s="1251"/>
      <c r="ASK79" s="1251"/>
      <c r="ASL79" s="1251"/>
      <c r="ASM79" s="1251"/>
      <c r="ASN79" s="1251"/>
      <c r="ASO79" s="1251"/>
      <c r="ASP79" s="1251"/>
      <c r="ASQ79" s="1251"/>
      <c r="ASR79" s="1251"/>
      <c r="ASS79" s="1251"/>
      <c r="AST79" s="1251"/>
      <c r="ASU79" s="1251"/>
      <c r="ASV79" s="1251"/>
      <c r="ASW79" s="1251"/>
      <c r="ASX79" s="1251"/>
      <c r="ASY79" s="1251"/>
      <c r="ASZ79" s="1251"/>
      <c r="ATA79" s="1251"/>
      <c r="ATB79" s="1251"/>
      <c r="ATC79" s="1251"/>
      <c r="ATD79" s="1251"/>
      <c r="ATE79" s="1251"/>
      <c r="ATF79" s="1251"/>
      <c r="ATG79" s="1251"/>
      <c r="ATH79" s="1251"/>
      <c r="ATI79" s="1251"/>
      <c r="ATJ79" s="1251"/>
      <c r="ATK79" s="1251"/>
      <c r="ATL79" s="1251"/>
      <c r="ATM79" s="1251"/>
      <c r="ATN79" s="1251"/>
      <c r="ATO79" s="1251"/>
      <c r="ATP79" s="1251"/>
      <c r="ATQ79" s="1251"/>
      <c r="ATR79" s="1251"/>
      <c r="ATS79" s="1251"/>
      <c r="ATT79" s="1251"/>
      <c r="ATU79" s="1251"/>
      <c r="ATV79" s="1251"/>
      <c r="ATW79" s="1251"/>
      <c r="ATX79" s="1251"/>
      <c r="ATY79" s="1251"/>
      <c r="ATZ79" s="1251"/>
      <c r="AUA79" s="1251"/>
      <c r="AUB79" s="1251"/>
      <c r="AUC79" s="1251"/>
      <c r="AUD79" s="1251"/>
      <c r="AUE79" s="1251"/>
      <c r="AUF79" s="1251"/>
      <c r="AUG79" s="1251"/>
      <c r="AUH79" s="1251"/>
      <c r="AUI79" s="1251"/>
      <c r="AUJ79" s="1251"/>
      <c r="AUK79" s="1251"/>
      <c r="AUL79" s="1251"/>
      <c r="AUM79" s="1251"/>
      <c r="AUN79" s="1251"/>
      <c r="AUO79" s="1251"/>
      <c r="AUP79" s="1251"/>
      <c r="AUQ79" s="1251"/>
      <c r="AUR79" s="1251"/>
      <c r="AUS79" s="1251"/>
      <c r="AUT79" s="1251"/>
      <c r="AUU79" s="1251"/>
      <c r="AUV79" s="1251"/>
      <c r="AUW79" s="1251"/>
      <c r="AUX79" s="1251"/>
      <c r="AUY79" s="1251"/>
      <c r="AUZ79" s="1251"/>
      <c r="AVA79" s="1251"/>
      <c r="AVB79" s="1251"/>
      <c r="AVC79" s="1251"/>
      <c r="AVD79" s="1251"/>
      <c r="AVE79" s="1251"/>
      <c r="AVF79" s="1251"/>
      <c r="AVG79" s="1251"/>
      <c r="AVH79" s="1251"/>
      <c r="AVI79" s="1251"/>
      <c r="AVJ79" s="1251"/>
      <c r="AVK79" s="1251"/>
      <c r="AVL79" s="1251"/>
      <c r="AVM79" s="1251"/>
      <c r="AVN79" s="1251"/>
      <c r="AVO79" s="1251"/>
      <c r="AVP79" s="1251"/>
      <c r="AVQ79" s="1251"/>
      <c r="AVR79" s="1251"/>
      <c r="AVS79" s="1251"/>
      <c r="AVT79" s="1251"/>
      <c r="AVU79" s="1251"/>
      <c r="AVV79" s="1251"/>
      <c r="AVW79" s="1251"/>
      <c r="AVX79" s="1251"/>
      <c r="AVY79" s="1251"/>
      <c r="AVZ79" s="1251"/>
      <c r="AWA79" s="1251"/>
      <c r="AWB79" s="1251"/>
      <c r="AWC79" s="1251"/>
      <c r="AWD79" s="1251"/>
      <c r="AWE79" s="1251"/>
      <c r="AWF79" s="1251"/>
      <c r="AWG79" s="1251"/>
      <c r="AWH79" s="1251"/>
      <c r="AWI79" s="1251"/>
      <c r="AWJ79" s="1251"/>
      <c r="AWK79" s="1251"/>
      <c r="AWL79" s="1251"/>
      <c r="AWM79" s="1251"/>
      <c r="AWN79" s="1251"/>
      <c r="AWO79" s="1251"/>
      <c r="AWP79" s="1251"/>
      <c r="AWQ79" s="1251"/>
      <c r="AWR79" s="1251"/>
      <c r="AWS79" s="1251"/>
      <c r="AWT79" s="1251"/>
      <c r="AWU79" s="1251"/>
      <c r="AWV79" s="1251"/>
      <c r="AWW79" s="1251"/>
      <c r="AWX79" s="1251"/>
      <c r="AWY79" s="1251"/>
      <c r="AWZ79" s="1251"/>
      <c r="AXA79" s="1251"/>
      <c r="AXB79" s="1251"/>
      <c r="AXC79" s="1251"/>
      <c r="AXD79" s="1251"/>
      <c r="AXE79" s="1251"/>
      <c r="AXF79" s="1251"/>
      <c r="AXG79" s="1251"/>
      <c r="AXH79" s="1251"/>
      <c r="AXI79" s="1251"/>
      <c r="AXJ79" s="1251"/>
      <c r="AXK79" s="1251"/>
      <c r="AXL79" s="1251"/>
      <c r="AXM79" s="1251"/>
      <c r="AXN79" s="1251"/>
      <c r="AXO79" s="1251"/>
      <c r="AXP79" s="1251"/>
      <c r="AXQ79" s="1251"/>
      <c r="AXR79" s="1251"/>
      <c r="AXS79" s="1251"/>
      <c r="AXT79" s="1251"/>
      <c r="AXU79" s="1251"/>
      <c r="AXV79" s="1251"/>
      <c r="AXW79" s="1251"/>
      <c r="AXX79" s="1251"/>
      <c r="AXY79" s="1251"/>
      <c r="AXZ79" s="1251"/>
      <c r="AYA79" s="1251"/>
      <c r="AYB79" s="1251"/>
      <c r="AYC79" s="1251"/>
      <c r="AYD79" s="1251"/>
      <c r="AYE79" s="1251"/>
      <c r="AYF79" s="1251"/>
      <c r="AYG79" s="1251"/>
      <c r="AYH79" s="1251"/>
      <c r="AYI79" s="1251"/>
      <c r="AYJ79" s="1251"/>
      <c r="AYK79" s="1251"/>
      <c r="AYL79" s="1251"/>
      <c r="AYM79" s="1251"/>
      <c r="AYN79" s="1251"/>
      <c r="AYO79" s="1251"/>
      <c r="AYP79" s="1251"/>
      <c r="AYQ79" s="1251"/>
      <c r="AYR79" s="1251"/>
      <c r="AYS79" s="1251"/>
      <c r="AYT79" s="1251"/>
      <c r="AYU79" s="1251"/>
      <c r="AYV79" s="1251"/>
      <c r="AYW79" s="1251"/>
      <c r="AYX79" s="1251"/>
      <c r="AYY79" s="1251"/>
      <c r="AYZ79" s="1251"/>
      <c r="AZA79" s="1251"/>
      <c r="AZB79" s="1251"/>
      <c r="AZC79" s="1251"/>
      <c r="AZD79" s="1251"/>
      <c r="AZE79" s="1251"/>
      <c r="AZF79" s="1251"/>
      <c r="AZG79" s="1251"/>
      <c r="AZH79" s="1251"/>
      <c r="AZI79" s="1251"/>
      <c r="AZJ79" s="1251"/>
      <c r="AZK79" s="1251"/>
      <c r="AZL79" s="1251"/>
      <c r="AZM79" s="1251"/>
      <c r="AZN79" s="1251"/>
      <c r="AZO79" s="1251"/>
      <c r="AZP79" s="1251"/>
      <c r="AZQ79" s="1251"/>
      <c r="AZR79" s="1251"/>
      <c r="AZS79" s="1251"/>
      <c r="AZT79" s="1251"/>
      <c r="AZU79" s="1251"/>
      <c r="AZV79" s="1251"/>
      <c r="AZW79" s="1251"/>
      <c r="AZX79" s="1251"/>
      <c r="AZY79" s="1251"/>
      <c r="AZZ79" s="1251"/>
      <c r="BAA79" s="1251"/>
      <c r="BAB79" s="1251"/>
      <c r="BAC79" s="1251"/>
      <c r="BAD79" s="1251"/>
      <c r="BAE79" s="1251"/>
      <c r="BAF79" s="1251"/>
      <c r="BAG79" s="1251"/>
      <c r="BAH79" s="1251"/>
      <c r="BAI79" s="1251"/>
      <c r="BAJ79" s="1251"/>
      <c r="BAK79" s="1251"/>
      <c r="BAL79" s="1251"/>
      <c r="BAM79" s="1251"/>
      <c r="BAN79" s="1251"/>
      <c r="BAO79" s="1251"/>
      <c r="BAP79" s="1251"/>
      <c r="BAQ79" s="1251"/>
      <c r="BAR79" s="1251"/>
      <c r="BAS79" s="1251"/>
      <c r="BAT79" s="1251"/>
      <c r="BAU79" s="1251"/>
      <c r="BAV79" s="1251"/>
      <c r="BAW79" s="1251"/>
      <c r="BAX79" s="1251"/>
      <c r="BAY79" s="1251"/>
      <c r="BAZ79" s="1251"/>
      <c r="BBA79" s="1251"/>
      <c r="BBB79" s="1251"/>
      <c r="BBC79" s="1251"/>
      <c r="BBD79" s="1251"/>
      <c r="BBE79" s="1251"/>
      <c r="BBF79" s="1251"/>
      <c r="BBG79" s="1251"/>
      <c r="BBH79" s="1251"/>
      <c r="BBI79" s="1251"/>
      <c r="BBJ79" s="1251"/>
      <c r="BBK79" s="1251"/>
      <c r="BBL79" s="1251"/>
      <c r="BBM79" s="1251"/>
      <c r="BBN79" s="1251"/>
      <c r="BBO79" s="1251"/>
      <c r="BBP79" s="1251"/>
      <c r="BBQ79" s="1251"/>
      <c r="BBR79" s="1251"/>
      <c r="BBS79" s="1251"/>
      <c r="BBT79" s="1251"/>
      <c r="BBU79" s="1251"/>
      <c r="BBV79" s="1251"/>
      <c r="BBW79" s="1251"/>
      <c r="BBX79" s="1251"/>
      <c r="BBY79" s="1251"/>
      <c r="BBZ79" s="1251"/>
      <c r="BCA79" s="1251"/>
      <c r="BCB79" s="1251"/>
      <c r="BCC79" s="1251"/>
      <c r="BCD79" s="1251"/>
      <c r="BCE79" s="1251"/>
      <c r="BCF79" s="1251"/>
      <c r="BCG79" s="1251"/>
      <c r="BCH79" s="1251"/>
      <c r="BCI79" s="1251"/>
      <c r="BCJ79" s="1251"/>
      <c r="BCK79" s="1251"/>
      <c r="BCL79" s="1251"/>
      <c r="BCM79" s="1251"/>
      <c r="BCN79" s="1251"/>
      <c r="BCO79" s="1251"/>
      <c r="BCP79" s="1251"/>
      <c r="BCQ79" s="1251"/>
      <c r="BCR79" s="1251"/>
      <c r="BCS79" s="1251"/>
      <c r="BCT79" s="1251"/>
      <c r="BCU79" s="1251"/>
      <c r="BCV79" s="1251"/>
      <c r="BCW79" s="1251"/>
      <c r="BCX79" s="1251"/>
      <c r="BCY79" s="1251"/>
      <c r="BCZ79" s="1251"/>
      <c r="BDA79" s="1251"/>
      <c r="BDB79" s="1251"/>
      <c r="BDC79" s="1251"/>
      <c r="BDD79" s="1251"/>
      <c r="BDE79" s="1251"/>
      <c r="BDF79" s="1251"/>
      <c r="BDG79" s="1251"/>
      <c r="BDH79" s="1251"/>
      <c r="BDI79" s="1251"/>
      <c r="BDJ79" s="1251"/>
      <c r="BDK79" s="1251"/>
      <c r="BDL79" s="1251"/>
      <c r="BDM79" s="1251"/>
      <c r="BDN79" s="1251"/>
      <c r="BDO79" s="1251"/>
      <c r="BDP79" s="1251"/>
      <c r="BDQ79" s="1251"/>
      <c r="BDR79" s="1251"/>
      <c r="BDS79" s="1251"/>
      <c r="BDT79" s="1251"/>
      <c r="BDU79" s="1251"/>
      <c r="BDV79" s="1251"/>
      <c r="BDW79" s="1251"/>
      <c r="BDX79" s="1251"/>
      <c r="BDY79" s="1251"/>
      <c r="BDZ79" s="1251"/>
      <c r="BEA79" s="1251"/>
      <c r="BEB79" s="1251"/>
      <c r="BEC79" s="1251"/>
      <c r="BED79" s="1251"/>
      <c r="BEE79" s="1251"/>
      <c r="BEF79" s="1251"/>
      <c r="BEG79" s="1251"/>
      <c r="BEH79" s="1251"/>
      <c r="BEI79" s="1251"/>
      <c r="BEJ79" s="1251"/>
      <c r="BEK79" s="1251"/>
      <c r="BEL79" s="1251"/>
      <c r="BEM79" s="1251"/>
      <c r="BEN79" s="1251"/>
      <c r="BEO79" s="1251"/>
      <c r="BEP79" s="1251"/>
      <c r="BEQ79" s="1251"/>
      <c r="BER79" s="1251"/>
      <c r="BES79" s="1251"/>
      <c r="BET79" s="1251"/>
      <c r="BEU79" s="1251"/>
      <c r="BEV79" s="1251"/>
      <c r="BEW79" s="1251"/>
      <c r="BEX79" s="1251"/>
      <c r="BEY79" s="1251"/>
      <c r="BEZ79" s="1251"/>
      <c r="BFA79" s="1251"/>
      <c r="BFB79" s="1251"/>
      <c r="BFC79" s="1251"/>
      <c r="BFD79" s="1251"/>
      <c r="BFE79" s="1251"/>
      <c r="BFF79" s="1251"/>
      <c r="BFG79" s="1251"/>
      <c r="BFH79" s="1251"/>
      <c r="BFI79" s="1251"/>
      <c r="BFJ79" s="1251"/>
      <c r="BFK79" s="1251"/>
      <c r="BFL79" s="1251"/>
      <c r="BFM79" s="1251"/>
      <c r="BFN79" s="1251"/>
      <c r="BFO79" s="1251"/>
      <c r="BFP79" s="1251"/>
      <c r="BFQ79" s="1251"/>
      <c r="BFR79" s="1251"/>
      <c r="BFS79" s="1251"/>
      <c r="BFT79" s="1251"/>
      <c r="BFU79" s="1251"/>
      <c r="BFV79" s="1251"/>
      <c r="BFW79" s="1251"/>
      <c r="BFX79" s="1251"/>
      <c r="BFY79" s="1251"/>
      <c r="BFZ79" s="1251"/>
      <c r="BGA79" s="1251"/>
      <c r="BGB79" s="1251"/>
      <c r="BGC79" s="1251"/>
      <c r="BGD79" s="1251"/>
      <c r="BGE79" s="1251"/>
      <c r="BGF79" s="1251"/>
      <c r="BGG79" s="1251"/>
      <c r="BGH79" s="1251"/>
      <c r="BGI79" s="1251"/>
      <c r="BGJ79" s="1251"/>
      <c r="BGK79" s="1251"/>
      <c r="BGL79" s="1251"/>
      <c r="BGM79" s="1251"/>
      <c r="BGN79" s="1251"/>
      <c r="BGO79" s="1251"/>
      <c r="BGP79" s="1251"/>
      <c r="BGQ79" s="1251"/>
      <c r="BGR79" s="1251"/>
      <c r="BGS79" s="1251"/>
      <c r="BGT79" s="1251"/>
      <c r="BGU79" s="1251"/>
      <c r="BGV79" s="1251"/>
      <c r="BGW79" s="1251"/>
      <c r="BGX79" s="1251"/>
      <c r="BGY79" s="1251"/>
      <c r="BGZ79" s="1251"/>
      <c r="BHA79" s="1251"/>
      <c r="BHB79" s="1251"/>
      <c r="BHC79" s="1251"/>
      <c r="BHD79" s="1251"/>
      <c r="BHE79" s="1251"/>
      <c r="BHF79" s="1251"/>
      <c r="BHG79" s="1251"/>
      <c r="BHH79" s="1251"/>
      <c r="BHI79" s="1251"/>
      <c r="BHJ79" s="1251"/>
      <c r="BHK79" s="1251"/>
      <c r="BHL79" s="1251"/>
      <c r="BHM79" s="1251"/>
      <c r="BHN79" s="1251"/>
      <c r="BHO79" s="1251"/>
      <c r="BHP79" s="1251"/>
      <c r="BHQ79" s="1251"/>
      <c r="BHR79" s="1251"/>
      <c r="BHS79" s="1251"/>
      <c r="BHT79" s="1251"/>
      <c r="BHU79" s="1251"/>
      <c r="BHV79" s="1251"/>
      <c r="BHW79" s="1251"/>
      <c r="BHX79" s="1251"/>
      <c r="BHY79" s="1251"/>
      <c r="BHZ79" s="1251"/>
      <c r="BIA79" s="1251"/>
      <c r="BIB79" s="1251"/>
      <c r="BIC79" s="1251"/>
      <c r="BID79" s="1251"/>
      <c r="BIE79" s="1251"/>
      <c r="BIF79" s="1251"/>
      <c r="BIG79" s="1251"/>
      <c r="BIH79" s="1251"/>
      <c r="BII79" s="1251"/>
      <c r="BIJ79" s="1251"/>
      <c r="BIK79" s="1251"/>
      <c r="BIL79" s="1251"/>
      <c r="BIM79" s="1251"/>
      <c r="BIN79" s="1251"/>
      <c r="BIO79" s="1251"/>
      <c r="BIP79" s="1251"/>
      <c r="BIQ79" s="1251"/>
      <c r="BIR79" s="1251"/>
      <c r="BIS79" s="1251"/>
      <c r="BIT79" s="1251"/>
      <c r="BIU79" s="1251"/>
      <c r="BIV79" s="1251"/>
      <c r="BIW79" s="1251"/>
      <c r="BIX79" s="1251"/>
      <c r="BIY79" s="1251"/>
      <c r="BIZ79" s="1251"/>
      <c r="BJA79" s="1251"/>
      <c r="BJB79" s="1251"/>
      <c r="BJC79" s="1251"/>
      <c r="BJD79" s="1251"/>
      <c r="BJE79" s="1251"/>
      <c r="BJF79" s="1251"/>
      <c r="BJG79" s="1251"/>
      <c r="BJH79" s="1251"/>
      <c r="BJI79" s="1251"/>
      <c r="BJJ79" s="1251"/>
      <c r="BJK79" s="1251"/>
      <c r="BJL79" s="1251"/>
      <c r="BJM79" s="1251"/>
      <c r="BJN79" s="1251"/>
      <c r="BJO79" s="1251"/>
      <c r="BJP79" s="1251"/>
      <c r="BJQ79" s="1251"/>
      <c r="BJR79" s="1251"/>
      <c r="BJS79" s="1251"/>
      <c r="BJT79" s="1251"/>
      <c r="BJU79" s="1251"/>
      <c r="BJV79" s="1251"/>
      <c r="BJW79" s="1251"/>
      <c r="BJX79" s="1251"/>
      <c r="BJY79" s="1251"/>
      <c r="BJZ79" s="1251"/>
      <c r="BKA79" s="1251"/>
      <c r="BKB79" s="1251"/>
      <c r="BKC79" s="1251"/>
      <c r="BKD79" s="1251"/>
      <c r="BKE79" s="1251"/>
      <c r="BKF79" s="1251"/>
      <c r="BKG79" s="1251"/>
      <c r="BKH79" s="1251"/>
      <c r="BKI79" s="1251"/>
      <c r="BKJ79" s="1251"/>
      <c r="BKK79" s="1251"/>
      <c r="BKL79" s="1251"/>
      <c r="BKM79" s="1251"/>
      <c r="BKN79" s="1251"/>
      <c r="BKO79" s="1251"/>
      <c r="BKP79" s="1251"/>
      <c r="BKQ79" s="1251"/>
      <c r="BKR79" s="1251"/>
      <c r="BKS79" s="1251"/>
      <c r="BKT79" s="1251"/>
      <c r="BKU79" s="1251"/>
      <c r="BKV79" s="1251"/>
      <c r="BKW79" s="1251"/>
      <c r="BKX79" s="1251"/>
      <c r="BKY79" s="1251"/>
      <c r="BKZ79" s="1251"/>
      <c r="BLA79" s="1251"/>
      <c r="BLB79" s="1251"/>
      <c r="BLC79" s="1251"/>
      <c r="BLD79" s="1251"/>
      <c r="BLE79" s="1251"/>
      <c r="BLF79" s="1251"/>
      <c r="BLG79" s="1251"/>
      <c r="BLH79" s="1251"/>
      <c r="BLI79" s="1251"/>
      <c r="BLJ79" s="1251"/>
      <c r="BLK79" s="1251"/>
      <c r="BLL79" s="1251"/>
      <c r="BLM79" s="1251"/>
      <c r="BLN79" s="1251"/>
      <c r="BLO79" s="1251"/>
      <c r="BLP79" s="1251"/>
      <c r="BLQ79" s="1251"/>
      <c r="BLR79" s="1251"/>
      <c r="BLS79" s="1251"/>
      <c r="BLT79" s="1251"/>
      <c r="BLU79" s="1251"/>
      <c r="BLV79" s="1251"/>
      <c r="BLW79" s="1251"/>
      <c r="BLX79" s="1251"/>
      <c r="BLY79" s="1251"/>
      <c r="BLZ79" s="1251"/>
      <c r="BMA79" s="1251"/>
      <c r="BMB79" s="1251"/>
      <c r="BMC79" s="1251"/>
      <c r="BMD79" s="1251"/>
      <c r="BME79" s="1251"/>
      <c r="BMF79" s="1251"/>
      <c r="BMG79" s="1251"/>
      <c r="BMH79" s="1251"/>
      <c r="BMI79" s="1251"/>
      <c r="BMJ79" s="1251"/>
      <c r="BMK79" s="1251"/>
      <c r="BML79" s="1251"/>
      <c r="BMM79" s="1251"/>
      <c r="BMN79" s="1251"/>
      <c r="BMO79" s="1251"/>
      <c r="BMP79" s="1251"/>
      <c r="BMQ79" s="1251"/>
      <c r="BMR79" s="1251"/>
      <c r="BMS79" s="1251"/>
      <c r="BMT79" s="1251"/>
      <c r="BMU79" s="1251"/>
      <c r="BMV79" s="1251"/>
      <c r="BMW79" s="1251"/>
      <c r="BMX79" s="1251"/>
      <c r="BMY79" s="1251"/>
      <c r="BMZ79" s="1251"/>
      <c r="BNA79" s="1251"/>
      <c r="BNB79" s="1251"/>
      <c r="BNC79" s="1251"/>
      <c r="BND79" s="1251"/>
      <c r="BNE79" s="1251"/>
      <c r="BNF79" s="1251"/>
      <c r="BNG79" s="1251"/>
      <c r="BNH79" s="1251"/>
      <c r="BNI79" s="1251"/>
      <c r="BNJ79" s="1251"/>
      <c r="BNK79" s="1251"/>
      <c r="BNL79" s="1251"/>
      <c r="BNM79" s="1251"/>
      <c r="BNN79" s="1251"/>
      <c r="BNO79" s="1251"/>
      <c r="BNP79" s="1251"/>
      <c r="BNQ79" s="1251"/>
      <c r="BNR79" s="1251"/>
      <c r="BNS79" s="1251"/>
      <c r="BNT79" s="1251"/>
      <c r="BNU79" s="1251"/>
      <c r="BNV79" s="1251"/>
      <c r="BNW79" s="1251"/>
      <c r="BNX79" s="1251"/>
      <c r="BNY79" s="1251"/>
      <c r="BNZ79" s="1251"/>
      <c r="BOA79" s="1251"/>
      <c r="BOB79" s="1251"/>
      <c r="BOC79" s="1251"/>
      <c r="BOD79" s="1251"/>
      <c r="BOE79" s="1251"/>
      <c r="BOF79" s="1251"/>
      <c r="BOG79" s="1251"/>
      <c r="BOH79" s="1251"/>
      <c r="BOI79" s="1251"/>
      <c r="BOJ79" s="1251"/>
      <c r="BOK79" s="1251"/>
      <c r="BOL79" s="1251"/>
      <c r="BOM79" s="1251"/>
      <c r="BON79" s="1251"/>
      <c r="BOO79" s="1251"/>
      <c r="BOP79" s="1251"/>
      <c r="BOQ79" s="1251"/>
      <c r="BOR79" s="1251"/>
      <c r="BOS79" s="1251"/>
      <c r="BOT79" s="1251"/>
      <c r="BOU79" s="1251"/>
      <c r="BOV79" s="1251"/>
      <c r="BOW79" s="1251"/>
      <c r="BOX79" s="1251"/>
      <c r="BOY79" s="1251"/>
      <c r="BOZ79" s="1251"/>
      <c r="BPA79" s="1251"/>
      <c r="BPB79" s="1251"/>
      <c r="BPC79" s="1251"/>
      <c r="BPD79" s="1251"/>
      <c r="BPE79" s="1251"/>
      <c r="BPF79" s="1251"/>
      <c r="BPG79" s="1251"/>
      <c r="BPH79" s="1251"/>
      <c r="BPI79" s="1251"/>
      <c r="BPJ79" s="1251"/>
      <c r="BPK79" s="1251"/>
      <c r="BPL79" s="1251"/>
      <c r="BPM79" s="1251"/>
      <c r="BPN79" s="1251"/>
      <c r="BPO79" s="1251"/>
      <c r="BPP79" s="1251"/>
      <c r="BPQ79" s="1251"/>
      <c r="BPR79" s="1251"/>
      <c r="BPS79" s="1251"/>
      <c r="BPT79" s="1251"/>
      <c r="BPU79" s="1251"/>
      <c r="BPV79" s="1251"/>
      <c r="BPW79" s="1251"/>
      <c r="BPX79" s="1251"/>
      <c r="BPY79" s="1251"/>
      <c r="BPZ79" s="1251"/>
      <c r="BQA79" s="1251"/>
      <c r="BQB79" s="1251"/>
      <c r="BQC79" s="1251"/>
      <c r="BQD79" s="1251"/>
      <c r="BQE79" s="1251"/>
      <c r="BQF79" s="1251"/>
      <c r="BQG79" s="1251"/>
      <c r="BQH79" s="1251"/>
      <c r="BQI79" s="1251"/>
      <c r="BQJ79" s="1251"/>
      <c r="BQK79" s="1251"/>
      <c r="BQL79" s="1251"/>
      <c r="BQM79" s="1251"/>
      <c r="BQN79" s="1251"/>
      <c r="BQO79" s="1251"/>
      <c r="BQP79" s="1251"/>
      <c r="BQQ79" s="1251"/>
      <c r="BQR79" s="1251"/>
      <c r="BQS79" s="1251"/>
      <c r="BQT79" s="1251"/>
      <c r="BQU79" s="1251"/>
      <c r="BQV79" s="1251"/>
      <c r="BQW79" s="1251"/>
      <c r="BQX79" s="1251"/>
      <c r="BQY79" s="1251"/>
      <c r="BQZ79" s="1251"/>
      <c r="BRA79" s="1251"/>
      <c r="BRB79" s="1251"/>
      <c r="BRC79" s="1251"/>
      <c r="BRD79" s="1251"/>
      <c r="BRE79" s="1251"/>
      <c r="BRF79" s="1251"/>
      <c r="BRG79" s="1251"/>
      <c r="BRH79" s="1251"/>
      <c r="BRI79" s="1251"/>
      <c r="BRJ79" s="1251"/>
      <c r="BRK79" s="1251"/>
      <c r="BRL79" s="1251"/>
      <c r="BRM79" s="1251"/>
      <c r="BRN79" s="1251"/>
      <c r="BRO79" s="1251"/>
      <c r="BRP79" s="1251"/>
      <c r="BRQ79" s="1251"/>
      <c r="BRR79" s="1251"/>
      <c r="BRS79" s="1251"/>
      <c r="BRT79" s="1251"/>
      <c r="BRU79" s="1251"/>
      <c r="BRV79" s="1251"/>
      <c r="BRW79" s="1251"/>
      <c r="BRX79" s="1251"/>
      <c r="BRY79" s="1251"/>
      <c r="BRZ79" s="1251"/>
      <c r="BSA79" s="1251"/>
      <c r="BSB79" s="1251"/>
      <c r="BSC79" s="1251"/>
      <c r="BSD79" s="1251"/>
      <c r="BSE79" s="1251"/>
      <c r="BSF79" s="1251"/>
      <c r="BSG79" s="1251"/>
      <c r="BSH79" s="1251"/>
      <c r="BSI79" s="1251"/>
      <c r="BSJ79" s="1251"/>
      <c r="BSK79" s="1251"/>
      <c r="BSL79" s="1251"/>
      <c r="BSM79" s="1251"/>
      <c r="BSN79" s="1251"/>
      <c r="BSO79" s="1251"/>
      <c r="BSP79" s="1251"/>
      <c r="BSQ79" s="1251"/>
      <c r="BSR79" s="1251"/>
      <c r="BSS79" s="1251"/>
      <c r="BST79" s="1251"/>
      <c r="BSU79" s="1251"/>
      <c r="BSV79" s="1251"/>
      <c r="BSW79" s="1251"/>
      <c r="BSX79" s="1251"/>
      <c r="BSY79" s="1251"/>
      <c r="BSZ79" s="1251"/>
      <c r="BTA79" s="1251"/>
      <c r="BTB79" s="1251"/>
      <c r="BTC79" s="1251"/>
      <c r="BTD79" s="1251"/>
      <c r="BTE79" s="1251"/>
      <c r="BTF79" s="1251"/>
      <c r="BTG79" s="1251"/>
      <c r="BTH79" s="1251"/>
      <c r="BTI79" s="1251"/>
    </row>
    <row r="80" spans="1:1881" s="1261" customFormat="1" ht="69.75" hidden="1" customHeight="1" thickBot="1" x14ac:dyDescent="0.35">
      <c r="A80" s="1248">
        <v>532</v>
      </c>
      <c r="B80" s="593" t="s">
        <v>55</v>
      </c>
      <c r="C80" s="593" t="s">
        <v>152</v>
      </c>
      <c r="D80" s="1267" t="s">
        <v>1372</v>
      </c>
      <c r="E80" s="1249" t="e">
        <f>HLOOKUP($D$2,'2020 Data(H)'!$C$1:$CZ$426,182,FALSE)</f>
        <v>#N/A</v>
      </c>
      <c r="F80" s="1263">
        <v>0</v>
      </c>
      <c r="G80" s="727">
        <f>IF(F80&lt;0,"Error: Enter as positive.",)</f>
        <v>0</v>
      </c>
      <c r="H80" s="17"/>
      <c r="I80" s="760"/>
      <c r="J80" s="1252"/>
      <c r="K80" s="1251"/>
      <c r="L80" s="701"/>
      <c r="M80" s="1251"/>
      <c r="N80" s="1253"/>
      <c r="O80" s="1251"/>
      <c r="P80" s="1251"/>
      <c r="Q80" s="1251"/>
      <c r="R80" s="1251"/>
      <c r="S80" s="1251"/>
      <c r="T80" s="1251"/>
      <c r="U80" s="1251"/>
      <c r="V80" s="1251"/>
      <c r="W80" s="1251"/>
      <c r="X80" s="1251"/>
      <c r="Y80" s="1251"/>
      <c r="Z80" s="1248"/>
      <c r="AA80" s="1248"/>
      <c r="AB80" s="1248"/>
      <c r="AC80" s="1248"/>
      <c r="AD80" s="1248"/>
      <c r="AE80" s="1248"/>
      <c r="AF80" s="1248"/>
      <c r="AG80" s="1248"/>
      <c r="AH80" s="1248"/>
      <c r="AI80" s="1248"/>
      <c r="AJ80" s="1248"/>
      <c r="AK80" s="1248"/>
      <c r="AL80" s="1248"/>
      <c r="AM80" s="1248"/>
      <c r="AN80" s="1248"/>
      <c r="AO80" s="1248"/>
      <c r="AP80" s="1248"/>
      <c r="AQ80" s="1248"/>
      <c r="AR80" s="1248"/>
      <c r="AS80" s="1251"/>
      <c r="AT80" s="1251"/>
      <c r="AU80" s="1251"/>
      <c r="AV80" s="1251"/>
      <c r="AW80" s="1251"/>
      <c r="AX80" s="1251"/>
      <c r="AY80" s="1251"/>
      <c r="AZ80" s="1251"/>
      <c r="BA80" s="1251"/>
      <c r="BB80" s="1251"/>
      <c r="BC80" s="1251"/>
      <c r="BD80" s="1251"/>
      <c r="BE80" s="1251"/>
      <c r="BF80" s="1251"/>
      <c r="BG80" s="1251"/>
      <c r="BH80" s="1251"/>
      <c r="BI80" s="1251"/>
      <c r="BJ80" s="1251"/>
      <c r="BK80" s="1251"/>
      <c r="BL80" s="1251"/>
      <c r="BM80" s="1251"/>
      <c r="BN80" s="1251"/>
      <c r="BO80" s="1251"/>
      <c r="BP80" s="1251"/>
      <c r="BQ80" s="1251"/>
      <c r="BR80" s="1251"/>
      <c r="BS80" s="1251"/>
      <c r="BT80" s="1251"/>
      <c r="BU80" s="1251"/>
      <c r="BV80" s="1251"/>
      <c r="BW80" s="1251"/>
      <c r="BX80" s="1251"/>
      <c r="BY80" s="1251"/>
      <c r="BZ80" s="1251"/>
      <c r="CA80" s="1251"/>
      <c r="CB80" s="1251"/>
      <c r="CC80" s="1251"/>
      <c r="CD80" s="1251"/>
      <c r="CE80" s="1251"/>
      <c r="CF80" s="1251"/>
      <c r="CG80" s="1251"/>
      <c r="CH80" s="1251"/>
      <c r="CI80" s="1251"/>
      <c r="CJ80" s="1251"/>
      <c r="CK80" s="1251"/>
      <c r="CL80" s="1251"/>
      <c r="CM80" s="1251"/>
      <c r="CN80" s="1251"/>
      <c r="CO80" s="1251"/>
      <c r="CP80" s="1251"/>
      <c r="CQ80" s="1251"/>
      <c r="CR80" s="1251"/>
      <c r="CS80" s="1251"/>
      <c r="CT80" s="1251"/>
      <c r="CU80" s="1251"/>
      <c r="CV80" s="1251"/>
      <c r="CW80" s="1251"/>
      <c r="CX80" s="1251"/>
      <c r="CY80" s="1251"/>
      <c r="CZ80" s="1251"/>
      <c r="DA80" s="1251"/>
      <c r="DB80" s="1251"/>
      <c r="DC80" s="1251"/>
      <c r="DD80" s="1251"/>
      <c r="DE80" s="1251"/>
      <c r="DF80" s="1251"/>
      <c r="DG80" s="1251"/>
      <c r="DH80" s="1251"/>
      <c r="DI80" s="1251"/>
      <c r="DJ80" s="1251"/>
      <c r="DK80" s="1251"/>
      <c r="DL80" s="1251"/>
      <c r="DM80" s="1251"/>
      <c r="DN80" s="1251"/>
      <c r="DO80" s="1251"/>
      <c r="DP80" s="1251"/>
      <c r="DQ80" s="1251"/>
      <c r="DR80" s="1251"/>
      <c r="DS80" s="1251"/>
      <c r="DT80" s="1251"/>
      <c r="DU80" s="1251"/>
      <c r="DV80" s="1251"/>
      <c r="DW80" s="1251"/>
      <c r="DX80" s="1251"/>
      <c r="DY80" s="1251"/>
      <c r="DZ80" s="1251"/>
      <c r="EA80" s="1251"/>
      <c r="EB80" s="1251"/>
      <c r="EC80" s="1251"/>
      <c r="ED80" s="1251"/>
      <c r="EE80" s="1251"/>
      <c r="EF80" s="1251"/>
      <c r="EG80" s="1251"/>
      <c r="EH80" s="1251"/>
      <c r="EI80" s="1251"/>
      <c r="EJ80" s="1251"/>
      <c r="EK80" s="1251"/>
      <c r="EL80" s="1251"/>
      <c r="EM80" s="1251"/>
      <c r="EN80" s="1251"/>
      <c r="EO80" s="1251"/>
      <c r="EP80" s="1251"/>
      <c r="EQ80" s="1251"/>
      <c r="ER80" s="1251"/>
      <c r="ES80" s="1251"/>
      <c r="ET80" s="1251"/>
      <c r="EU80" s="1251"/>
      <c r="EV80" s="1251"/>
      <c r="EW80" s="1251"/>
      <c r="EX80" s="1251"/>
      <c r="EY80" s="1251"/>
      <c r="EZ80" s="1251"/>
      <c r="FA80" s="1251"/>
      <c r="FB80" s="1251"/>
      <c r="FC80" s="1251"/>
      <c r="FD80" s="1251"/>
      <c r="FE80" s="1251"/>
      <c r="FF80" s="1251"/>
      <c r="FG80" s="1251"/>
      <c r="FH80" s="1251"/>
      <c r="FI80" s="1251"/>
      <c r="FJ80" s="1251"/>
      <c r="FK80" s="1251"/>
      <c r="FL80" s="1251"/>
      <c r="FM80" s="1251"/>
      <c r="FN80" s="1251"/>
      <c r="FO80" s="1251"/>
      <c r="FP80" s="1251"/>
      <c r="FQ80" s="1251"/>
      <c r="FR80" s="1251"/>
      <c r="FS80" s="1251"/>
      <c r="FT80" s="1251"/>
      <c r="FU80" s="1251"/>
      <c r="FV80" s="1251"/>
      <c r="FW80" s="1251"/>
      <c r="FX80" s="1251"/>
      <c r="FY80" s="1251"/>
      <c r="FZ80" s="1251"/>
      <c r="GA80" s="1251"/>
      <c r="GB80" s="1251"/>
      <c r="GC80" s="1251"/>
      <c r="GD80" s="1251"/>
      <c r="GE80" s="1251"/>
      <c r="GF80" s="1251"/>
      <c r="GG80" s="1251"/>
      <c r="GH80" s="1251"/>
      <c r="GI80" s="1251"/>
      <c r="GJ80" s="1251"/>
      <c r="GK80" s="1251"/>
      <c r="GL80" s="1251"/>
      <c r="GM80" s="1251"/>
      <c r="GN80" s="1251"/>
      <c r="GO80" s="1251"/>
      <c r="GP80" s="1251"/>
      <c r="GQ80" s="1251"/>
      <c r="GR80" s="1251"/>
      <c r="GS80" s="1251"/>
      <c r="GT80" s="1251"/>
      <c r="GU80" s="1251"/>
      <c r="GV80" s="1251"/>
      <c r="GW80" s="1251"/>
      <c r="GX80" s="1251"/>
      <c r="GY80" s="1251"/>
      <c r="GZ80" s="1251"/>
      <c r="HA80" s="1251"/>
      <c r="HB80" s="1251"/>
      <c r="HC80" s="1251"/>
      <c r="HD80" s="1251"/>
      <c r="HE80" s="1251"/>
      <c r="HF80" s="1251"/>
      <c r="HG80" s="1251"/>
      <c r="HH80" s="1251"/>
      <c r="HI80" s="1251"/>
      <c r="HJ80" s="1251"/>
      <c r="HK80" s="1251"/>
      <c r="HL80" s="1251"/>
      <c r="HM80" s="1251"/>
      <c r="HN80" s="1251"/>
      <c r="HO80" s="1251"/>
      <c r="HP80" s="1251"/>
      <c r="HQ80" s="1251"/>
      <c r="HR80" s="1251"/>
      <c r="HS80" s="1251"/>
      <c r="HT80" s="1251"/>
      <c r="HU80" s="1251"/>
      <c r="HV80" s="1251"/>
      <c r="HW80" s="1251"/>
      <c r="HX80" s="1251"/>
      <c r="HY80" s="1251"/>
      <c r="HZ80" s="1251"/>
      <c r="IA80" s="1251"/>
      <c r="IB80" s="1251"/>
      <c r="IC80" s="1251"/>
      <c r="ID80" s="1251"/>
      <c r="IE80" s="1251"/>
      <c r="IF80" s="1251"/>
      <c r="IG80" s="1251"/>
      <c r="IH80" s="1251"/>
      <c r="II80" s="1251"/>
      <c r="IJ80" s="1251"/>
      <c r="IK80" s="1251"/>
      <c r="IL80" s="1251"/>
      <c r="IM80" s="1251"/>
      <c r="IN80" s="1251"/>
      <c r="IO80" s="1251"/>
      <c r="IP80" s="1251"/>
      <c r="IQ80" s="1251"/>
      <c r="IR80" s="1251"/>
      <c r="IS80" s="1251"/>
      <c r="IT80" s="1251"/>
      <c r="IU80" s="1251"/>
      <c r="IV80" s="1251"/>
      <c r="IW80" s="1251"/>
      <c r="IX80" s="1251"/>
      <c r="IY80" s="1251"/>
      <c r="IZ80" s="1251"/>
      <c r="JA80" s="1251"/>
      <c r="JB80" s="1251"/>
      <c r="JC80" s="1251"/>
      <c r="JD80" s="1251"/>
      <c r="JE80" s="1251"/>
      <c r="JF80" s="1251"/>
      <c r="JG80" s="1251"/>
      <c r="JH80" s="1251"/>
      <c r="JI80" s="1251"/>
      <c r="JJ80" s="1251"/>
      <c r="JK80" s="1251"/>
      <c r="JL80" s="1251"/>
      <c r="JM80" s="1251"/>
      <c r="JN80" s="1251"/>
      <c r="JO80" s="1251"/>
      <c r="JP80" s="1251"/>
      <c r="JQ80" s="1251"/>
      <c r="JR80" s="1251"/>
      <c r="JS80" s="1251"/>
      <c r="JT80" s="1251"/>
      <c r="JU80" s="1251"/>
      <c r="JV80" s="1251"/>
      <c r="JW80" s="1251"/>
      <c r="JX80" s="1251"/>
      <c r="JY80" s="1251"/>
      <c r="JZ80" s="1251"/>
      <c r="KA80" s="1251"/>
      <c r="KB80" s="1251"/>
      <c r="KC80" s="1251"/>
      <c r="KD80" s="1251"/>
      <c r="KE80" s="1251"/>
      <c r="KF80" s="1251"/>
      <c r="KG80" s="1251"/>
      <c r="KH80" s="1251"/>
      <c r="KI80" s="1251"/>
      <c r="KJ80" s="1251"/>
      <c r="KK80" s="1251"/>
      <c r="KL80" s="1251"/>
      <c r="KM80" s="1251"/>
      <c r="KN80" s="1251"/>
      <c r="KO80" s="1251"/>
      <c r="KP80" s="1251"/>
      <c r="KQ80" s="1251"/>
      <c r="KR80" s="1251"/>
      <c r="KS80" s="1251"/>
      <c r="KT80" s="1251"/>
      <c r="KU80" s="1251"/>
      <c r="KV80" s="1251"/>
      <c r="KW80" s="1251"/>
      <c r="KX80" s="1251"/>
      <c r="KY80" s="1251"/>
      <c r="KZ80" s="1251"/>
      <c r="LA80" s="1251"/>
      <c r="LB80" s="1251"/>
      <c r="LC80" s="1251"/>
      <c r="LD80" s="1251"/>
      <c r="LE80" s="1251"/>
      <c r="LF80" s="1251"/>
      <c r="LG80" s="1251"/>
      <c r="LH80" s="1251"/>
      <c r="LI80" s="1251"/>
      <c r="LJ80" s="1251"/>
      <c r="LK80" s="1251"/>
      <c r="LL80" s="1251"/>
      <c r="LM80" s="1251"/>
      <c r="LN80" s="1251"/>
      <c r="LO80" s="1251"/>
      <c r="LP80" s="1251"/>
      <c r="LQ80" s="1251"/>
      <c r="LR80" s="1251"/>
      <c r="LS80" s="1251"/>
      <c r="LT80" s="1251"/>
      <c r="LU80" s="1251"/>
      <c r="LV80" s="1251"/>
      <c r="LW80" s="1251"/>
      <c r="LX80" s="1251"/>
      <c r="LY80" s="1251"/>
      <c r="LZ80" s="1251"/>
      <c r="MA80" s="1251"/>
      <c r="MB80" s="1251"/>
      <c r="MC80" s="1251"/>
      <c r="MD80" s="1251"/>
      <c r="ME80" s="1251"/>
      <c r="MF80" s="1251"/>
      <c r="MG80" s="1251"/>
      <c r="MH80" s="1251"/>
      <c r="MI80" s="1251"/>
      <c r="MJ80" s="1251"/>
      <c r="MK80" s="1251"/>
      <c r="ML80" s="1251"/>
      <c r="MM80" s="1251"/>
      <c r="MN80" s="1251"/>
      <c r="MO80" s="1251"/>
      <c r="MP80" s="1251"/>
      <c r="MQ80" s="1251"/>
      <c r="MR80" s="1251"/>
      <c r="MS80" s="1251"/>
      <c r="MT80" s="1251"/>
      <c r="MU80" s="1251"/>
      <c r="MV80" s="1251"/>
      <c r="MW80" s="1251"/>
      <c r="MX80" s="1251"/>
      <c r="MY80" s="1251"/>
      <c r="MZ80" s="1251"/>
      <c r="NA80" s="1251"/>
      <c r="NB80" s="1251"/>
      <c r="NC80" s="1251"/>
      <c r="ND80" s="1251"/>
      <c r="NE80" s="1251"/>
      <c r="NF80" s="1251"/>
      <c r="NG80" s="1251"/>
      <c r="NH80" s="1251"/>
      <c r="NI80" s="1251"/>
      <c r="NJ80" s="1251"/>
      <c r="NK80" s="1251"/>
      <c r="NL80" s="1251"/>
      <c r="NM80" s="1251"/>
      <c r="NN80" s="1251"/>
      <c r="NO80" s="1251"/>
      <c r="NP80" s="1251"/>
      <c r="NQ80" s="1251"/>
      <c r="NR80" s="1251"/>
      <c r="NS80" s="1251"/>
      <c r="NT80" s="1251"/>
      <c r="NU80" s="1251"/>
      <c r="NV80" s="1251"/>
      <c r="NW80" s="1251"/>
      <c r="NX80" s="1251"/>
      <c r="NY80" s="1251"/>
      <c r="NZ80" s="1251"/>
      <c r="OA80" s="1251"/>
      <c r="OB80" s="1251"/>
      <c r="OC80" s="1251"/>
      <c r="OD80" s="1251"/>
      <c r="OE80" s="1251"/>
      <c r="OF80" s="1251"/>
      <c r="OG80" s="1251"/>
      <c r="OH80" s="1251"/>
      <c r="OI80" s="1251"/>
      <c r="OJ80" s="1251"/>
      <c r="OK80" s="1251"/>
      <c r="OL80" s="1251"/>
      <c r="OM80" s="1251"/>
      <c r="ON80" s="1251"/>
      <c r="OO80" s="1251"/>
      <c r="OP80" s="1251"/>
      <c r="OQ80" s="1251"/>
      <c r="OR80" s="1251"/>
      <c r="OS80" s="1251"/>
      <c r="OT80" s="1251"/>
      <c r="OU80" s="1251"/>
      <c r="OV80" s="1251"/>
      <c r="OW80" s="1251"/>
      <c r="OX80" s="1251"/>
      <c r="OY80" s="1251"/>
      <c r="OZ80" s="1251"/>
      <c r="PA80" s="1251"/>
      <c r="PB80" s="1251"/>
      <c r="PC80" s="1251"/>
      <c r="PD80" s="1251"/>
      <c r="PE80" s="1251"/>
      <c r="PF80" s="1251"/>
      <c r="PG80" s="1251"/>
      <c r="PH80" s="1251"/>
      <c r="PI80" s="1251"/>
      <c r="PJ80" s="1251"/>
      <c r="PK80" s="1251"/>
      <c r="PL80" s="1251"/>
      <c r="PM80" s="1251"/>
      <c r="PN80" s="1251"/>
      <c r="PO80" s="1251"/>
      <c r="PP80" s="1251"/>
      <c r="PQ80" s="1251"/>
      <c r="PR80" s="1251"/>
      <c r="PS80" s="1251"/>
      <c r="PT80" s="1251"/>
      <c r="PU80" s="1251"/>
      <c r="PV80" s="1251"/>
      <c r="PW80" s="1251"/>
      <c r="PX80" s="1251"/>
      <c r="PY80" s="1251"/>
      <c r="PZ80" s="1251"/>
      <c r="QA80" s="1251"/>
      <c r="QB80" s="1251"/>
      <c r="QC80" s="1251"/>
      <c r="QD80" s="1251"/>
      <c r="QE80" s="1251"/>
      <c r="QF80" s="1251"/>
      <c r="QG80" s="1251"/>
      <c r="QH80" s="1251"/>
      <c r="QI80" s="1251"/>
      <c r="QJ80" s="1251"/>
      <c r="QK80" s="1251"/>
      <c r="QL80" s="1251"/>
      <c r="QM80" s="1251"/>
      <c r="QN80" s="1251"/>
      <c r="QO80" s="1251"/>
      <c r="QP80" s="1251"/>
      <c r="QQ80" s="1251"/>
      <c r="QR80" s="1251"/>
      <c r="QS80" s="1251"/>
      <c r="QT80" s="1251"/>
      <c r="QU80" s="1251"/>
      <c r="QV80" s="1251"/>
      <c r="QW80" s="1251"/>
      <c r="QX80" s="1251"/>
      <c r="QY80" s="1251"/>
      <c r="QZ80" s="1251"/>
      <c r="RA80" s="1251"/>
      <c r="RB80" s="1251"/>
      <c r="RC80" s="1251"/>
      <c r="RD80" s="1251"/>
      <c r="RE80" s="1251"/>
      <c r="RF80" s="1251"/>
      <c r="RG80" s="1251"/>
      <c r="RH80" s="1251"/>
      <c r="RI80" s="1251"/>
      <c r="RJ80" s="1251"/>
      <c r="RK80" s="1251"/>
      <c r="RL80" s="1251"/>
      <c r="RM80" s="1251"/>
      <c r="RN80" s="1251"/>
      <c r="RO80" s="1251"/>
      <c r="RP80" s="1251"/>
      <c r="RQ80" s="1251"/>
      <c r="RR80" s="1251"/>
      <c r="RS80" s="1251"/>
      <c r="RT80" s="1251"/>
      <c r="RU80" s="1251"/>
      <c r="RV80" s="1251"/>
      <c r="RW80" s="1251"/>
      <c r="RX80" s="1251"/>
      <c r="RY80" s="1251"/>
      <c r="RZ80" s="1251"/>
      <c r="SA80" s="1251"/>
      <c r="SB80" s="1251"/>
      <c r="SC80" s="1251"/>
      <c r="SD80" s="1251"/>
      <c r="SE80" s="1251"/>
      <c r="SF80" s="1251"/>
      <c r="SG80" s="1251"/>
      <c r="SH80" s="1251"/>
      <c r="SI80" s="1251"/>
      <c r="SJ80" s="1251"/>
      <c r="SK80" s="1251"/>
      <c r="SL80" s="1251"/>
      <c r="SM80" s="1251"/>
      <c r="SN80" s="1251"/>
      <c r="SO80" s="1251"/>
      <c r="SP80" s="1251"/>
      <c r="SQ80" s="1251"/>
      <c r="SR80" s="1251"/>
      <c r="SS80" s="1251"/>
      <c r="ST80" s="1251"/>
      <c r="SU80" s="1251"/>
      <c r="SV80" s="1251"/>
      <c r="SW80" s="1251"/>
      <c r="SX80" s="1251"/>
      <c r="SY80" s="1251"/>
      <c r="SZ80" s="1251"/>
      <c r="TA80" s="1251"/>
      <c r="TB80" s="1251"/>
      <c r="TC80" s="1251"/>
      <c r="TD80" s="1251"/>
      <c r="TE80" s="1251"/>
      <c r="TF80" s="1251"/>
      <c r="TG80" s="1251"/>
      <c r="TH80" s="1251"/>
      <c r="TI80" s="1251"/>
      <c r="TJ80" s="1251"/>
      <c r="TK80" s="1251"/>
      <c r="TL80" s="1251"/>
      <c r="TM80" s="1251"/>
      <c r="TN80" s="1251"/>
      <c r="TO80" s="1251"/>
      <c r="TP80" s="1251"/>
      <c r="TQ80" s="1251"/>
      <c r="TR80" s="1251"/>
      <c r="TS80" s="1251"/>
      <c r="TT80" s="1251"/>
      <c r="TU80" s="1251"/>
      <c r="TV80" s="1251"/>
      <c r="TW80" s="1251"/>
      <c r="TX80" s="1251"/>
      <c r="TY80" s="1251"/>
      <c r="TZ80" s="1251"/>
      <c r="UA80" s="1251"/>
      <c r="UB80" s="1251"/>
      <c r="UC80" s="1251"/>
      <c r="UD80" s="1251"/>
      <c r="UE80" s="1251"/>
      <c r="UF80" s="1251"/>
      <c r="UG80" s="1251"/>
      <c r="UH80" s="1251"/>
      <c r="UI80" s="1251"/>
      <c r="UJ80" s="1251"/>
      <c r="UK80" s="1251"/>
      <c r="UL80" s="1251"/>
      <c r="UM80" s="1251"/>
      <c r="UN80" s="1251"/>
      <c r="UO80" s="1251"/>
      <c r="UP80" s="1251"/>
      <c r="UQ80" s="1251"/>
      <c r="UR80" s="1251"/>
      <c r="US80" s="1251"/>
      <c r="UT80" s="1251"/>
      <c r="UU80" s="1251"/>
      <c r="UV80" s="1251"/>
      <c r="UW80" s="1251"/>
      <c r="UX80" s="1251"/>
      <c r="UY80" s="1251"/>
      <c r="UZ80" s="1251"/>
      <c r="VA80" s="1251"/>
      <c r="VB80" s="1251"/>
      <c r="VC80" s="1251"/>
      <c r="VD80" s="1251"/>
      <c r="VE80" s="1251"/>
      <c r="VF80" s="1251"/>
      <c r="VG80" s="1251"/>
      <c r="VH80" s="1251"/>
      <c r="VI80" s="1251"/>
      <c r="VJ80" s="1251"/>
      <c r="VK80" s="1251"/>
      <c r="VL80" s="1251"/>
      <c r="VM80" s="1251"/>
      <c r="VN80" s="1251"/>
      <c r="VO80" s="1251"/>
      <c r="VP80" s="1251"/>
      <c r="VQ80" s="1251"/>
      <c r="VR80" s="1251"/>
      <c r="VS80" s="1251"/>
      <c r="VT80" s="1251"/>
      <c r="VU80" s="1251"/>
      <c r="VV80" s="1251"/>
      <c r="VW80" s="1251"/>
      <c r="VX80" s="1251"/>
      <c r="VY80" s="1251"/>
      <c r="VZ80" s="1251"/>
      <c r="WA80" s="1251"/>
      <c r="WB80" s="1251"/>
      <c r="WC80" s="1251"/>
      <c r="WD80" s="1251"/>
      <c r="WE80" s="1251"/>
      <c r="WF80" s="1251"/>
      <c r="WG80" s="1251"/>
      <c r="WH80" s="1251"/>
      <c r="WI80" s="1251"/>
      <c r="WJ80" s="1251"/>
      <c r="WK80" s="1251"/>
      <c r="WL80" s="1251"/>
      <c r="WM80" s="1251"/>
      <c r="WN80" s="1251"/>
      <c r="WO80" s="1251"/>
      <c r="WP80" s="1251"/>
      <c r="WQ80" s="1251"/>
      <c r="WR80" s="1251"/>
      <c r="WS80" s="1251"/>
      <c r="WT80" s="1251"/>
      <c r="WU80" s="1251"/>
      <c r="WV80" s="1251"/>
      <c r="WW80" s="1251"/>
      <c r="WX80" s="1251"/>
      <c r="WY80" s="1251"/>
      <c r="WZ80" s="1251"/>
      <c r="XA80" s="1251"/>
      <c r="XB80" s="1251"/>
      <c r="XC80" s="1251"/>
      <c r="XD80" s="1251"/>
      <c r="XE80" s="1251"/>
      <c r="XF80" s="1251"/>
      <c r="XG80" s="1251"/>
      <c r="XH80" s="1251"/>
      <c r="XI80" s="1251"/>
      <c r="XJ80" s="1251"/>
      <c r="XK80" s="1251"/>
      <c r="XL80" s="1251"/>
      <c r="XM80" s="1251"/>
      <c r="XN80" s="1251"/>
      <c r="XO80" s="1251"/>
      <c r="XP80" s="1251"/>
      <c r="XQ80" s="1251"/>
      <c r="XR80" s="1251"/>
      <c r="XS80" s="1251"/>
      <c r="XT80" s="1251"/>
      <c r="XU80" s="1251"/>
      <c r="XV80" s="1251"/>
      <c r="XW80" s="1251"/>
      <c r="XX80" s="1251"/>
      <c r="XY80" s="1251"/>
      <c r="XZ80" s="1251"/>
      <c r="YA80" s="1251"/>
      <c r="YB80" s="1251"/>
      <c r="YC80" s="1251"/>
      <c r="YD80" s="1251"/>
      <c r="YE80" s="1251"/>
      <c r="YF80" s="1251"/>
      <c r="YG80" s="1251"/>
      <c r="YH80" s="1251"/>
      <c r="YI80" s="1251"/>
      <c r="YJ80" s="1251"/>
      <c r="YK80" s="1251"/>
      <c r="YL80" s="1251"/>
      <c r="YM80" s="1251"/>
      <c r="YN80" s="1251"/>
      <c r="YO80" s="1251"/>
      <c r="YP80" s="1251"/>
      <c r="YQ80" s="1251"/>
      <c r="YR80" s="1251"/>
      <c r="YS80" s="1251"/>
      <c r="YT80" s="1251"/>
      <c r="YU80" s="1251"/>
      <c r="YV80" s="1251"/>
      <c r="YW80" s="1251"/>
      <c r="YX80" s="1251"/>
      <c r="YY80" s="1251"/>
      <c r="YZ80" s="1251"/>
      <c r="ZA80" s="1251"/>
      <c r="ZB80" s="1251"/>
      <c r="ZC80" s="1251"/>
      <c r="ZD80" s="1251"/>
      <c r="ZE80" s="1251"/>
      <c r="ZF80" s="1251"/>
      <c r="ZG80" s="1251"/>
      <c r="ZH80" s="1251"/>
      <c r="ZI80" s="1251"/>
      <c r="ZJ80" s="1251"/>
      <c r="ZK80" s="1251"/>
      <c r="ZL80" s="1251"/>
      <c r="ZM80" s="1251"/>
      <c r="ZN80" s="1251"/>
      <c r="ZO80" s="1251"/>
      <c r="ZP80" s="1251"/>
      <c r="ZQ80" s="1251"/>
      <c r="ZR80" s="1251"/>
      <c r="ZS80" s="1251"/>
      <c r="ZT80" s="1251"/>
      <c r="ZU80" s="1251"/>
      <c r="ZV80" s="1251"/>
      <c r="ZW80" s="1251"/>
      <c r="ZX80" s="1251"/>
      <c r="ZY80" s="1251"/>
      <c r="ZZ80" s="1251"/>
      <c r="AAA80" s="1251"/>
      <c r="AAB80" s="1251"/>
      <c r="AAC80" s="1251"/>
      <c r="AAD80" s="1251"/>
      <c r="AAE80" s="1251"/>
      <c r="AAF80" s="1251"/>
      <c r="AAG80" s="1251"/>
      <c r="AAH80" s="1251"/>
      <c r="AAI80" s="1251"/>
      <c r="AAJ80" s="1251"/>
      <c r="AAK80" s="1251"/>
      <c r="AAL80" s="1251"/>
      <c r="AAM80" s="1251"/>
      <c r="AAN80" s="1251"/>
      <c r="AAO80" s="1251"/>
      <c r="AAP80" s="1251"/>
      <c r="AAQ80" s="1251"/>
      <c r="AAR80" s="1251"/>
      <c r="AAS80" s="1251"/>
      <c r="AAT80" s="1251"/>
      <c r="AAU80" s="1251"/>
      <c r="AAV80" s="1251"/>
      <c r="AAW80" s="1251"/>
      <c r="AAX80" s="1251"/>
      <c r="AAY80" s="1251"/>
      <c r="AAZ80" s="1251"/>
      <c r="ABA80" s="1251"/>
      <c r="ABB80" s="1251"/>
      <c r="ABC80" s="1251"/>
      <c r="ABD80" s="1251"/>
      <c r="ABE80" s="1251"/>
      <c r="ABF80" s="1251"/>
      <c r="ABG80" s="1251"/>
      <c r="ABH80" s="1251"/>
      <c r="ABI80" s="1251"/>
      <c r="ABJ80" s="1251"/>
      <c r="ABK80" s="1251"/>
      <c r="ABL80" s="1251"/>
      <c r="ABM80" s="1251"/>
      <c r="ABN80" s="1251"/>
      <c r="ABO80" s="1251"/>
      <c r="ABP80" s="1251"/>
      <c r="ABQ80" s="1251"/>
      <c r="ABR80" s="1251"/>
      <c r="ABS80" s="1251"/>
      <c r="ABT80" s="1251"/>
      <c r="ABU80" s="1251"/>
      <c r="ABV80" s="1251"/>
      <c r="ABW80" s="1251"/>
      <c r="ABX80" s="1251"/>
      <c r="ABY80" s="1251"/>
      <c r="ABZ80" s="1251"/>
      <c r="ACA80" s="1251"/>
      <c r="ACB80" s="1251"/>
      <c r="ACC80" s="1251"/>
      <c r="ACD80" s="1251"/>
      <c r="ACE80" s="1251"/>
      <c r="ACF80" s="1251"/>
      <c r="ACG80" s="1251"/>
      <c r="ACH80" s="1251"/>
      <c r="ACI80" s="1251"/>
      <c r="ACJ80" s="1251"/>
      <c r="ACK80" s="1251"/>
      <c r="ACL80" s="1251"/>
      <c r="ACM80" s="1251"/>
      <c r="ACN80" s="1251"/>
      <c r="ACO80" s="1251"/>
      <c r="ACP80" s="1251"/>
      <c r="ACQ80" s="1251"/>
      <c r="ACR80" s="1251"/>
      <c r="ACS80" s="1251"/>
      <c r="ACT80" s="1251"/>
      <c r="ACU80" s="1251"/>
      <c r="ACV80" s="1251"/>
      <c r="ACW80" s="1251"/>
      <c r="ACX80" s="1251"/>
      <c r="ACY80" s="1251"/>
      <c r="ACZ80" s="1251"/>
      <c r="ADA80" s="1251"/>
      <c r="ADB80" s="1251"/>
      <c r="ADC80" s="1251"/>
      <c r="ADD80" s="1251"/>
      <c r="ADE80" s="1251"/>
      <c r="ADF80" s="1251"/>
      <c r="ADG80" s="1251"/>
      <c r="ADH80" s="1251"/>
      <c r="ADI80" s="1251"/>
      <c r="ADJ80" s="1251"/>
      <c r="ADK80" s="1251"/>
      <c r="ADL80" s="1251"/>
      <c r="ADM80" s="1251"/>
      <c r="ADN80" s="1251"/>
      <c r="ADO80" s="1251"/>
      <c r="ADP80" s="1251"/>
      <c r="ADQ80" s="1251"/>
      <c r="ADR80" s="1251"/>
      <c r="ADS80" s="1251"/>
      <c r="ADT80" s="1251"/>
      <c r="ADU80" s="1251"/>
      <c r="ADV80" s="1251"/>
      <c r="ADW80" s="1251"/>
      <c r="ADX80" s="1251"/>
      <c r="ADY80" s="1251"/>
      <c r="ADZ80" s="1251"/>
      <c r="AEA80" s="1251"/>
      <c r="AEB80" s="1251"/>
      <c r="AEC80" s="1251"/>
      <c r="AED80" s="1251"/>
      <c r="AEE80" s="1251"/>
      <c r="AEF80" s="1251"/>
      <c r="AEG80" s="1251"/>
      <c r="AEH80" s="1251"/>
      <c r="AEI80" s="1251"/>
      <c r="AEJ80" s="1251"/>
      <c r="AEK80" s="1251"/>
      <c r="AEL80" s="1251"/>
      <c r="AEM80" s="1251"/>
      <c r="AEN80" s="1251"/>
      <c r="AEO80" s="1251"/>
      <c r="AEP80" s="1251"/>
      <c r="AEQ80" s="1251"/>
      <c r="AER80" s="1251"/>
      <c r="AES80" s="1251"/>
      <c r="AET80" s="1251"/>
      <c r="AEU80" s="1251"/>
      <c r="AEV80" s="1251"/>
      <c r="AEW80" s="1251"/>
      <c r="AEX80" s="1251"/>
      <c r="AEY80" s="1251"/>
      <c r="AEZ80" s="1251"/>
      <c r="AFA80" s="1251"/>
      <c r="AFB80" s="1251"/>
      <c r="AFC80" s="1251"/>
      <c r="AFD80" s="1251"/>
      <c r="AFE80" s="1251"/>
      <c r="AFF80" s="1251"/>
      <c r="AFG80" s="1251"/>
      <c r="AFH80" s="1251"/>
      <c r="AFI80" s="1251"/>
      <c r="AFJ80" s="1251"/>
      <c r="AFK80" s="1251"/>
      <c r="AFL80" s="1251"/>
      <c r="AFM80" s="1251"/>
      <c r="AFN80" s="1251"/>
      <c r="AFO80" s="1251"/>
      <c r="AFP80" s="1251"/>
      <c r="AFQ80" s="1251"/>
      <c r="AFR80" s="1251"/>
      <c r="AFS80" s="1251"/>
      <c r="AFT80" s="1251"/>
      <c r="AFU80" s="1251"/>
      <c r="AFV80" s="1251"/>
      <c r="AFW80" s="1251"/>
      <c r="AFX80" s="1251"/>
      <c r="AFY80" s="1251"/>
      <c r="AFZ80" s="1251"/>
      <c r="AGA80" s="1251"/>
      <c r="AGB80" s="1251"/>
      <c r="AGC80" s="1251"/>
      <c r="AGD80" s="1251"/>
      <c r="AGE80" s="1251"/>
      <c r="AGF80" s="1251"/>
      <c r="AGG80" s="1251"/>
      <c r="AGH80" s="1251"/>
      <c r="AGI80" s="1251"/>
      <c r="AGJ80" s="1251"/>
      <c r="AGK80" s="1251"/>
      <c r="AGL80" s="1251"/>
      <c r="AGM80" s="1251"/>
      <c r="AGN80" s="1251"/>
      <c r="AGO80" s="1251"/>
      <c r="AGP80" s="1251"/>
      <c r="AGQ80" s="1251"/>
      <c r="AGR80" s="1251"/>
      <c r="AGS80" s="1251"/>
      <c r="AGT80" s="1251"/>
      <c r="AGU80" s="1251"/>
      <c r="AGV80" s="1251"/>
      <c r="AGW80" s="1251"/>
      <c r="AGX80" s="1251"/>
      <c r="AGY80" s="1251"/>
      <c r="AGZ80" s="1251"/>
      <c r="AHA80" s="1251"/>
      <c r="AHB80" s="1251"/>
      <c r="AHC80" s="1251"/>
      <c r="AHD80" s="1251"/>
      <c r="AHE80" s="1251"/>
      <c r="AHF80" s="1251"/>
      <c r="AHG80" s="1251"/>
      <c r="AHH80" s="1251"/>
      <c r="AHI80" s="1251"/>
      <c r="AHJ80" s="1251"/>
      <c r="AHK80" s="1251"/>
      <c r="AHL80" s="1251"/>
      <c r="AHM80" s="1251"/>
      <c r="AHN80" s="1251"/>
      <c r="AHO80" s="1251"/>
      <c r="AHP80" s="1251"/>
      <c r="AHQ80" s="1251"/>
      <c r="AHR80" s="1251"/>
      <c r="AHS80" s="1251"/>
      <c r="AHT80" s="1251"/>
      <c r="AHU80" s="1251"/>
      <c r="AHV80" s="1251"/>
      <c r="AHW80" s="1251"/>
      <c r="AHX80" s="1251"/>
      <c r="AHY80" s="1251"/>
      <c r="AHZ80" s="1251"/>
      <c r="AIA80" s="1251"/>
      <c r="AIB80" s="1251"/>
      <c r="AIC80" s="1251"/>
      <c r="AID80" s="1251"/>
      <c r="AIE80" s="1251"/>
      <c r="AIF80" s="1251"/>
      <c r="AIG80" s="1251"/>
      <c r="AIH80" s="1251"/>
      <c r="AII80" s="1251"/>
      <c r="AIJ80" s="1251"/>
      <c r="AIK80" s="1251"/>
      <c r="AIL80" s="1251"/>
      <c r="AIM80" s="1251"/>
      <c r="AIN80" s="1251"/>
      <c r="AIO80" s="1251"/>
      <c r="AIP80" s="1251"/>
      <c r="AIQ80" s="1251"/>
      <c r="AIR80" s="1251"/>
      <c r="AIS80" s="1251"/>
      <c r="AIT80" s="1251"/>
      <c r="AIU80" s="1251"/>
      <c r="AIV80" s="1251"/>
      <c r="AIW80" s="1251"/>
      <c r="AIX80" s="1251"/>
      <c r="AIY80" s="1251"/>
      <c r="AIZ80" s="1251"/>
      <c r="AJA80" s="1251"/>
      <c r="AJB80" s="1251"/>
      <c r="AJC80" s="1251"/>
      <c r="AJD80" s="1251"/>
      <c r="AJE80" s="1251"/>
      <c r="AJF80" s="1251"/>
      <c r="AJG80" s="1251"/>
      <c r="AJH80" s="1251"/>
      <c r="AJI80" s="1251"/>
      <c r="AJJ80" s="1251"/>
      <c r="AJK80" s="1251"/>
      <c r="AJL80" s="1251"/>
      <c r="AJM80" s="1251"/>
      <c r="AJN80" s="1251"/>
      <c r="AJO80" s="1251"/>
      <c r="AJP80" s="1251"/>
      <c r="AJQ80" s="1251"/>
      <c r="AJR80" s="1251"/>
      <c r="AJS80" s="1251"/>
      <c r="AJT80" s="1251"/>
      <c r="AJU80" s="1251"/>
      <c r="AJV80" s="1251"/>
      <c r="AJW80" s="1251"/>
      <c r="AJX80" s="1251"/>
      <c r="AJY80" s="1251"/>
      <c r="AJZ80" s="1251"/>
      <c r="AKA80" s="1251"/>
      <c r="AKB80" s="1251"/>
      <c r="AKC80" s="1251"/>
      <c r="AKD80" s="1251"/>
      <c r="AKE80" s="1251"/>
      <c r="AKF80" s="1251"/>
      <c r="AKG80" s="1251"/>
      <c r="AKH80" s="1251"/>
      <c r="AKI80" s="1251"/>
      <c r="AKJ80" s="1251"/>
      <c r="AKK80" s="1251"/>
      <c r="AKL80" s="1251"/>
      <c r="AKM80" s="1251"/>
      <c r="AKN80" s="1251"/>
      <c r="AKO80" s="1251"/>
      <c r="AKP80" s="1251"/>
      <c r="AKQ80" s="1251"/>
      <c r="AKR80" s="1251"/>
      <c r="AKS80" s="1251"/>
      <c r="AKT80" s="1251"/>
      <c r="AKU80" s="1251"/>
      <c r="AKV80" s="1251"/>
      <c r="AKW80" s="1251"/>
      <c r="AKX80" s="1251"/>
      <c r="AKY80" s="1251"/>
      <c r="AKZ80" s="1251"/>
      <c r="ALA80" s="1251"/>
      <c r="ALB80" s="1251"/>
      <c r="ALC80" s="1251"/>
      <c r="ALD80" s="1251"/>
      <c r="ALE80" s="1251"/>
      <c r="ALF80" s="1251"/>
      <c r="ALG80" s="1251"/>
      <c r="ALH80" s="1251"/>
      <c r="ALI80" s="1251"/>
      <c r="ALJ80" s="1251"/>
      <c r="ALK80" s="1251"/>
      <c r="ALL80" s="1251"/>
      <c r="ALM80" s="1251"/>
      <c r="ALN80" s="1251"/>
      <c r="ALO80" s="1251"/>
      <c r="ALP80" s="1251"/>
      <c r="ALQ80" s="1251"/>
      <c r="ALR80" s="1251"/>
      <c r="ALS80" s="1251"/>
      <c r="ALT80" s="1251"/>
      <c r="ALU80" s="1251"/>
      <c r="ALV80" s="1251"/>
      <c r="ALW80" s="1251"/>
      <c r="ALX80" s="1251"/>
      <c r="ALY80" s="1251"/>
      <c r="ALZ80" s="1251"/>
      <c r="AMA80" s="1251"/>
      <c r="AMB80" s="1251"/>
      <c r="AMC80" s="1251"/>
      <c r="AMD80" s="1251"/>
      <c r="AME80" s="1251"/>
      <c r="AMF80" s="1251"/>
      <c r="AMG80" s="1251"/>
      <c r="AMH80" s="1251"/>
      <c r="AMI80" s="1251"/>
      <c r="AMJ80" s="1251"/>
      <c r="AMK80" s="1251"/>
      <c r="AML80" s="1251"/>
      <c r="AMM80" s="1251"/>
      <c r="AMN80" s="1251"/>
      <c r="AMO80" s="1251"/>
      <c r="AMP80" s="1251"/>
      <c r="AMQ80" s="1251"/>
      <c r="AMR80" s="1251"/>
      <c r="AMS80" s="1251"/>
      <c r="AMT80" s="1251"/>
      <c r="AMU80" s="1251"/>
      <c r="AMV80" s="1251"/>
      <c r="AMW80" s="1251"/>
      <c r="AMX80" s="1251"/>
      <c r="AMY80" s="1251"/>
      <c r="AMZ80" s="1251"/>
      <c r="ANA80" s="1251"/>
      <c r="ANB80" s="1251"/>
      <c r="ANC80" s="1251"/>
      <c r="AND80" s="1251"/>
      <c r="ANE80" s="1251"/>
      <c r="ANF80" s="1251"/>
      <c r="ANG80" s="1251"/>
      <c r="ANH80" s="1251"/>
      <c r="ANI80" s="1251"/>
      <c r="ANJ80" s="1251"/>
      <c r="ANK80" s="1251"/>
      <c r="ANL80" s="1251"/>
      <c r="ANM80" s="1251"/>
      <c r="ANN80" s="1251"/>
      <c r="ANO80" s="1251"/>
      <c r="ANP80" s="1251"/>
      <c r="ANQ80" s="1251"/>
      <c r="ANR80" s="1251"/>
      <c r="ANS80" s="1251"/>
      <c r="ANT80" s="1251"/>
      <c r="ANU80" s="1251"/>
      <c r="ANV80" s="1251"/>
      <c r="ANW80" s="1251"/>
      <c r="ANX80" s="1251"/>
      <c r="ANY80" s="1251"/>
      <c r="ANZ80" s="1251"/>
      <c r="AOA80" s="1251"/>
      <c r="AOB80" s="1251"/>
      <c r="AOC80" s="1251"/>
      <c r="AOD80" s="1251"/>
      <c r="AOE80" s="1251"/>
      <c r="AOF80" s="1251"/>
      <c r="AOG80" s="1251"/>
      <c r="AOH80" s="1251"/>
      <c r="AOI80" s="1251"/>
      <c r="AOJ80" s="1251"/>
      <c r="AOK80" s="1251"/>
      <c r="AOL80" s="1251"/>
      <c r="AOM80" s="1251"/>
      <c r="AON80" s="1251"/>
      <c r="AOO80" s="1251"/>
      <c r="AOP80" s="1251"/>
      <c r="AOQ80" s="1251"/>
      <c r="AOR80" s="1251"/>
      <c r="AOS80" s="1251"/>
      <c r="AOT80" s="1251"/>
      <c r="AOU80" s="1251"/>
      <c r="AOV80" s="1251"/>
      <c r="AOW80" s="1251"/>
      <c r="AOX80" s="1251"/>
      <c r="AOY80" s="1251"/>
      <c r="AOZ80" s="1251"/>
      <c r="APA80" s="1251"/>
      <c r="APB80" s="1251"/>
      <c r="APC80" s="1251"/>
      <c r="APD80" s="1251"/>
      <c r="APE80" s="1251"/>
      <c r="APF80" s="1251"/>
      <c r="APG80" s="1251"/>
      <c r="APH80" s="1251"/>
      <c r="API80" s="1251"/>
      <c r="APJ80" s="1251"/>
      <c r="APK80" s="1251"/>
      <c r="APL80" s="1251"/>
      <c r="APM80" s="1251"/>
      <c r="APN80" s="1251"/>
      <c r="APO80" s="1251"/>
      <c r="APP80" s="1251"/>
      <c r="APQ80" s="1251"/>
      <c r="APR80" s="1251"/>
      <c r="APS80" s="1251"/>
      <c r="APT80" s="1251"/>
      <c r="APU80" s="1251"/>
      <c r="APV80" s="1251"/>
      <c r="APW80" s="1251"/>
      <c r="APX80" s="1251"/>
      <c r="APY80" s="1251"/>
      <c r="APZ80" s="1251"/>
      <c r="AQA80" s="1251"/>
      <c r="AQB80" s="1251"/>
      <c r="AQC80" s="1251"/>
      <c r="AQD80" s="1251"/>
      <c r="AQE80" s="1251"/>
      <c r="AQF80" s="1251"/>
      <c r="AQG80" s="1251"/>
      <c r="AQH80" s="1251"/>
      <c r="AQI80" s="1251"/>
      <c r="AQJ80" s="1251"/>
      <c r="AQK80" s="1251"/>
      <c r="AQL80" s="1251"/>
      <c r="AQM80" s="1251"/>
      <c r="AQN80" s="1251"/>
      <c r="AQO80" s="1251"/>
      <c r="AQP80" s="1251"/>
      <c r="AQQ80" s="1251"/>
      <c r="AQR80" s="1251"/>
      <c r="AQS80" s="1251"/>
      <c r="AQT80" s="1251"/>
      <c r="AQU80" s="1251"/>
      <c r="AQV80" s="1251"/>
      <c r="AQW80" s="1251"/>
      <c r="AQX80" s="1251"/>
      <c r="AQY80" s="1251"/>
      <c r="AQZ80" s="1251"/>
      <c r="ARA80" s="1251"/>
      <c r="ARB80" s="1251"/>
      <c r="ARC80" s="1251"/>
      <c r="ARD80" s="1251"/>
      <c r="ARE80" s="1251"/>
      <c r="ARF80" s="1251"/>
      <c r="ARG80" s="1251"/>
      <c r="ARH80" s="1251"/>
      <c r="ARI80" s="1251"/>
      <c r="ARJ80" s="1251"/>
      <c r="ARK80" s="1251"/>
      <c r="ARL80" s="1251"/>
      <c r="ARM80" s="1251"/>
      <c r="ARN80" s="1251"/>
      <c r="ARO80" s="1251"/>
      <c r="ARP80" s="1251"/>
      <c r="ARQ80" s="1251"/>
      <c r="ARR80" s="1251"/>
      <c r="ARS80" s="1251"/>
      <c r="ART80" s="1251"/>
      <c r="ARU80" s="1251"/>
      <c r="ARV80" s="1251"/>
      <c r="ARW80" s="1251"/>
      <c r="ARX80" s="1251"/>
      <c r="ARY80" s="1251"/>
      <c r="ARZ80" s="1251"/>
      <c r="ASA80" s="1251"/>
      <c r="ASB80" s="1251"/>
      <c r="ASC80" s="1251"/>
      <c r="ASD80" s="1251"/>
      <c r="ASE80" s="1251"/>
      <c r="ASF80" s="1251"/>
      <c r="ASG80" s="1251"/>
      <c r="ASH80" s="1251"/>
      <c r="ASI80" s="1251"/>
      <c r="ASJ80" s="1251"/>
      <c r="ASK80" s="1251"/>
      <c r="ASL80" s="1251"/>
      <c r="ASM80" s="1251"/>
      <c r="ASN80" s="1251"/>
      <c r="ASO80" s="1251"/>
      <c r="ASP80" s="1251"/>
      <c r="ASQ80" s="1251"/>
      <c r="ASR80" s="1251"/>
      <c r="ASS80" s="1251"/>
      <c r="AST80" s="1251"/>
      <c r="ASU80" s="1251"/>
      <c r="ASV80" s="1251"/>
      <c r="ASW80" s="1251"/>
      <c r="ASX80" s="1251"/>
      <c r="ASY80" s="1251"/>
      <c r="ASZ80" s="1251"/>
      <c r="ATA80" s="1251"/>
      <c r="ATB80" s="1251"/>
      <c r="ATC80" s="1251"/>
      <c r="ATD80" s="1251"/>
      <c r="ATE80" s="1251"/>
      <c r="ATF80" s="1251"/>
      <c r="ATG80" s="1251"/>
      <c r="ATH80" s="1251"/>
      <c r="ATI80" s="1251"/>
      <c r="ATJ80" s="1251"/>
      <c r="ATK80" s="1251"/>
      <c r="ATL80" s="1251"/>
      <c r="ATM80" s="1251"/>
      <c r="ATN80" s="1251"/>
      <c r="ATO80" s="1251"/>
      <c r="ATP80" s="1251"/>
      <c r="ATQ80" s="1251"/>
      <c r="ATR80" s="1251"/>
      <c r="ATS80" s="1251"/>
      <c r="ATT80" s="1251"/>
      <c r="ATU80" s="1251"/>
      <c r="ATV80" s="1251"/>
      <c r="ATW80" s="1251"/>
      <c r="ATX80" s="1251"/>
      <c r="ATY80" s="1251"/>
      <c r="ATZ80" s="1251"/>
      <c r="AUA80" s="1251"/>
      <c r="AUB80" s="1251"/>
      <c r="AUC80" s="1251"/>
      <c r="AUD80" s="1251"/>
      <c r="AUE80" s="1251"/>
      <c r="AUF80" s="1251"/>
      <c r="AUG80" s="1251"/>
      <c r="AUH80" s="1251"/>
      <c r="AUI80" s="1251"/>
      <c r="AUJ80" s="1251"/>
      <c r="AUK80" s="1251"/>
      <c r="AUL80" s="1251"/>
      <c r="AUM80" s="1251"/>
      <c r="AUN80" s="1251"/>
      <c r="AUO80" s="1251"/>
      <c r="AUP80" s="1251"/>
      <c r="AUQ80" s="1251"/>
      <c r="AUR80" s="1251"/>
      <c r="AUS80" s="1251"/>
      <c r="AUT80" s="1251"/>
      <c r="AUU80" s="1251"/>
      <c r="AUV80" s="1251"/>
      <c r="AUW80" s="1251"/>
      <c r="AUX80" s="1251"/>
      <c r="AUY80" s="1251"/>
      <c r="AUZ80" s="1251"/>
      <c r="AVA80" s="1251"/>
      <c r="AVB80" s="1251"/>
      <c r="AVC80" s="1251"/>
      <c r="AVD80" s="1251"/>
      <c r="AVE80" s="1251"/>
      <c r="AVF80" s="1251"/>
      <c r="AVG80" s="1251"/>
      <c r="AVH80" s="1251"/>
      <c r="AVI80" s="1251"/>
      <c r="AVJ80" s="1251"/>
      <c r="AVK80" s="1251"/>
      <c r="AVL80" s="1251"/>
      <c r="AVM80" s="1251"/>
      <c r="AVN80" s="1251"/>
      <c r="AVO80" s="1251"/>
      <c r="AVP80" s="1251"/>
      <c r="AVQ80" s="1251"/>
      <c r="AVR80" s="1251"/>
      <c r="AVS80" s="1251"/>
      <c r="AVT80" s="1251"/>
      <c r="AVU80" s="1251"/>
      <c r="AVV80" s="1251"/>
      <c r="AVW80" s="1251"/>
      <c r="AVX80" s="1251"/>
      <c r="AVY80" s="1251"/>
      <c r="AVZ80" s="1251"/>
      <c r="AWA80" s="1251"/>
      <c r="AWB80" s="1251"/>
      <c r="AWC80" s="1251"/>
      <c r="AWD80" s="1251"/>
      <c r="AWE80" s="1251"/>
      <c r="AWF80" s="1251"/>
      <c r="AWG80" s="1251"/>
      <c r="AWH80" s="1251"/>
      <c r="AWI80" s="1251"/>
      <c r="AWJ80" s="1251"/>
      <c r="AWK80" s="1251"/>
      <c r="AWL80" s="1251"/>
      <c r="AWM80" s="1251"/>
      <c r="AWN80" s="1251"/>
      <c r="AWO80" s="1251"/>
      <c r="AWP80" s="1251"/>
      <c r="AWQ80" s="1251"/>
      <c r="AWR80" s="1251"/>
      <c r="AWS80" s="1251"/>
      <c r="AWT80" s="1251"/>
      <c r="AWU80" s="1251"/>
      <c r="AWV80" s="1251"/>
      <c r="AWW80" s="1251"/>
      <c r="AWX80" s="1251"/>
      <c r="AWY80" s="1251"/>
      <c r="AWZ80" s="1251"/>
      <c r="AXA80" s="1251"/>
      <c r="AXB80" s="1251"/>
      <c r="AXC80" s="1251"/>
      <c r="AXD80" s="1251"/>
      <c r="AXE80" s="1251"/>
      <c r="AXF80" s="1251"/>
      <c r="AXG80" s="1251"/>
      <c r="AXH80" s="1251"/>
      <c r="AXI80" s="1251"/>
      <c r="AXJ80" s="1251"/>
      <c r="AXK80" s="1251"/>
      <c r="AXL80" s="1251"/>
      <c r="AXM80" s="1251"/>
      <c r="AXN80" s="1251"/>
      <c r="AXO80" s="1251"/>
      <c r="AXP80" s="1251"/>
      <c r="AXQ80" s="1251"/>
      <c r="AXR80" s="1251"/>
      <c r="AXS80" s="1251"/>
      <c r="AXT80" s="1251"/>
      <c r="AXU80" s="1251"/>
      <c r="AXV80" s="1251"/>
      <c r="AXW80" s="1251"/>
      <c r="AXX80" s="1251"/>
      <c r="AXY80" s="1251"/>
      <c r="AXZ80" s="1251"/>
      <c r="AYA80" s="1251"/>
      <c r="AYB80" s="1251"/>
      <c r="AYC80" s="1251"/>
      <c r="AYD80" s="1251"/>
      <c r="AYE80" s="1251"/>
      <c r="AYF80" s="1251"/>
      <c r="AYG80" s="1251"/>
      <c r="AYH80" s="1251"/>
      <c r="AYI80" s="1251"/>
      <c r="AYJ80" s="1251"/>
      <c r="AYK80" s="1251"/>
      <c r="AYL80" s="1251"/>
      <c r="AYM80" s="1251"/>
      <c r="AYN80" s="1251"/>
      <c r="AYO80" s="1251"/>
      <c r="AYP80" s="1251"/>
      <c r="AYQ80" s="1251"/>
      <c r="AYR80" s="1251"/>
      <c r="AYS80" s="1251"/>
      <c r="AYT80" s="1251"/>
      <c r="AYU80" s="1251"/>
      <c r="AYV80" s="1251"/>
      <c r="AYW80" s="1251"/>
      <c r="AYX80" s="1251"/>
      <c r="AYY80" s="1251"/>
      <c r="AYZ80" s="1251"/>
      <c r="AZA80" s="1251"/>
      <c r="AZB80" s="1251"/>
      <c r="AZC80" s="1251"/>
      <c r="AZD80" s="1251"/>
      <c r="AZE80" s="1251"/>
      <c r="AZF80" s="1251"/>
      <c r="AZG80" s="1251"/>
      <c r="AZH80" s="1251"/>
      <c r="AZI80" s="1251"/>
      <c r="AZJ80" s="1251"/>
      <c r="AZK80" s="1251"/>
      <c r="AZL80" s="1251"/>
      <c r="AZM80" s="1251"/>
      <c r="AZN80" s="1251"/>
      <c r="AZO80" s="1251"/>
      <c r="AZP80" s="1251"/>
      <c r="AZQ80" s="1251"/>
      <c r="AZR80" s="1251"/>
      <c r="AZS80" s="1251"/>
      <c r="AZT80" s="1251"/>
      <c r="AZU80" s="1251"/>
      <c r="AZV80" s="1251"/>
      <c r="AZW80" s="1251"/>
      <c r="AZX80" s="1251"/>
      <c r="AZY80" s="1251"/>
      <c r="AZZ80" s="1251"/>
      <c r="BAA80" s="1251"/>
      <c r="BAB80" s="1251"/>
      <c r="BAC80" s="1251"/>
      <c r="BAD80" s="1251"/>
      <c r="BAE80" s="1251"/>
      <c r="BAF80" s="1251"/>
      <c r="BAG80" s="1251"/>
      <c r="BAH80" s="1251"/>
      <c r="BAI80" s="1251"/>
      <c r="BAJ80" s="1251"/>
      <c r="BAK80" s="1251"/>
      <c r="BAL80" s="1251"/>
      <c r="BAM80" s="1251"/>
      <c r="BAN80" s="1251"/>
      <c r="BAO80" s="1251"/>
      <c r="BAP80" s="1251"/>
      <c r="BAQ80" s="1251"/>
      <c r="BAR80" s="1251"/>
      <c r="BAS80" s="1251"/>
      <c r="BAT80" s="1251"/>
      <c r="BAU80" s="1251"/>
      <c r="BAV80" s="1251"/>
      <c r="BAW80" s="1251"/>
      <c r="BAX80" s="1251"/>
      <c r="BAY80" s="1251"/>
      <c r="BAZ80" s="1251"/>
      <c r="BBA80" s="1251"/>
      <c r="BBB80" s="1251"/>
      <c r="BBC80" s="1251"/>
      <c r="BBD80" s="1251"/>
      <c r="BBE80" s="1251"/>
      <c r="BBF80" s="1251"/>
      <c r="BBG80" s="1251"/>
      <c r="BBH80" s="1251"/>
      <c r="BBI80" s="1251"/>
      <c r="BBJ80" s="1251"/>
      <c r="BBK80" s="1251"/>
      <c r="BBL80" s="1251"/>
      <c r="BBM80" s="1251"/>
      <c r="BBN80" s="1251"/>
      <c r="BBO80" s="1251"/>
      <c r="BBP80" s="1251"/>
      <c r="BBQ80" s="1251"/>
      <c r="BBR80" s="1251"/>
      <c r="BBS80" s="1251"/>
      <c r="BBT80" s="1251"/>
      <c r="BBU80" s="1251"/>
      <c r="BBV80" s="1251"/>
      <c r="BBW80" s="1251"/>
      <c r="BBX80" s="1251"/>
      <c r="BBY80" s="1251"/>
      <c r="BBZ80" s="1251"/>
      <c r="BCA80" s="1251"/>
      <c r="BCB80" s="1251"/>
      <c r="BCC80" s="1251"/>
      <c r="BCD80" s="1251"/>
      <c r="BCE80" s="1251"/>
      <c r="BCF80" s="1251"/>
      <c r="BCG80" s="1251"/>
      <c r="BCH80" s="1251"/>
      <c r="BCI80" s="1251"/>
      <c r="BCJ80" s="1251"/>
      <c r="BCK80" s="1251"/>
      <c r="BCL80" s="1251"/>
      <c r="BCM80" s="1251"/>
      <c r="BCN80" s="1251"/>
      <c r="BCO80" s="1251"/>
      <c r="BCP80" s="1251"/>
      <c r="BCQ80" s="1251"/>
      <c r="BCR80" s="1251"/>
      <c r="BCS80" s="1251"/>
      <c r="BCT80" s="1251"/>
      <c r="BCU80" s="1251"/>
      <c r="BCV80" s="1251"/>
      <c r="BCW80" s="1251"/>
      <c r="BCX80" s="1251"/>
      <c r="BCY80" s="1251"/>
      <c r="BCZ80" s="1251"/>
      <c r="BDA80" s="1251"/>
      <c r="BDB80" s="1251"/>
      <c r="BDC80" s="1251"/>
      <c r="BDD80" s="1251"/>
      <c r="BDE80" s="1251"/>
      <c r="BDF80" s="1251"/>
      <c r="BDG80" s="1251"/>
      <c r="BDH80" s="1251"/>
      <c r="BDI80" s="1251"/>
      <c r="BDJ80" s="1251"/>
      <c r="BDK80" s="1251"/>
      <c r="BDL80" s="1251"/>
      <c r="BDM80" s="1251"/>
      <c r="BDN80" s="1251"/>
      <c r="BDO80" s="1251"/>
      <c r="BDP80" s="1251"/>
      <c r="BDQ80" s="1251"/>
      <c r="BDR80" s="1251"/>
      <c r="BDS80" s="1251"/>
      <c r="BDT80" s="1251"/>
      <c r="BDU80" s="1251"/>
      <c r="BDV80" s="1251"/>
      <c r="BDW80" s="1251"/>
      <c r="BDX80" s="1251"/>
      <c r="BDY80" s="1251"/>
      <c r="BDZ80" s="1251"/>
      <c r="BEA80" s="1251"/>
      <c r="BEB80" s="1251"/>
      <c r="BEC80" s="1251"/>
      <c r="BED80" s="1251"/>
      <c r="BEE80" s="1251"/>
      <c r="BEF80" s="1251"/>
      <c r="BEG80" s="1251"/>
      <c r="BEH80" s="1251"/>
      <c r="BEI80" s="1251"/>
      <c r="BEJ80" s="1251"/>
      <c r="BEK80" s="1251"/>
      <c r="BEL80" s="1251"/>
      <c r="BEM80" s="1251"/>
      <c r="BEN80" s="1251"/>
      <c r="BEO80" s="1251"/>
      <c r="BEP80" s="1251"/>
      <c r="BEQ80" s="1251"/>
      <c r="BER80" s="1251"/>
      <c r="BES80" s="1251"/>
      <c r="BET80" s="1251"/>
      <c r="BEU80" s="1251"/>
      <c r="BEV80" s="1251"/>
      <c r="BEW80" s="1251"/>
      <c r="BEX80" s="1251"/>
      <c r="BEY80" s="1251"/>
      <c r="BEZ80" s="1251"/>
      <c r="BFA80" s="1251"/>
      <c r="BFB80" s="1251"/>
      <c r="BFC80" s="1251"/>
      <c r="BFD80" s="1251"/>
      <c r="BFE80" s="1251"/>
      <c r="BFF80" s="1251"/>
      <c r="BFG80" s="1251"/>
      <c r="BFH80" s="1251"/>
      <c r="BFI80" s="1251"/>
      <c r="BFJ80" s="1251"/>
      <c r="BFK80" s="1251"/>
      <c r="BFL80" s="1251"/>
      <c r="BFM80" s="1251"/>
      <c r="BFN80" s="1251"/>
      <c r="BFO80" s="1251"/>
      <c r="BFP80" s="1251"/>
      <c r="BFQ80" s="1251"/>
      <c r="BFR80" s="1251"/>
      <c r="BFS80" s="1251"/>
      <c r="BFT80" s="1251"/>
      <c r="BFU80" s="1251"/>
      <c r="BFV80" s="1251"/>
      <c r="BFW80" s="1251"/>
      <c r="BFX80" s="1251"/>
      <c r="BFY80" s="1251"/>
      <c r="BFZ80" s="1251"/>
      <c r="BGA80" s="1251"/>
      <c r="BGB80" s="1251"/>
      <c r="BGC80" s="1251"/>
      <c r="BGD80" s="1251"/>
      <c r="BGE80" s="1251"/>
      <c r="BGF80" s="1251"/>
      <c r="BGG80" s="1251"/>
      <c r="BGH80" s="1251"/>
      <c r="BGI80" s="1251"/>
      <c r="BGJ80" s="1251"/>
      <c r="BGK80" s="1251"/>
      <c r="BGL80" s="1251"/>
      <c r="BGM80" s="1251"/>
      <c r="BGN80" s="1251"/>
      <c r="BGO80" s="1251"/>
      <c r="BGP80" s="1251"/>
      <c r="BGQ80" s="1251"/>
      <c r="BGR80" s="1251"/>
      <c r="BGS80" s="1251"/>
      <c r="BGT80" s="1251"/>
      <c r="BGU80" s="1251"/>
      <c r="BGV80" s="1251"/>
      <c r="BGW80" s="1251"/>
      <c r="BGX80" s="1251"/>
      <c r="BGY80" s="1251"/>
      <c r="BGZ80" s="1251"/>
      <c r="BHA80" s="1251"/>
      <c r="BHB80" s="1251"/>
      <c r="BHC80" s="1251"/>
      <c r="BHD80" s="1251"/>
      <c r="BHE80" s="1251"/>
      <c r="BHF80" s="1251"/>
      <c r="BHG80" s="1251"/>
      <c r="BHH80" s="1251"/>
      <c r="BHI80" s="1251"/>
      <c r="BHJ80" s="1251"/>
      <c r="BHK80" s="1251"/>
      <c r="BHL80" s="1251"/>
      <c r="BHM80" s="1251"/>
      <c r="BHN80" s="1251"/>
      <c r="BHO80" s="1251"/>
      <c r="BHP80" s="1251"/>
      <c r="BHQ80" s="1251"/>
      <c r="BHR80" s="1251"/>
      <c r="BHS80" s="1251"/>
      <c r="BHT80" s="1251"/>
      <c r="BHU80" s="1251"/>
      <c r="BHV80" s="1251"/>
      <c r="BHW80" s="1251"/>
      <c r="BHX80" s="1251"/>
      <c r="BHY80" s="1251"/>
      <c r="BHZ80" s="1251"/>
      <c r="BIA80" s="1251"/>
      <c r="BIB80" s="1251"/>
      <c r="BIC80" s="1251"/>
      <c r="BID80" s="1251"/>
      <c r="BIE80" s="1251"/>
      <c r="BIF80" s="1251"/>
      <c r="BIG80" s="1251"/>
      <c r="BIH80" s="1251"/>
      <c r="BII80" s="1251"/>
      <c r="BIJ80" s="1251"/>
      <c r="BIK80" s="1251"/>
      <c r="BIL80" s="1251"/>
      <c r="BIM80" s="1251"/>
      <c r="BIN80" s="1251"/>
      <c r="BIO80" s="1251"/>
      <c r="BIP80" s="1251"/>
      <c r="BIQ80" s="1251"/>
      <c r="BIR80" s="1251"/>
      <c r="BIS80" s="1251"/>
      <c r="BIT80" s="1251"/>
      <c r="BIU80" s="1251"/>
      <c r="BIV80" s="1251"/>
      <c r="BIW80" s="1251"/>
      <c r="BIX80" s="1251"/>
      <c r="BIY80" s="1251"/>
      <c r="BIZ80" s="1251"/>
      <c r="BJA80" s="1251"/>
      <c r="BJB80" s="1251"/>
      <c r="BJC80" s="1251"/>
      <c r="BJD80" s="1251"/>
      <c r="BJE80" s="1251"/>
      <c r="BJF80" s="1251"/>
      <c r="BJG80" s="1251"/>
      <c r="BJH80" s="1251"/>
      <c r="BJI80" s="1251"/>
      <c r="BJJ80" s="1251"/>
      <c r="BJK80" s="1251"/>
      <c r="BJL80" s="1251"/>
      <c r="BJM80" s="1251"/>
      <c r="BJN80" s="1251"/>
      <c r="BJO80" s="1251"/>
      <c r="BJP80" s="1251"/>
      <c r="BJQ80" s="1251"/>
      <c r="BJR80" s="1251"/>
      <c r="BJS80" s="1251"/>
      <c r="BJT80" s="1251"/>
      <c r="BJU80" s="1251"/>
      <c r="BJV80" s="1251"/>
      <c r="BJW80" s="1251"/>
      <c r="BJX80" s="1251"/>
      <c r="BJY80" s="1251"/>
      <c r="BJZ80" s="1251"/>
      <c r="BKA80" s="1251"/>
      <c r="BKB80" s="1251"/>
      <c r="BKC80" s="1251"/>
      <c r="BKD80" s="1251"/>
      <c r="BKE80" s="1251"/>
      <c r="BKF80" s="1251"/>
      <c r="BKG80" s="1251"/>
      <c r="BKH80" s="1251"/>
      <c r="BKI80" s="1251"/>
      <c r="BKJ80" s="1251"/>
      <c r="BKK80" s="1251"/>
      <c r="BKL80" s="1251"/>
      <c r="BKM80" s="1251"/>
      <c r="BKN80" s="1251"/>
      <c r="BKO80" s="1251"/>
      <c r="BKP80" s="1251"/>
      <c r="BKQ80" s="1251"/>
      <c r="BKR80" s="1251"/>
      <c r="BKS80" s="1251"/>
      <c r="BKT80" s="1251"/>
      <c r="BKU80" s="1251"/>
      <c r="BKV80" s="1251"/>
      <c r="BKW80" s="1251"/>
      <c r="BKX80" s="1251"/>
      <c r="BKY80" s="1251"/>
      <c r="BKZ80" s="1251"/>
      <c r="BLA80" s="1251"/>
      <c r="BLB80" s="1251"/>
      <c r="BLC80" s="1251"/>
      <c r="BLD80" s="1251"/>
      <c r="BLE80" s="1251"/>
      <c r="BLF80" s="1251"/>
      <c r="BLG80" s="1251"/>
      <c r="BLH80" s="1251"/>
      <c r="BLI80" s="1251"/>
      <c r="BLJ80" s="1251"/>
      <c r="BLK80" s="1251"/>
      <c r="BLL80" s="1251"/>
      <c r="BLM80" s="1251"/>
      <c r="BLN80" s="1251"/>
      <c r="BLO80" s="1251"/>
      <c r="BLP80" s="1251"/>
      <c r="BLQ80" s="1251"/>
      <c r="BLR80" s="1251"/>
      <c r="BLS80" s="1251"/>
      <c r="BLT80" s="1251"/>
      <c r="BLU80" s="1251"/>
      <c r="BLV80" s="1251"/>
      <c r="BLW80" s="1251"/>
      <c r="BLX80" s="1251"/>
      <c r="BLY80" s="1251"/>
      <c r="BLZ80" s="1251"/>
      <c r="BMA80" s="1251"/>
      <c r="BMB80" s="1251"/>
      <c r="BMC80" s="1251"/>
      <c r="BMD80" s="1251"/>
      <c r="BME80" s="1251"/>
      <c r="BMF80" s="1251"/>
      <c r="BMG80" s="1251"/>
      <c r="BMH80" s="1251"/>
      <c r="BMI80" s="1251"/>
      <c r="BMJ80" s="1251"/>
      <c r="BMK80" s="1251"/>
      <c r="BML80" s="1251"/>
      <c r="BMM80" s="1251"/>
      <c r="BMN80" s="1251"/>
      <c r="BMO80" s="1251"/>
      <c r="BMP80" s="1251"/>
      <c r="BMQ80" s="1251"/>
      <c r="BMR80" s="1251"/>
      <c r="BMS80" s="1251"/>
      <c r="BMT80" s="1251"/>
      <c r="BMU80" s="1251"/>
      <c r="BMV80" s="1251"/>
      <c r="BMW80" s="1251"/>
      <c r="BMX80" s="1251"/>
      <c r="BMY80" s="1251"/>
      <c r="BMZ80" s="1251"/>
      <c r="BNA80" s="1251"/>
      <c r="BNB80" s="1251"/>
      <c r="BNC80" s="1251"/>
      <c r="BND80" s="1251"/>
      <c r="BNE80" s="1251"/>
      <c r="BNF80" s="1251"/>
      <c r="BNG80" s="1251"/>
      <c r="BNH80" s="1251"/>
      <c r="BNI80" s="1251"/>
      <c r="BNJ80" s="1251"/>
      <c r="BNK80" s="1251"/>
      <c r="BNL80" s="1251"/>
      <c r="BNM80" s="1251"/>
      <c r="BNN80" s="1251"/>
      <c r="BNO80" s="1251"/>
      <c r="BNP80" s="1251"/>
      <c r="BNQ80" s="1251"/>
      <c r="BNR80" s="1251"/>
      <c r="BNS80" s="1251"/>
      <c r="BNT80" s="1251"/>
      <c r="BNU80" s="1251"/>
      <c r="BNV80" s="1251"/>
      <c r="BNW80" s="1251"/>
      <c r="BNX80" s="1251"/>
      <c r="BNY80" s="1251"/>
      <c r="BNZ80" s="1251"/>
      <c r="BOA80" s="1251"/>
      <c r="BOB80" s="1251"/>
      <c r="BOC80" s="1251"/>
      <c r="BOD80" s="1251"/>
      <c r="BOE80" s="1251"/>
      <c r="BOF80" s="1251"/>
      <c r="BOG80" s="1251"/>
      <c r="BOH80" s="1251"/>
      <c r="BOI80" s="1251"/>
      <c r="BOJ80" s="1251"/>
      <c r="BOK80" s="1251"/>
      <c r="BOL80" s="1251"/>
      <c r="BOM80" s="1251"/>
      <c r="BON80" s="1251"/>
      <c r="BOO80" s="1251"/>
      <c r="BOP80" s="1251"/>
      <c r="BOQ80" s="1251"/>
      <c r="BOR80" s="1251"/>
      <c r="BOS80" s="1251"/>
      <c r="BOT80" s="1251"/>
      <c r="BOU80" s="1251"/>
      <c r="BOV80" s="1251"/>
      <c r="BOW80" s="1251"/>
      <c r="BOX80" s="1251"/>
      <c r="BOY80" s="1251"/>
      <c r="BOZ80" s="1251"/>
      <c r="BPA80" s="1251"/>
      <c r="BPB80" s="1251"/>
      <c r="BPC80" s="1251"/>
      <c r="BPD80" s="1251"/>
      <c r="BPE80" s="1251"/>
      <c r="BPF80" s="1251"/>
      <c r="BPG80" s="1251"/>
      <c r="BPH80" s="1251"/>
      <c r="BPI80" s="1251"/>
      <c r="BPJ80" s="1251"/>
      <c r="BPK80" s="1251"/>
      <c r="BPL80" s="1251"/>
      <c r="BPM80" s="1251"/>
      <c r="BPN80" s="1251"/>
      <c r="BPO80" s="1251"/>
      <c r="BPP80" s="1251"/>
      <c r="BPQ80" s="1251"/>
      <c r="BPR80" s="1251"/>
      <c r="BPS80" s="1251"/>
      <c r="BPT80" s="1251"/>
      <c r="BPU80" s="1251"/>
      <c r="BPV80" s="1251"/>
      <c r="BPW80" s="1251"/>
      <c r="BPX80" s="1251"/>
      <c r="BPY80" s="1251"/>
      <c r="BPZ80" s="1251"/>
      <c r="BQA80" s="1251"/>
      <c r="BQB80" s="1251"/>
      <c r="BQC80" s="1251"/>
      <c r="BQD80" s="1251"/>
      <c r="BQE80" s="1251"/>
      <c r="BQF80" s="1251"/>
      <c r="BQG80" s="1251"/>
      <c r="BQH80" s="1251"/>
      <c r="BQI80" s="1251"/>
      <c r="BQJ80" s="1251"/>
      <c r="BQK80" s="1251"/>
      <c r="BQL80" s="1251"/>
      <c r="BQM80" s="1251"/>
      <c r="BQN80" s="1251"/>
      <c r="BQO80" s="1251"/>
      <c r="BQP80" s="1251"/>
      <c r="BQQ80" s="1251"/>
      <c r="BQR80" s="1251"/>
      <c r="BQS80" s="1251"/>
      <c r="BQT80" s="1251"/>
      <c r="BQU80" s="1251"/>
      <c r="BQV80" s="1251"/>
      <c r="BQW80" s="1251"/>
      <c r="BQX80" s="1251"/>
      <c r="BQY80" s="1251"/>
      <c r="BQZ80" s="1251"/>
      <c r="BRA80" s="1251"/>
      <c r="BRB80" s="1251"/>
      <c r="BRC80" s="1251"/>
      <c r="BRD80" s="1251"/>
      <c r="BRE80" s="1251"/>
      <c r="BRF80" s="1251"/>
      <c r="BRG80" s="1251"/>
      <c r="BRH80" s="1251"/>
      <c r="BRI80" s="1251"/>
      <c r="BRJ80" s="1251"/>
      <c r="BRK80" s="1251"/>
      <c r="BRL80" s="1251"/>
      <c r="BRM80" s="1251"/>
      <c r="BRN80" s="1251"/>
      <c r="BRO80" s="1251"/>
      <c r="BRP80" s="1251"/>
      <c r="BRQ80" s="1251"/>
      <c r="BRR80" s="1251"/>
      <c r="BRS80" s="1251"/>
      <c r="BRT80" s="1251"/>
      <c r="BRU80" s="1251"/>
      <c r="BRV80" s="1251"/>
      <c r="BRW80" s="1251"/>
      <c r="BRX80" s="1251"/>
      <c r="BRY80" s="1251"/>
      <c r="BRZ80" s="1251"/>
      <c r="BSA80" s="1251"/>
      <c r="BSB80" s="1251"/>
      <c r="BSC80" s="1251"/>
      <c r="BSD80" s="1251"/>
      <c r="BSE80" s="1251"/>
      <c r="BSF80" s="1251"/>
      <c r="BSG80" s="1251"/>
      <c r="BSH80" s="1251"/>
      <c r="BSI80" s="1251"/>
      <c r="BSJ80" s="1251"/>
      <c r="BSK80" s="1251"/>
      <c r="BSL80" s="1251"/>
      <c r="BSM80" s="1251"/>
      <c r="BSN80" s="1251"/>
      <c r="BSO80" s="1251"/>
      <c r="BSP80" s="1251"/>
      <c r="BSQ80" s="1251"/>
      <c r="BSR80" s="1251"/>
      <c r="BSS80" s="1251"/>
      <c r="BST80" s="1251"/>
      <c r="BSU80" s="1251"/>
      <c r="BSV80" s="1251"/>
      <c r="BSW80" s="1251"/>
      <c r="BSX80" s="1251"/>
      <c r="BSY80" s="1251"/>
      <c r="BSZ80" s="1251"/>
      <c r="BTA80" s="1251"/>
      <c r="BTB80" s="1251"/>
      <c r="BTC80" s="1251"/>
      <c r="BTD80" s="1251"/>
      <c r="BTE80" s="1251"/>
      <c r="BTF80" s="1251"/>
      <c r="BTG80" s="1251"/>
      <c r="BTH80" s="1251"/>
      <c r="BTI80" s="1251"/>
    </row>
    <row r="81" spans="1:1881" s="1261" customFormat="1" ht="54" hidden="1" customHeight="1" thickBot="1" x14ac:dyDescent="0.35">
      <c r="A81" s="1248">
        <v>17</v>
      </c>
      <c r="B81" s="593" t="s">
        <v>60</v>
      </c>
      <c r="C81" s="593" t="s">
        <v>152</v>
      </c>
      <c r="D81" s="29" t="s">
        <v>1373</v>
      </c>
      <c r="E81" s="1249" t="e">
        <f>HLOOKUP($D$2,'2020 Data(H)'!$C$1:$CZ$426,13,FALSE)</f>
        <v>#N/A</v>
      </c>
      <c r="F81" s="1263">
        <v>0</v>
      </c>
      <c r="G81" s="727"/>
      <c r="H81" s="17"/>
      <c r="I81" s="760"/>
      <c r="J81" s="1251"/>
      <c r="K81" s="1251"/>
      <c r="L81" s="701"/>
      <c r="M81" s="1251"/>
      <c r="N81" s="1253"/>
      <c r="O81" s="1251"/>
      <c r="P81" s="1251"/>
      <c r="Q81" s="1251"/>
      <c r="R81" s="1251"/>
      <c r="S81" s="1251"/>
      <c r="T81" s="1251"/>
      <c r="U81" s="1251"/>
      <c r="V81" s="1251"/>
      <c r="W81" s="1251"/>
      <c r="X81" s="1251"/>
      <c r="Y81" s="1251"/>
      <c r="Z81" s="1248"/>
      <c r="AA81" s="1248"/>
      <c r="AB81" s="1248"/>
      <c r="AC81" s="1248"/>
      <c r="AD81" s="1248"/>
      <c r="AE81" s="1248"/>
      <c r="AF81" s="1248"/>
      <c r="AG81" s="1248"/>
      <c r="AH81" s="1248"/>
      <c r="AI81" s="1248"/>
      <c r="AJ81" s="1248"/>
      <c r="AK81" s="1248"/>
      <c r="AL81" s="1248"/>
      <c r="AM81" s="1248"/>
      <c r="AN81" s="1248"/>
      <c r="AO81" s="1248"/>
      <c r="AP81" s="1248"/>
      <c r="AQ81" s="1248"/>
      <c r="AR81" s="1248"/>
      <c r="AS81" s="1251"/>
      <c r="AT81" s="1251"/>
      <c r="AU81" s="1251"/>
      <c r="AV81" s="1251"/>
      <c r="AW81" s="1251"/>
      <c r="AX81" s="1251"/>
      <c r="AY81" s="1251"/>
      <c r="AZ81" s="1251"/>
      <c r="BA81" s="1251"/>
      <c r="BB81" s="1251"/>
      <c r="BC81" s="1251"/>
      <c r="BD81" s="1251"/>
      <c r="BE81" s="1251"/>
      <c r="BF81" s="1251"/>
      <c r="BG81" s="1251"/>
      <c r="BH81" s="1251"/>
      <c r="BI81" s="1251"/>
      <c r="BJ81" s="1251"/>
      <c r="BK81" s="1251"/>
      <c r="BL81" s="1251"/>
      <c r="BM81" s="1251"/>
      <c r="BN81" s="1251"/>
      <c r="BO81" s="1251"/>
      <c r="BP81" s="1251"/>
      <c r="BQ81" s="1251"/>
      <c r="BR81" s="1251"/>
      <c r="BS81" s="1251"/>
      <c r="BT81" s="1251"/>
      <c r="BU81" s="1251"/>
      <c r="BV81" s="1251"/>
      <c r="BW81" s="1251"/>
      <c r="BX81" s="1251"/>
      <c r="BY81" s="1251"/>
      <c r="BZ81" s="1251"/>
      <c r="CA81" s="1251"/>
      <c r="CB81" s="1251"/>
      <c r="CC81" s="1251"/>
      <c r="CD81" s="1251"/>
      <c r="CE81" s="1251"/>
      <c r="CF81" s="1251"/>
      <c r="CG81" s="1251"/>
      <c r="CH81" s="1251"/>
      <c r="CI81" s="1251"/>
      <c r="CJ81" s="1251"/>
      <c r="CK81" s="1251"/>
      <c r="CL81" s="1251"/>
      <c r="CM81" s="1251"/>
      <c r="CN81" s="1251"/>
      <c r="CO81" s="1251"/>
      <c r="CP81" s="1251"/>
      <c r="CQ81" s="1251"/>
      <c r="CR81" s="1251"/>
      <c r="CS81" s="1251"/>
      <c r="CT81" s="1251"/>
      <c r="CU81" s="1251"/>
      <c r="CV81" s="1251"/>
      <c r="CW81" s="1251"/>
      <c r="CX81" s="1251"/>
      <c r="CY81" s="1251"/>
      <c r="CZ81" s="1251"/>
      <c r="DA81" s="1251"/>
      <c r="DB81" s="1251"/>
      <c r="DC81" s="1251"/>
      <c r="DD81" s="1251"/>
      <c r="DE81" s="1251"/>
      <c r="DF81" s="1251"/>
      <c r="DG81" s="1251"/>
      <c r="DH81" s="1251"/>
      <c r="DI81" s="1251"/>
      <c r="DJ81" s="1251"/>
      <c r="DK81" s="1251"/>
      <c r="DL81" s="1251"/>
      <c r="DM81" s="1251"/>
      <c r="DN81" s="1251"/>
      <c r="DO81" s="1251"/>
      <c r="DP81" s="1251"/>
      <c r="DQ81" s="1251"/>
      <c r="DR81" s="1251"/>
      <c r="DS81" s="1251"/>
      <c r="DT81" s="1251"/>
      <c r="DU81" s="1251"/>
      <c r="DV81" s="1251"/>
      <c r="DW81" s="1251"/>
      <c r="DX81" s="1251"/>
      <c r="DY81" s="1251"/>
      <c r="DZ81" s="1251"/>
      <c r="EA81" s="1251"/>
      <c r="EB81" s="1251"/>
      <c r="EC81" s="1251"/>
      <c r="ED81" s="1251"/>
      <c r="EE81" s="1251"/>
      <c r="EF81" s="1251"/>
      <c r="EG81" s="1251"/>
      <c r="EH81" s="1251"/>
      <c r="EI81" s="1251"/>
      <c r="EJ81" s="1251"/>
      <c r="EK81" s="1251"/>
      <c r="EL81" s="1251"/>
      <c r="EM81" s="1251"/>
      <c r="EN81" s="1251"/>
      <c r="EO81" s="1251"/>
      <c r="EP81" s="1251"/>
      <c r="EQ81" s="1251"/>
      <c r="ER81" s="1251"/>
      <c r="ES81" s="1251"/>
      <c r="ET81" s="1251"/>
      <c r="EU81" s="1251"/>
      <c r="EV81" s="1251"/>
      <c r="EW81" s="1251"/>
      <c r="EX81" s="1251"/>
      <c r="EY81" s="1251"/>
      <c r="EZ81" s="1251"/>
      <c r="FA81" s="1251"/>
      <c r="FB81" s="1251"/>
      <c r="FC81" s="1251"/>
      <c r="FD81" s="1251"/>
      <c r="FE81" s="1251"/>
      <c r="FF81" s="1251"/>
      <c r="FG81" s="1251"/>
      <c r="FH81" s="1251"/>
      <c r="FI81" s="1251"/>
      <c r="FJ81" s="1251"/>
      <c r="FK81" s="1251"/>
      <c r="FL81" s="1251"/>
      <c r="FM81" s="1251"/>
      <c r="FN81" s="1251"/>
      <c r="FO81" s="1251"/>
      <c r="FP81" s="1251"/>
      <c r="FQ81" s="1251"/>
      <c r="FR81" s="1251"/>
      <c r="FS81" s="1251"/>
      <c r="FT81" s="1251"/>
      <c r="FU81" s="1251"/>
      <c r="FV81" s="1251"/>
      <c r="FW81" s="1251"/>
      <c r="FX81" s="1251"/>
      <c r="FY81" s="1251"/>
      <c r="FZ81" s="1251"/>
      <c r="GA81" s="1251"/>
      <c r="GB81" s="1251"/>
      <c r="GC81" s="1251"/>
      <c r="GD81" s="1251"/>
      <c r="GE81" s="1251"/>
      <c r="GF81" s="1251"/>
      <c r="GG81" s="1251"/>
      <c r="GH81" s="1251"/>
      <c r="GI81" s="1251"/>
      <c r="GJ81" s="1251"/>
      <c r="GK81" s="1251"/>
      <c r="GL81" s="1251"/>
      <c r="GM81" s="1251"/>
      <c r="GN81" s="1251"/>
      <c r="GO81" s="1251"/>
      <c r="GP81" s="1251"/>
      <c r="GQ81" s="1251"/>
      <c r="GR81" s="1251"/>
      <c r="GS81" s="1251"/>
      <c r="GT81" s="1251"/>
      <c r="GU81" s="1251"/>
      <c r="GV81" s="1251"/>
      <c r="GW81" s="1251"/>
      <c r="GX81" s="1251"/>
      <c r="GY81" s="1251"/>
      <c r="GZ81" s="1251"/>
      <c r="HA81" s="1251"/>
      <c r="HB81" s="1251"/>
      <c r="HC81" s="1251"/>
      <c r="HD81" s="1251"/>
      <c r="HE81" s="1251"/>
      <c r="HF81" s="1251"/>
      <c r="HG81" s="1251"/>
      <c r="HH81" s="1251"/>
      <c r="HI81" s="1251"/>
      <c r="HJ81" s="1251"/>
      <c r="HK81" s="1251"/>
      <c r="HL81" s="1251"/>
      <c r="HM81" s="1251"/>
      <c r="HN81" s="1251"/>
      <c r="HO81" s="1251"/>
      <c r="HP81" s="1251"/>
      <c r="HQ81" s="1251"/>
      <c r="HR81" s="1251"/>
      <c r="HS81" s="1251"/>
      <c r="HT81" s="1251"/>
      <c r="HU81" s="1251"/>
      <c r="HV81" s="1251"/>
      <c r="HW81" s="1251"/>
      <c r="HX81" s="1251"/>
      <c r="HY81" s="1251"/>
      <c r="HZ81" s="1251"/>
      <c r="IA81" s="1251"/>
      <c r="IB81" s="1251"/>
      <c r="IC81" s="1251"/>
      <c r="ID81" s="1251"/>
      <c r="IE81" s="1251"/>
      <c r="IF81" s="1251"/>
      <c r="IG81" s="1251"/>
      <c r="IH81" s="1251"/>
      <c r="II81" s="1251"/>
      <c r="IJ81" s="1251"/>
      <c r="IK81" s="1251"/>
      <c r="IL81" s="1251"/>
      <c r="IM81" s="1251"/>
      <c r="IN81" s="1251"/>
      <c r="IO81" s="1251"/>
      <c r="IP81" s="1251"/>
      <c r="IQ81" s="1251"/>
      <c r="IR81" s="1251"/>
      <c r="IS81" s="1251"/>
      <c r="IT81" s="1251"/>
      <c r="IU81" s="1251"/>
      <c r="IV81" s="1251"/>
      <c r="IW81" s="1251"/>
      <c r="IX81" s="1251"/>
      <c r="IY81" s="1251"/>
      <c r="IZ81" s="1251"/>
      <c r="JA81" s="1251"/>
      <c r="JB81" s="1251"/>
      <c r="JC81" s="1251"/>
      <c r="JD81" s="1251"/>
      <c r="JE81" s="1251"/>
      <c r="JF81" s="1251"/>
      <c r="JG81" s="1251"/>
      <c r="JH81" s="1251"/>
      <c r="JI81" s="1251"/>
      <c r="JJ81" s="1251"/>
      <c r="JK81" s="1251"/>
      <c r="JL81" s="1251"/>
      <c r="JM81" s="1251"/>
      <c r="JN81" s="1251"/>
      <c r="JO81" s="1251"/>
      <c r="JP81" s="1251"/>
      <c r="JQ81" s="1251"/>
      <c r="JR81" s="1251"/>
      <c r="JS81" s="1251"/>
      <c r="JT81" s="1251"/>
      <c r="JU81" s="1251"/>
      <c r="JV81" s="1251"/>
      <c r="JW81" s="1251"/>
      <c r="JX81" s="1251"/>
      <c r="JY81" s="1251"/>
      <c r="JZ81" s="1251"/>
      <c r="KA81" s="1251"/>
      <c r="KB81" s="1251"/>
      <c r="KC81" s="1251"/>
      <c r="KD81" s="1251"/>
      <c r="KE81" s="1251"/>
      <c r="KF81" s="1251"/>
      <c r="KG81" s="1251"/>
      <c r="KH81" s="1251"/>
      <c r="KI81" s="1251"/>
      <c r="KJ81" s="1251"/>
      <c r="KK81" s="1251"/>
      <c r="KL81" s="1251"/>
      <c r="KM81" s="1251"/>
      <c r="KN81" s="1251"/>
      <c r="KO81" s="1251"/>
      <c r="KP81" s="1251"/>
      <c r="KQ81" s="1251"/>
      <c r="KR81" s="1251"/>
      <c r="KS81" s="1251"/>
      <c r="KT81" s="1251"/>
      <c r="KU81" s="1251"/>
      <c r="KV81" s="1251"/>
      <c r="KW81" s="1251"/>
      <c r="KX81" s="1251"/>
      <c r="KY81" s="1251"/>
      <c r="KZ81" s="1251"/>
      <c r="LA81" s="1251"/>
      <c r="LB81" s="1251"/>
      <c r="LC81" s="1251"/>
      <c r="LD81" s="1251"/>
      <c r="LE81" s="1251"/>
      <c r="LF81" s="1251"/>
      <c r="LG81" s="1251"/>
      <c r="LH81" s="1251"/>
      <c r="LI81" s="1251"/>
      <c r="LJ81" s="1251"/>
      <c r="LK81" s="1251"/>
      <c r="LL81" s="1251"/>
      <c r="LM81" s="1251"/>
      <c r="LN81" s="1251"/>
      <c r="LO81" s="1251"/>
      <c r="LP81" s="1251"/>
      <c r="LQ81" s="1251"/>
      <c r="LR81" s="1251"/>
      <c r="LS81" s="1251"/>
      <c r="LT81" s="1251"/>
      <c r="LU81" s="1251"/>
      <c r="LV81" s="1251"/>
      <c r="LW81" s="1251"/>
      <c r="LX81" s="1251"/>
      <c r="LY81" s="1251"/>
      <c r="LZ81" s="1251"/>
      <c r="MA81" s="1251"/>
      <c r="MB81" s="1251"/>
      <c r="MC81" s="1251"/>
      <c r="MD81" s="1251"/>
      <c r="ME81" s="1251"/>
      <c r="MF81" s="1251"/>
      <c r="MG81" s="1251"/>
      <c r="MH81" s="1251"/>
      <c r="MI81" s="1251"/>
      <c r="MJ81" s="1251"/>
      <c r="MK81" s="1251"/>
      <c r="ML81" s="1251"/>
      <c r="MM81" s="1251"/>
      <c r="MN81" s="1251"/>
      <c r="MO81" s="1251"/>
      <c r="MP81" s="1251"/>
      <c r="MQ81" s="1251"/>
      <c r="MR81" s="1251"/>
      <c r="MS81" s="1251"/>
      <c r="MT81" s="1251"/>
      <c r="MU81" s="1251"/>
      <c r="MV81" s="1251"/>
      <c r="MW81" s="1251"/>
      <c r="MX81" s="1251"/>
      <c r="MY81" s="1251"/>
      <c r="MZ81" s="1251"/>
      <c r="NA81" s="1251"/>
      <c r="NB81" s="1251"/>
      <c r="NC81" s="1251"/>
      <c r="ND81" s="1251"/>
      <c r="NE81" s="1251"/>
      <c r="NF81" s="1251"/>
      <c r="NG81" s="1251"/>
      <c r="NH81" s="1251"/>
      <c r="NI81" s="1251"/>
      <c r="NJ81" s="1251"/>
      <c r="NK81" s="1251"/>
      <c r="NL81" s="1251"/>
      <c r="NM81" s="1251"/>
      <c r="NN81" s="1251"/>
      <c r="NO81" s="1251"/>
      <c r="NP81" s="1251"/>
      <c r="NQ81" s="1251"/>
      <c r="NR81" s="1251"/>
      <c r="NS81" s="1251"/>
      <c r="NT81" s="1251"/>
      <c r="NU81" s="1251"/>
      <c r="NV81" s="1251"/>
      <c r="NW81" s="1251"/>
      <c r="NX81" s="1251"/>
      <c r="NY81" s="1251"/>
      <c r="NZ81" s="1251"/>
      <c r="OA81" s="1251"/>
      <c r="OB81" s="1251"/>
      <c r="OC81" s="1251"/>
      <c r="OD81" s="1251"/>
      <c r="OE81" s="1251"/>
      <c r="OF81" s="1251"/>
      <c r="OG81" s="1251"/>
      <c r="OH81" s="1251"/>
      <c r="OI81" s="1251"/>
      <c r="OJ81" s="1251"/>
      <c r="OK81" s="1251"/>
      <c r="OL81" s="1251"/>
      <c r="OM81" s="1251"/>
      <c r="ON81" s="1251"/>
      <c r="OO81" s="1251"/>
      <c r="OP81" s="1251"/>
      <c r="OQ81" s="1251"/>
      <c r="OR81" s="1251"/>
      <c r="OS81" s="1251"/>
      <c r="OT81" s="1251"/>
      <c r="OU81" s="1251"/>
      <c r="OV81" s="1251"/>
      <c r="OW81" s="1251"/>
      <c r="OX81" s="1251"/>
      <c r="OY81" s="1251"/>
      <c r="OZ81" s="1251"/>
      <c r="PA81" s="1251"/>
      <c r="PB81" s="1251"/>
      <c r="PC81" s="1251"/>
      <c r="PD81" s="1251"/>
      <c r="PE81" s="1251"/>
      <c r="PF81" s="1251"/>
      <c r="PG81" s="1251"/>
      <c r="PH81" s="1251"/>
      <c r="PI81" s="1251"/>
      <c r="PJ81" s="1251"/>
      <c r="PK81" s="1251"/>
      <c r="PL81" s="1251"/>
      <c r="PM81" s="1251"/>
      <c r="PN81" s="1251"/>
      <c r="PO81" s="1251"/>
      <c r="PP81" s="1251"/>
      <c r="PQ81" s="1251"/>
      <c r="PR81" s="1251"/>
      <c r="PS81" s="1251"/>
      <c r="PT81" s="1251"/>
      <c r="PU81" s="1251"/>
      <c r="PV81" s="1251"/>
      <c r="PW81" s="1251"/>
      <c r="PX81" s="1251"/>
      <c r="PY81" s="1251"/>
      <c r="PZ81" s="1251"/>
      <c r="QA81" s="1251"/>
      <c r="QB81" s="1251"/>
      <c r="QC81" s="1251"/>
      <c r="QD81" s="1251"/>
      <c r="QE81" s="1251"/>
      <c r="QF81" s="1251"/>
      <c r="QG81" s="1251"/>
      <c r="QH81" s="1251"/>
      <c r="QI81" s="1251"/>
      <c r="QJ81" s="1251"/>
      <c r="QK81" s="1251"/>
      <c r="QL81" s="1251"/>
      <c r="QM81" s="1251"/>
      <c r="QN81" s="1251"/>
      <c r="QO81" s="1251"/>
      <c r="QP81" s="1251"/>
      <c r="QQ81" s="1251"/>
      <c r="QR81" s="1251"/>
      <c r="QS81" s="1251"/>
      <c r="QT81" s="1251"/>
      <c r="QU81" s="1251"/>
      <c r="QV81" s="1251"/>
      <c r="QW81" s="1251"/>
      <c r="QX81" s="1251"/>
      <c r="QY81" s="1251"/>
      <c r="QZ81" s="1251"/>
      <c r="RA81" s="1251"/>
      <c r="RB81" s="1251"/>
      <c r="RC81" s="1251"/>
      <c r="RD81" s="1251"/>
      <c r="RE81" s="1251"/>
      <c r="RF81" s="1251"/>
      <c r="RG81" s="1251"/>
      <c r="RH81" s="1251"/>
      <c r="RI81" s="1251"/>
      <c r="RJ81" s="1251"/>
      <c r="RK81" s="1251"/>
      <c r="RL81" s="1251"/>
      <c r="RM81" s="1251"/>
      <c r="RN81" s="1251"/>
      <c r="RO81" s="1251"/>
      <c r="RP81" s="1251"/>
      <c r="RQ81" s="1251"/>
      <c r="RR81" s="1251"/>
      <c r="RS81" s="1251"/>
      <c r="RT81" s="1251"/>
      <c r="RU81" s="1251"/>
      <c r="RV81" s="1251"/>
      <c r="RW81" s="1251"/>
      <c r="RX81" s="1251"/>
      <c r="RY81" s="1251"/>
      <c r="RZ81" s="1251"/>
      <c r="SA81" s="1251"/>
      <c r="SB81" s="1251"/>
      <c r="SC81" s="1251"/>
      <c r="SD81" s="1251"/>
      <c r="SE81" s="1251"/>
      <c r="SF81" s="1251"/>
      <c r="SG81" s="1251"/>
      <c r="SH81" s="1251"/>
      <c r="SI81" s="1251"/>
      <c r="SJ81" s="1251"/>
      <c r="SK81" s="1251"/>
      <c r="SL81" s="1251"/>
      <c r="SM81" s="1251"/>
      <c r="SN81" s="1251"/>
      <c r="SO81" s="1251"/>
      <c r="SP81" s="1251"/>
      <c r="SQ81" s="1251"/>
      <c r="SR81" s="1251"/>
      <c r="SS81" s="1251"/>
      <c r="ST81" s="1251"/>
      <c r="SU81" s="1251"/>
      <c r="SV81" s="1251"/>
      <c r="SW81" s="1251"/>
      <c r="SX81" s="1251"/>
      <c r="SY81" s="1251"/>
      <c r="SZ81" s="1251"/>
      <c r="TA81" s="1251"/>
      <c r="TB81" s="1251"/>
      <c r="TC81" s="1251"/>
      <c r="TD81" s="1251"/>
      <c r="TE81" s="1251"/>
      <c r="TF81" s="1251"/>
      <c r="TG81" s="1251"/>
      <c r="TH81" s="1251"/>
      <c r="TI81" s="1251"/>
      <c r="TJ81" s="1251"/>
      <c r="TK81" s="1251"/>
      <c r="TL81" s="1251"/>
      <c r="TM81" s="1251"/>
      <c r="TN81" s="1251"/>
      <c r="TO81" s="1251"/>
      <c r="TP81" s="1251"/>
      <c r="TQ81" s="1251"/>
      <c r="TR81" s="1251"/>
      <c r="TS81" s="1251"/>
      <c r="TT81" s="1251"/>
      <c r="TU81" s="1251"/>
      <c r="TV81" s="1251"/>
      <c r="TW81" s="1251"/>
      <c r="TX81" s="1251"/>
      <c r="TY81" s="1251"/>
      <c r="TZ81" s="1251"/>
      <c r="UA81" s="1251"/>
      <c r="UB81" s="1251"/>
      <c r="UC81" s="1251"/>
      <c r="UD81" s="1251"/>
      <c r="UE81" s="1251"/>
      <c r="UF81" s="1251"/>
      <c r="UG81" s="1251"/>
      <c r="UH81" s="1251"/>
      <c r="UI81" s="1251"/>
      <c r="UJ81" s="1251"/>
      <c r="UK81" s="1251"/>
      <c r="UL81" s="1251"/>
      <c r="UM81" s="1251"/>
      <c r="UN81" s="1251"/>
      <c r="UO81" s="1251"/>
      <c r="UP81" s="1251"/>
      <c r="UQ81" s="1251"/>
      <c r="UR81" s="1251"/>
      <c r="US81" s="1251"/>
      <c r="UT81" s="1251"/>
      <c r="UU81" s="1251"/>
      <c r="UV81" s="1251"/>
      <c r="UW81" s="1251"/>
      <c r="UX81" s="1251"/>
      <c r="UY81" s="1251"/>
      <c r="UZ81" s="1251"/>
      <c r="VA81" s="1251"/>
      <c r="VB81" s="1251"/>
      <c r="VC81" s="1251"/>
      <c r="VD81" s="1251"/>
      <c r="VE81" s="1251"/>
      <c r="VF81" s="1251"/>
      <c r="VG81" s="1251"/>
      <c r="VH81" s="1251"/>
      <c r="VI81" s="1251"/>
      <c r="VJ81" s="1251"/>
      <c r="VK81" s="1251"/>
      <c r="VL81" s="1251"/>
      <c r="VM81" s="1251"/>
      <c r="VN81" s="1251"/>
      <c r="VO81" s="1251"/>
      <c r="VP81" s="1251"/>
      <c r="VQ81" s="1251"/>
      <c r="VR81" s="1251"/>
      <c r="VS81" s="1251"/>
      <c r="VT81" s="1251"/>
      <c r="VU81" s="1251"/>
      <c r="VV81" s="1251"/>
      <c r="VW81" s="1251"/>
      <c r="VX81" s="1251"/>
      <c r="VY81" s="1251"/>
      <c r="VZ81" s="1251"/>
      <c r="WA81" s="1251"/>
      <c r="WB81" s="1251"/>
      <c r="WC81" s="1251"/>
      <c r="WD81" s="1251"/>
      <c r="WE81" s="1251"/>
      <c r="WF81" s="1251"/>
      <c r="WG81" s="1251"/>
      <c r="WH81" s="1251"/>
      <c r="WI81" s="1251"/>
      <c r="WJ81" s="1251"/>
      <c r="WK81" s="1251"/>
      <c r="WL81" s="1251"/>
      <c r="WM81" s="1251"/>
      <c r="WN81" s="1251"/>
      <c r="WO81" s="1251"/>
      <c r="WP81" s="1251"/>
      <c r="WQ81" s="1251"/>
      <c r="WR81" s="1251"/>
      <c r="WS81" s="1251"/>
      <c r="WT81" s="1251"/>
      <c r="WU81" s="1251"/>
      <c r="WV81" s="1251"/>
      <c r="WW81" s="1251"/>
      <c r="WX81" s="1251"/>
      <c r="WY81" s="1251"/>
      <c r="WZ81" s="1251"/>
      <c r="XA81" s="1251"/>
      <c r="XB81" s="1251"/>
      <c r="XC81" s="1251"/>
      <c r="XD81" s="1251"/>
      <c r="XE81" s="1251"/>
      <c r="XF81" s="1251"/>
      <c r="XG81" s="1251"/>
      <c r="XH81" s="1251"/>
      <c r="XI81" s="1251"/>
      <c r="XJ81" s="1251"/>
      <c r="XK81" s="1251"/>
      <c r="XL81" s="1251"/>
      <c r="XM81" s="1251"/>
      <c r="XN81" s="1251"/>
      <c r="XO81" s="1251"/>
      <c r="XP81" s="1251"/>
      <c r="XQ81" s="1251"/>
      <c r="XR81" s="1251"/>
      <c r="XS81" s="1251"/>
      <c r="XT81" s="1251"/>
      <c r="XU81" s="1251"/>
      <c r="XV81" s="1251"/>
      <c r="XW81" s="1251"/>
      <c r="XX81" s="1251"/>
      <c r="XY81" s="1251"/>
      <c r="XZ81" s="1251"/>
      <c r="YA81" s="1251"/>
      <c r="YB81" s="1251"/>
      <c r="YC81" s="1251"/>
      <c r="YD81" s="1251"/>
      <c r="YE81" s="1251"/>
      <c r="YF81" s="1251"/>
      <c r="YG81" s="1251"/>
      <c r="YH81" s="1251"/>
      <c r="YI81" s="1251"/>
      <c r="YJ81" s="1251"/>
      <c r="YK81" s="1251"/>
      <c r="YL81" s="1251"/>
      <c r="YM81" s="1251"/>
      <c r="YN81" s="1251"/>
      <c r="YO81" s="1251"/>
      <c r="YP81" s="1251"/>
      <c r="YQ81" s="1251"/>
      <c r="YR81" s="1251"/>
      <c r="YS81" s="1251"/>
      <c r="YT81" s="1251"/>
      <c r="YU81" s="1251"/>
      <c r="YV81" s="1251"/>
      <c r="YW81" s="1251"/>
      <c r="YX81" s="1251"/>
      <c r="YY81" s="1251"/>
      <c r="YZ81" s="1251"/>
      <c r="ZA81" s="1251"/>
      <c r="ZB81" s="1251"/>
      <c r="ZC81" s="1251"/>
      <c r="ZD81" s="1251"/>
      <c r="ZE81" s="1251"/>
      <c r="ZF81" s="1251"/>
      <c r="ZG81" s="1251"/>
      <c r="ZH81" s="1251"/>
      <c r="ZI81" s="1251"/>
      <c r="ZJ81" s="1251"/>
      <c r="ZK81" s="1251"/>
      <c r="ZL81" s="1251"/>
      <c r="ZM81" s="1251"/>
      <c r="ZN81" s="1251"/>
      <c r="ZO81" s="1251"/>
      <c r="ZP81" s="1251"/>
      <c r="ZQ81" s="1251"/>
      <c r="ZR81" s="1251"/>
      <c r="ZS81" s="1251"/>
      <c r="ZT81" s="1251"/>
      <c r="ZU81" s="1251"/>
      <c r="ZV81" s="1251"/>
      <c r="ZW81" s="1251"/>
      <c r="ZX81" s="1251"/>
      <c r="ZY81" s="1251"/>
      <c r="ZZ81" s="1251"/>
      <c r="AAA81" s="1251"/>
      <c r="AAB81" s="1251"/>
      <c r="AAC81" s="1251"/>
      <c r="AAD81" s="1251"/>
      <c r="AAE81" s="1251"/>
      <c r="AAF81" s="1251"/>
      <c r="AAG81" s="1251"/>
      <c r="AAH81" s="1251"/>
      <c r="AAI81" s="1251"/>
      <c r="AAJ81" s="1251"/>
      <c r="AAK81" s="1251"/>
      <c r="AAL81" s="1251"/>
      <c r="AAM81" s="1251"/>
      <c r="AAN81" s="1251"/>
      <c r="AAO81" s="1251"/>
      <c r="AAP81" s="1251"/>
      <c r="AAQ81" s="1251"/>
      <c r="AAR81" s="1251"/>
      <c r="AAS81" s="1251"/>
      <c r="AAT81" s="1251"/>
      <c r="AAU81" s="1251"/>
      <c r="AAV81" s="1251"/>
      <c r="AAW81" s="1251"/>
      <c r="AAX81" s="1251"/>
      <c r="AAY81" s="1251"/>
      <c r="AAZ81" s="1251"/>
      <c r="ABA81" s="1251"/>
      <c r="ABB81" s="1251"/>
      <c r="ABC81" s="1251"/>
      <c r="ABD81" s="1251"/>
      <c r="ABE81" s="1251"/>
      <c r="ABF81" s="1251"/>
      <c r="ABG81" s="1251"/>
      <c r="ABH81" s="1251"/>
      <c r="ABI81" s="1251"/>
      <c r="ABJ81" s="1251"/>
      <c r="ABK81" s="1251"/>
      <c r="ABL81" s="1251"/>
      <c r="ABM81" s="1251"/>
      <c r="ABN81" s="1251"/>
      <c r="ABO81" s="1251"/>
      <c r="ABP81" s="1251"/>
      <c r="ABQ81" s="1251"/>
      <c r="ABR81" s="1251"/>
      <c r="ABS81" s="1251"/>
      <c r="ABT81" s="1251"/>
      <c r="ABU81" s="1251"/>
      <c r="ABV81" s="1251"/>
      <c r="ABW81" s="1251"/>
      <c r="ABX81" s="1251"/>
      <c r="ABY81" s="1251"/>
      <c r="ABZ81" s="1251"/>
      <c r="ACA81" s="1251"/>
      <c r="ACB81" s="1251"/>
      <c r="ACC81" s="1251"/>
      <c r="ACD81" s="1251"/>
      <c r="ACE81" s="1251"/>
      <c r="ACF81" s="1251"/>
      <c r="ACG81" s="1251"/>
      <c r="ACH81" s="1251"/>
      <c r="ACI81" s="1251"/>
      <c r="ACJ81" s="1251"/>
      <c r="ACK81" s="1251"/>
      <c r="ACL81" s="1251"/>
      <c r="ACM81" s="1251"/>
      <c r="ACN81" s="1251"/>
      <c r="ACO81" s="1251"/>
      <c r="ACP81" s="1251"/>
      <c r="ACQ81" s="1251"/>
      <c r="ACR81" s="1251"/>
      <c r="ACS81" s="1251"/>
      <c r="ACT81" s="1251"/>
      <c r="ACU81" s="1251"/>
      <c r="ACV81" s="1251"/>
      <c r="ACW81" s="1251"/>
      <c r="ACX81" s="1251"/>
      <c r="ACY81" s="1251"/>
      <c r="ACZ81" s="1251"/>
      <c r="ADA81" s="1251"/>
      <c r="ADB81" s="1251"/>
      <c r="ADC81" s="1251"/>
      <c r="ADD81" s="1251"/>
      <c r="ADE81" s="1251"/>
      <c r="ADF81" s="1251"/>
      <c r="ADG81" s="1251"/>
      <c r="ADH81" s="1251"/>
      <c r="ADI81" s="1251"/>
      <c r="ADJ81" s="1251"/>
      <c r="ADK81" s="1251"/>
      <c r="ADL81" s="1251"/>
      <c r="ADM81" s="1251"/>
      <c r="ADN81" s="1251"/>
      <c r="ADO81" s="1251"/>
      <c r="ADP81" s="1251"/>
      <c r="ADQ81" s="1251"/>
      <c r="ADR81" s="1251"/>
      <c r="ADS81" s="1251"/>
      <c r="ADT81" s="1251"/>
      <c r="ADU81" s="1251"/>
      <c r="ADV81" s="1251"/>
      <c r="ADW81" s="1251"/>
      <c r="ADX81" s="1251"/>
      <c r="ADY81" s="1251"/>
      <c r="ADZ81" s="1251"/>
      <c r="AEA81" s="1251"/>
      <c r="AEB81" s="1251"/>
      <c r="AEC81" s="1251"/>
      <c r="AED81" s="1251"/>
      <c r="AEE81" s="1251"/>
      <c r="AEF81" s="1251"/>
      <c r="AEG81" s="1251"/>
      <c r="AEH81" s="1251"/>
      <c r="AEI81" s="1251"/>
      <c r="AEJ81" s="1251"/>
      <c r="AEK81" s="1251"/>
      <c r="AEL81" s="1251"/>
      <c r="AEM81" s="1251"/>
      <c r="AEN81" s="1251"/>
      <c r="AEO81" s="1251"/>
      <c r="AEP81" s="1251"/>
      <c r="AEQ81" s="1251"/>
      <c r="AER81" s="1251"/>
      <c r="AES81" s="1251"/>
      <c r="AET81" s="1251"/>
      <c r="AEU81" s="1251"/>
      <c r="AEV81" s="1251"/>
      <c r="AEW81" s="1251"/>
      <c r="AEX81" s="1251"/>
      <c r="AEY81" s="1251"/>
      <c r="AEZ81" s="1251"/>
      <c r="AFA81" s="1251"/>
      <c r="AFB81" s="1251"/>
      <c r="AFC81" s="1251"/>
      <c r="AFD81" s="1251"/>
      <c r="AFE81" s="1251"/>
      <c r="AFF81" s="1251"/>
      <c r="AFG81" s="1251"/>
      <c r="AFH81" s="1251"/>
      <c r="AFI81" s="1251"/>
      <c r="AFJ81" s="1251"/>
      <c r="AFK81" s="1251"/>
      <c r="AFL81" s="1251"/>
      <c r="AFM81" s="1251"/>
      <c r="AFN81" s="1251"/>
      <c r="AFO81" s="1251"/>
      <c r="AFP81" s="1251"/>
      <c r="AFQ81" s="1251"/>
      <c r="AFR81" s="1251"/>
      <c r="AFS81" s="1251"/>
      <c r="AFT81" s="1251"/>
      <c r="AFU81" s="1251"/>
      <c r="AFV81" s="1251"/>
      <c r="AFW81" s="1251"/>
      <c r="AFX81" s="1251"/>
      <c r="AFY81" s="1251"/>
      <c r="AFZ81" s="1251"/>
      <c r="AGA81" s="1251"/>
      <c r="AGB81" s="1251"/>
      <c r="AGC81" s="1251"/>
      <c r="AGD81" s="1251"/>
      <c r="AGE81" s="1251"/>
      <c r="AGF81" s="1251"/>
      <c r="AGG81" s="1251"/>
      <c r="AGH81" s="1251"/>
      <c r="AGI81" s="1251"/>
      <c r="AGJ81" s="1251"/>
      <c r="AGK81" s="1251"/>
      <c r="AGL81" s="1251"/>
      <c r="AGM81" s="1251"/>
      <c r="AGN81" s="1251"/>
      <c r="AGO81" s="1251"/>
      <c r="AGP81" s="1251"/>
      <c r="AGQ81" s="1251"/>
      <c r="AGR81" s="1251"/>
      <c r="AGS81" s="1251"/>
      <c r="AGT81" s="1251"/>
      <c r="AGU81" s="1251"/>
      <c r="AGV81" s="1251"/>
      <c r="AGW81" s="1251"/>
      <c r="AGX81" s="1251"/>
      <c r="AGY81" s="1251"/>
      <c r="AGZ81" s="1251"/>
      <c r="AHA81" s="1251"/>
      <c r="AHB81" s="1251"/>
      <c r="AHC81" s="1251"/>
      <c r="AHD81" s="1251"/>
      <c r="AHE81" s="1251"/>
      <c r="AHF81" s="1251"/>
      <c r="AHG81" s="1251"/>
      <c r="AHH81" s="1251"/>
      <c r="AHI81" s="1251"/>
      <c r="AHJ81" s="1251"/>
      <c r="AHK81" s="1251"/>
      <c r="AHL81" s="1251"/>
      <c r="AHM81" s="1251"/>
      <c r="AHN81" s="1251"/>
      <c r="AHO81" s="1251"/>
      <c r="AHP81" s="1251"/>
      <c r="AHQ81" s="1251"/>
      <c r="AHR81" s="1251"/>
      <c r="AHS81" s="1251"/>
      <c r="AHT81" s="1251"/>
      <c r="AHU81" s="1251"/>
      <c r="AHV81" s="1251"/>
      <c r="AHW81" s="1251"/>
      <c r="AHX81" s="1251"/>
      <c r="AHY81" s="1251"/>
      <c r="AHZ81" s="1251"/>
      <c r="AIA81" s="1251"/>
      <c r="AIB81" s="1251"/>
      <c r="AIC81" s="1251"/>
      <c r="AID81" s="1251"/>
      <c r="AIE81" s="1251"/>
      <c r="AIF81" s="1251"/>
      <c r="AIG81" s="1251"/>
      <c r="AIH81" s="1251"/>
      <c r="AII81" s="1251"/>
      <c r="AIJ81" s="1251"/>
      <c r="AIK81" s="1251"/>
      <c r="AIL81" s="1251"/>
      <c r="AIM81" s="1251"/>
      <c r="AIN81" s="1251"/>
      <c r="AIO81" s="1251"/>
      <c r="AIP81" s="1251"/>
      <c r="AIQ81" s="1251"/>
      <c r="AIR81" s="1251"/>
      <c r="AIS81" s="1251"/>
      <c r="AIT81" s="1251"/>
      <c r="AIU81" s="1251"/>
      <c r="AIV81" s="1251"/>
      <c r="AIW81" s="1251"/>
      <c r="AIX81" s="1251"/>
      <c r="AIY81" s="1251"/>
      <c r="AIZ81" s="1251"/>
      <c r="AJA81" s="1251"/>
      <c r="AJB81" s="1251"/>
      <c r="AJC81" s="1251"/>
      <c r="AJD81" s="1251"/>
      <c r="AJE81" s="1251"/>
      <c r="AJF81" s="1251"/>
      <c r="AJG81" s="1251"/>
      <c r="AJH81" s="1251"/>
      <c r="AJI81" s="1251"/>
      <c r="AJJ81" s="1251"/>
      <c r="AJK81" s="1251"/>
      <c r="AJL81" s="1251"/>
      <c r="AJM81" s="1251"/>
      <c r="AJN81" s="1251"/>
      <c r="AJO81" s="1251"/>
      <c r="AJP81" s="1251"/>
      <c r="AJQ81" s="1251"/>
      <c r="AJR81" s="1251"/>
      <c r="AJS81" s="1251"/>
      <c r="AJT81" s="1251"/>
      <c r="AJU81" s="1251"/>
      <c r="AJV81" s="1251"/>
      <c r="AJW81" s="1251"/>
      <c r="AJX81" s="1251"/>
      <c r="AJY81" s="1251"/>
      <c r="AJZ81" s="1251"/>
      <c r="AKA81" s="1251"/>
      <c r="AKB81" s="1251"/>
      <c r="AKC81" s="1251"/>
      <c r="AKD81" s="1251"/>
      <c r="AKE81" s="1251"/>
      <c r="AKF81" s="1251"/>
      <c r="AKG81" s="1251"/>
      <c r="AKH81" s="1251"/>
      <c r="AKI81" s="1251"/>
      <c r="AKJ81" s="1251"/>
      <c r="AKK81" s="1251"/>
      <c r="AKL81" s="1251"/>
      <c r="AKM81" s="1251"/>
      <c r="AKN81" s="1251"/>
      <c r="AKO81" s="1251"/>
      <c r="AKP81" s="1251"/>
      <c r="AKQ81" s="1251"/>
      <c r="AKR81" s="1251"/>
      <c r="AKS81" s="1251"/>
      <c r="AKT81" s="1251"/>
      <c r="AKU81" s="1251"/>
      <c r="AKV81" s="1251"/>
      <c r="AKW81" s="1251"/>
      <c r="AKX81" s="1251"/>
      <c r="AKY81" s="1251"/>
      <c r="AKZ81" s="1251"/>
      <c r="ALA81" s="1251"/>
      <c r="ALB81" s="1251"/>
      <c r="ALC81" s="1251"/>
      <c r="ALD81" s="1251"/>
      <c r="ALE81" s="1251"/>
      <c r="ALF81" s="1251"/>
      <c r="ALG81" s="1251"/>
      <c r="ALH81" s="1251"/>
      <c r="ALI81" s="1251"/>
      <c r="ALJ81" s="1251"/>
      <c r="ALK81" s="1251"/>
      <c r="ALL81" s="1251"/>
      <c r="ALM81" s="1251"/>
      <c r="ALN81" s="1251"/>
      <c r="ALO81" s="1251"/>
      <c r="ALP81" s="1251"/>
      <c r="ALQ81" s="1251"/>
      <c r="ALR81" s="1251"/>
      <c r="ALS81" s="1251"/>
      <c r="ALT81" s="1251"/>
      <c r="ALU81" s="1251"/>
      <c r="ALV81" s="1251"/>
      <c r="ALW81" s="1251"/>
      <c r="ALX81" s="1251"/>
      <c r="ALY81" s="1251"/>
      <c r="ALZ81" s="1251"/>
      <c r="AMA81" s="1251"/>
      <c r="AMB81" s="1251"/>
      <c r="AMC81" s="1251"/>
      <c r="AMD81" s="1251"/>
      <c r="AME81" s="1251"/>
      <c r="AMF81" s="1251"/>
      <c r="AMG81" s="1251"/>
      <c r="AMH81" s="1251"/>
      <c r="AMI81" s="1251"/>
      <c r="AMJ81" s="1251"/>
      <c r="AMK81" s="1251"/>
      <c r="AML81" s="1251"/>
      <c r="AMM81" s="1251"/>
      <c r="AMN81" s="1251"/>
      <c r="AMO81" s="1251"/>
      <c r="AMP81" s="1251"/>
      <c r="AMQ81" s="1251"/>
      <c r="AMR81" s="1251"/>
      <c r="AMS81" s="1251"/>
      <c r="AMT81" s="1251"/>
      <c r="AMU81" s="1251"/>
      <c r="AMV81" s="1251"/>
      <c r="AMW81" s="1251"/>
      <c r="AMX81" s="1251"/>
      <c r="AMY81" s="1251"/>
      <c r="AMZ81" s="1251"/>
      <c r="ANA81" s="1251"/>
      <c r="ANB81" s="1251"/>
      <c r="ANC81" s="1251"/>
      <c r="AND81" s="1251"/>
      <c r="ANE81" s="1251"/>
      <c r="ANF81" s="1251"/>
      <c r="ANG81" s="1251"/>
      <c r="ANH81" s="1251"/>
      <c r="ANI81" s="1251"/>
      <c r="ANJ81" s="1251"/>
      <c r="ANK81" s="1251"/>
      <c r="ANL81" s="1251"/>
      <c r="ANM81" s="1251"/>
      <c r="ANN81" s="1251"/>
      <c r="ANO81" s="1251"/>
      <c r="ANP81" s="1251"/>
      <c r="ANQ81" s="1251"/>
      <c r="ANR81" s="1251"/>
      <c r="ANS81" s="1251"/>
      <c r="ANT81" s="1251"/>
      <c r="ANU81" s="1251"/>
      <c r="ANV81" s="1251"/>
      <c r="ANW81" s="1251"/>
      <c r="ANX81" s="1251"/>
      <c r="ANY81" s="1251"/>
      <c r="ANZ81" s="1251"/>
      <c r="AOA81" s="1251"/>
      <c r="AOB81" s="1251"/>
      <c r="AOC81" s="1251"/>
      <c r="AOD81" s="1251"/>
      <c r="AOE81" s="1251"/>
      <c r="AOF81" s="1251"/>
      <c r="AOG81" s="1251"/>
      <c r="AOH81" s="1251"/>
      <c r="AOI81" s="1251"/>
      <c r="AOJ81" s="1251"/>
      <c r="AOK81" s="1251"/>
      <c r="AOL81" s="1251"/>
      <c r="AOM81" s="1251"/>
      <c r="AON81" s="1251"/>
      <c r="AOO81" s="1251"/>
      <c r="AOP81" s="1251"/>
      <c r="AOQ81" s="1251"/>
      <c r="AOR81" s="1251"/>
      <c r="AOS81" s="1251"/>
      <c r="AOT81" s="1251"/>
      <c r="AOU81" s="1251"/>
      <c r="AOV81" s="1251"/>
      <c r="AOW81" s="1251"/>
      <c r="AOX81" s="1251"/>
      <c r="AOY81" s="1251"/>
      <c r="AOZ81" s="1251"/>
      <c r="APA81" s="1251"/>
      <c r="APB81" s="1251"/>
      <c r="APC81" s="1251"/>
      <c r="APD81" s="1251"/>
      <c r="APE81" s="1251"/>
      <c r="APF81" s="1251"/>
      <c r="APG81" s="1251"/>
      <c r="APH81" s="1251"/>
      <c r="API81" s="1251"/>
      <c r="APJ81" s="1251"/>
      <c r="APK81" s="1251"/>
      <c r="APL81" s="1251"/>
      <c r="APM81" s="1251"/>
      <c r="APN81" s="1251"/>
      <c r="APO81" s="1251"/>
      <c r="APP81" s="1251"/>
      <c r="APQ81" s="1251"/>
      <c r="APR81" s="1251"/>
      <c r="APS81" s="1251"/>
      <c r="APT81" s="1251"/>
      <c r="APU81" s="1251"/>
      <c r="APV81" s="1251"/>
      <c r="APW81" s="1251"/>
      <c r="APX81" s="1251"/>
      <c r="APY81" s="1251"/>
      <c r="APZ81" s="1251"/>
      <c r="AQA81" s="1251"/>
      <c r="AQB81" s="1251"/>
      <c r="AQC81" s="1251"/>
      <c r="AQD81" s="1251"/>
      <c r="AQE81" s="1251"/>
      <c r="AQF81" s="1251"/>
      <c r="AQG81" s="1251"/>
      <c r="AQH81" s="1251"/>
      <c r="AQI81" s="1251"/>
      <c r="AQJ81" s="1251"/>
      <c r="AQK81" s="1251"/>
      <c r="AQL81" s="1251"/>
      <c r="AQM81" s="1251"/>
      <c r="AQN81" s="1251"/>
      <c r="AQO81" s="1251"/>
      <c r="AQP81" s="1251"/>
      <c r="AQQ81" s="1251"/>
      <c r="AQR81" s="1251"/>
      <c r="AQS81" s="1251"/>
      <c r="AQT81" s="1251"/>
      <c r="AQU81" s="1251"/>
      <c r="AQV81" s="1251"/>
      <c r="AQW81" s="1251"/>
      <c r="AQX81" s="1251"/>
      <c r="AQY81" s="1251"/>
      <c r="AQZ81" s="1251"/>
      <c r="ARA81" s="1251"/>
      <c r="ARB81" s="1251"/>
      <c r="ARC81" s="1251"/>
      <c r="ARD81" s="1251"/>
      <c r="ARE81" s="1251"/>
      <c r="ARF81" s="1251"/>
      <c r="ARG81" s="1251"/>
      <c r="ARH81" s="1251"/>
      <c r="ARI81" s="1251"/>
      <c r="ARJ81" s="1251"/>
      <c r="ARK81" s="1251"/>
      <c r="ARL81" s="1251"/>
      <c r="ARM81" s="1251"/>
      <c r="ARN81" s="1251"/>
      <c r="ARO81" s="1251"/>
      <c r="ARP81" s="1251"/>
      <c r="ARQ81" s="1251"/>
      <c r="ARR81" s="1251"/>
      <c r="ARS81" s="1251"/>
      <c r="ART81" s="1251"/>
      <c r="ARU81" s="1251"/>
      <c r="ARV81" s="1251"/>
      <c r="ARW81" s="1251"/>
      <c r="ARX81" s="1251"/>
      <c r="ARY81" s="1251"/>
      <c r="ARZ81" s="1251"/>
      <c r="ASA81" s="1251"/>
      <c r="ASB81" s="1251"/>
      <c r="ASC81" s="1251"/>
      <c r="ASD81" s="1251"/>
      <c r="ASE81" s="1251"/>
      <c r="ASF81" s="1251"/>
      <c r="ASG81" s="1251"/>
      <c r="ASH81" s="1251"/>
      <c r="ASI81" s="1251"/>
      <c r="ASJ81" s="1251"/>
      <c r="ASK81" s="1251"/>
      <c r="ASL81" s="1251"/>
      <c r="ASM81" s="1251"/>
      <c r="ASN81" s="1251"/>
      <c r="ASO81" s="1251"/>
      <c r="ASP81" s="1251"/>
      <c r="ASQ81" s="1251"/>
      <c r="ASR81" s="1251"/>
      <c r="ASS81" s="1251"/>
      <c r="AST81" s="1251"/>
      <c r="ASU81" s="1251"/>
      <c r="ASV81" s="1251"/>
      <c r="ASW81" s="1251"/>
      <c r="ASX81" s="1251"/>
      <c r="ASY81" s="1251"/>
      <c r="ASZ81" s="1251"/>
      <c r="ATA81" s="1251"/>
      <c r="ATB81" s="1251"/>
      <c r="ATC81" s="1251"/>
      <c r="ATD81" s="1251"/>
      <c r="ATE81" s="1251"/>
      <c r="ATF81" s="1251"/>
      <c r="ATG81" s="1251"/>
      <c r="ATH81" s="1251"/>
      <c r="ATI81" s="1251"/>
      <c r="ATJ81" s="1251"/>
      <c r="ATK81" s="1251"/>
      <c r="ATL81" s="1251"/>
      <c r="ATM81" s="1251"/>
      <c r="ATN81" s="1251"/>
      <c r="ATO81" s="1251"/>
      <c r="ATP81" s="1251"/>
      <c r="ATQ81" s="1251"/>
      <c r="ATR81" s="1251"/>
      <c r="ATS81" s="1251"/>
      <c r="ATT81" s="1251"/>
      <c r="ATU81" s="1251"/>
      <c r="ATV81" s="1251"/>
      <c r="ATW81" s="1251"/>
      <c r="ATX81" s="1251"/>
      <c r="ATY81" s="1251"/>
      <c r="ATZ81" s="1251"/>
      <c r="AUA81" s="1251"/>
      <c r="AUB81" s="1251"/>
      <c r="AUC81" s="1251"/>
      <c r="AUD81" s="1251"/>
      <c r="AUE81" s="1251"/>
      <c r="AUF81" s="1251"/>
      <c r="AUG81" s="1251"/>
      <c r="AUH81" s="1251"/>
      <c r="AUI81" s="1251"/>
      <c r="AUJ81" s="1251"/>
      <c r="AUK81" s="1251"/>
      <c r="AUL81" s="1251"/>
      <c r="AUM81" s="1251"/>
      <c r="AUN81" s="1251"/>
      <c r="AUO81" s="1251"/>
      <c r="AUP81" s="1251"/>
      <c r="AUQ81" s="1251"/>
      <c r="AUR81" s="1251"/>
      <c r="AUS81" s="1251"/>
      <c r="AUT81" s="1251"/>
      <c r="AUU81" s="1251"/>
      <c r="AUV81" s="1251"/>
      <c r="AUW81" s="1251"/>
      <c r="AUX81" s="1251"/>
      <c r="AUY81" s="1251"/>
      <c r="AUZ81" s="1251"/>
      <c r="AVA81" s="1251"/>
      <c r="AVB81" s="1251"/>
      <c r="AVC81" s="1251"/>
      <c r="AVD81" s="1251"/>
      <c r="AVE81" s="1251"/>
      <c r="AVF81" s="1251"/>
      <c r="AVG81" s="1251"/>
      <c r="AVH81" s="1251"/>
      <c r="AVI81" s="1251"/>
      <c r="AVJ81" s="1251"/>
      <c r="AVK81" s="1251"/>
      <c r="AVL81" s="1251"/>
      <c r="AVM81" s="1251"/>
      <c r="AVN81" s="1251"/>
      <c r="AVO81" s="1251"/>
      <c r="AVP81" s="1251"/>
      <c r="AVQ81" s="1251"/>
      <c r="AVR81" s="1251"/>
      <c r="AVS81" s="1251"/>
      <c r="AVT81" s="1251"/>
      <c r="AVU81" s="1251"/>
      <c r="AVV81" s="1251"/>
      <c r="AVW81" s="1251"/>
      <c r="AVX81" s="1251"/>
      <c r="AVY81" s="1251"/>
      <c r="AVZ81" s="1251"/>
      <c r="AWA81" s="1251"/>
      <c r="AWB81" s="1251"/>
      <c r="AWC81" s="1251"/>
      <c r="AWD81" s="1251"/>
      <c r="AWE81" s="1251"/>
      <c r="AWF81" s="1251"/>
      <c r="AWG81" s="1251"/>
      <c r="AWH81" s="1251"/>
      <c r="AWI81" s="1251"/>
      <c r="AWJ81" s="1251"/>
      <c r="AWK81" s="1251"/>
      <c r="AWL81" s="1251"/>
      <c r="AWM81" s="1251"/>
      <c r="AWN81" s="1251"/>
      <c r="AWO81" s="1251"/>
      <c r="AWP81" s="1251"/>
      <c r="AWQ81" s="1251"/>
      <c r="AWR81" s="1251"/>
      <c r="AWS81" s="1251"/>
      <c r="AWT81" s="1251"/>
      <c r="AWU81" s="1251"/>
      <c r="AWV81" s="1251"/>
      <c r="AWW81" s="1251"/>
      <c r="AWX81" s="1251"/>
      <c r="AWY81" s="1251"/>
      <c r="AWZ81" s="1251"/>
      <c r="AXA81" s="1251"/>
      <c r="AXB81" s="1251"/>
      <c r="AXC81" s="1251"/>
      <c r="AXD81" s="1251"/>
      <c r="AXE81" s="1251"/>
      <c r="AXF81" s="1251"/>
      <c r="AXG81" s="1251"/>
      <c r="AXH81" s="1251"/>
      <c r="AXI81" s="1251"/>
      <c r="AXJ81" s="1251"/>
      <c r="AXK81" s="1251"/>
      <c r="AXL81" s="1251"/>
      <c r="AXM81" s="1251"/>
      <c r="AXN81" s="1251"/>
      <c r="AXO81" s="1251"/>
      <c r="AXP81" s="1251"/>
      <c r="AXQ81" s="1251"/>
      <c r="AXR81" s="1251"/>
      <c r="AXS81" s="1251"/>
      <c r="AXT81" s="1251"/>
      <c r="AXU81" s="1251"/>
      <c r="AXV81" s="1251"/>
      <c r="AXW81" s="1251"/>
      <c r="AXX81" s="1251"/>
      <c r="AXY81" s="1251"/>
      <c r="AXZ81" s="1251"/>
      <c r="AYA81" s="1251"/>
      <c r="AYB81" s="1251"/>
      <c r="AYC81" s="1251"/>
      <c r="AYD81" s="1251"/>
      <c r="AYE81" s="1251"/>
      <c r="AYF81" s="1251"/>
      <c r="AYG81" s="1251"/>
      <c r="AYH81" s="1251"/>
      <c r="AYI81" s="1251"/>
      <c r="AYJ81" s="1251"/>
      <c r="AYK81" s="1251"/>
      <c r="AYL81" s="1251"/>
      <c r="AYM81" s="1251"/>
      <c r="AYN81" s="1251"/>
      <c r="AYO81" s="1251"/>
      <c r="AYP81" s="1251"/>
      <c r="AYQ81" s="1251"/>
      <c r="AYR81" s="1251"/>
      <c r="AYS81" s="1251"/>
      <c r="AYT81" s="1251"/>
      <c r="AYU81" s="1251"/>
      <c r="AYV81" s="1251"/>
      <c r="AYW81" s="1251"/>
      <c r="AYX81" s="1251"/>
      <c r="AYY81" s="1251"/>
      <c r="AYZ81" s="1251"/>
      <c r="AZA81" s="1251"/>
      <c r="AZB81" s="1251"/>
      <c r="AZC81" s="1251"/>
      <c r="AZD81" s="1251"/>
      <c r="AZE81" s="1251"/>
      <c r="AZF81" s="1251"/>
      <c r="AZG81" s="1251"/>
      <c r="AZH81" s="1251"/>
      <c r="AZI81" s="1251"/>
      <c r="AZJ81" s="1251"/>
      <c r="AZK81" s="1251"/>
      <c r="AZL81" s="1251"/>
      <c r="AZM81" s="1251"/>
      <c r="AZN81" s="1251"/>
      <c r="AZO81" s="1251"/>
      <c r="AZP81" s="1251"/>
      <c r="AZQ81" s="1251"/>
      <c r="AZR81" s="1251"/>
      <c r="AZS81" s="1251"/>
      <c r="AZT81" s="1251"/>
      <c r="AZU81" s="1251"/>
      <c r="AZV81" s="1251"/>
      <c r="AZW81" s="1251"/>
      <c r="AZX81" s="1251"/>
      <c r="AZY81" s="1251"/>
      <c r="AZZ81" s="1251"/>
      <c r="BAA81" s="1251"/>
      <c r="BAB81" s="1251"/>
      <c r="BAC81" s="1251"/>
      <c r="BAD81" s="1251"/>
      <c r="BAE81" s="1251"/>
      <c r="BAF81" s="1251"/>
      <c r="BAG81" s="1251"/>
      <c r="BAH81" s="1251"/>
      <c r="BAI81" s="1251"/>
      <c r="BAJ81" s="1251"/>
      <c r="BAK81" s="1251"/>
      <c r="BAL81" s="1251"/>
      <c r="BAM81" s="1251"/>
      <c r="BAN81" s="1251"/>
      <c r="BAO81" s="1251"/>
      <c r="BAP81" s="1251"/>
      <c r="BAQ81" s="1251"/>
      <c r="BAR81" s="1251"/>
      <c r="BAS81" s="1251"/>
      <c r="BAT81" s="1251"/>
      <c r="BAU81" s="1251"/>
      <c r="BAV81" s="1251"/>
      <c r="BAW81" s="1251"/>
      <c r="BAX81" s="1251"/>
      <c r="BAY81" s="1251"/>
      <c r="BAZ81" s="1251"/>
      <c r="BBA81" s="1251"/>
      <c r="BBB81" s="1251"/>
      <c r="BBC81" s="1251"/>
      <c r="BBD81" s="1251"/>
      <c r="BBE81" s="1251"/>
      <c r="BBF81" s="1251"/>
      <c r="BBG81" s="1251"/>
      <c r="BBH81" s="1251"/>
      <c r="BBI81" s="1251"/>
      <c r="BBJ81" s="1251"/>
      <c r="BBK81" s="1251"/>
      <c r="BBL81" s="1251"/>
      <c r="BBM81" s="1251"/>
      <c r="BBN81" s="1251"/>
      <c r="BBO81" s="1251"/>
      <c r="BBP81" s="1251"/>
      <c r="BBQ81" s="1251"/>
      <c r="BBR81" s="1251"/>
      <c r="BBS81" s="1251"/>
      <c r="BBT81" s="1251"/>
      <c r="BBU81" s="1251"/>
      <c r="BBV81" s="1251"/>
      <c r="BBW81" s="1251"/>
      <c r="BBX81" s="1251"/>
      <c r="BBY81" s="1251"/>
      <c r="BBZ81" s="1251"/>
      <c r="BCA81" s="1251"/>
      <c r="BCB81" s="1251"/>
      <c r="BCC81" s="1251"/>
      <c r="BCD81" s="1251"/>
      <c r="BCE81" s="1251"/>
      <c r="BCF81" s="1251"/>
      <c r="BCG81" s="1251"/>
      <c r="BCH81" s="1251"/>
      <c r="BCI81" s="1251"/>
      <c r="BCJ81" s="1251"/>
      <c r="BCK81" s="1251"/>
      <c r="BCL81" s="1251"/>
      <c r="BCM81" s="1251"/>
      <c r="BCN81" s="1251"/>
      <c r="BCO81" s="1251"/>
      <c r="BCP81" s="1251"/>
      <c r="BCQ81" s="1251"/>
      <c r="BCR81" s="1251"/>
      <c r="BCS81" s="1251"/>
      <c r="BCT81" s="1251"/>
      <c r="BCU81" s="1251"/>
      <c r="BCV81" s="1251"/>
      <c r="BCW81" s="1251"/>
      <c r="BCX81" s="1251"/>
      <c r="BCY81" s="1251"/>
      <c r="BCZ81" s="1251"/>
      <c r="BDA81" s="1251"/>
      <c r="BDB81" s="1251"/>
      <c r="BDC81" s="1251"/>
      <c r="BDD81" s="1251"/>
      <c r="BDE81" s="1251"/>
      <c r="BDF81" s="1251"/>
      <c r="BDG81" s="1251"/>
      <c r="BDH81" s="1251"/>
      <c r="BDI81" s="1251"/>
      <c r="BDJ81" s="1251"/>
      <c r="BDK81" s="1251"/>
      <c r="BDL81" s="1251"/>
      <c r="BDM81" s="1251"/>
      <c r="BDN81" s="1251"/>
      <c r="BDO81" s="1251"/>
      <c r="BDP81" s="1251"/>
      <c r="BDQ81" s="1251"/>
      <c r="BDR81" s="1251"/>
      <c r="BDS81" s="1251"/>
      <c r="BDT81" s="1251"/>
      <c r="BDU81" s="1251"/>
      <c r="BDV81" s="1251"/>
      <c r="BDW81" s="1251"/>
      <c r="BDX81" s="1251"/>
      <c r="BDY81" s="1251"/>
      <c r="BDZ81" s="1251"/>
      <c r="BEA81" s="1251"/>
      <c r="BEB81" s="1251"/>
      <c r="BEC81" s="1251"/>
      <c r="BED81" s="1251"/>
      <c r="BEE81" s="1251"/>
      <c r="BEF81" s="1251"/>
      <c r="BEG81" s="1251"/>
      <c r="BEH81" s="1251"/>
      <c r="BEI81" s="1251"/>
      <c r="BEJ81" s="1251"/>
      <c r="BEK81" s="1251"/>
      <c r="BEL81" s="1251"/>
      <c r="BEM81" s="1251"/>
      <c r="BEN81" s="1251"/>
      <c r="BEO81" s="1251"/>
      <c r="BEP81" s="1251"/>
      <c r="BEQ81" s="1251"/>
      <c r="BER81" s="1251"/>
      <c r="BES81" s="1251"/>
      <c r="BET81" s="1251"/>
      <c r="BEU81" s="1251"/>
      <c r="BEV81" s="1251"/>
      <c r="BEW81" s="1251"/>
      <c r="BEX81" s="1251"/>
      <c r="BEY81" s="1251"/>
      <c r="BEZ81" s="1251"/>
      <c r="BFA81" s="1251"/>
      <c r="BFB81" s="1251"/>
      <c r="BFC81" s="1251"/>
      <c r="BFD81" s="1251"/>
      <c r="BFE81" s="1251"/>
      <c r="BFF81" s="1251"/>
      <c r="BFG81" s="1251"/>
      <c r="BFH81" s="1251"/>
      <c r="BFI81" s="1251"/>
      <c r="BFJ81" s="1251"/>
      <c r="BFK81" s="1251"/>
      <c r="BFL81" s="1251"/>
      <c r="BFM81" s="1251"/>
      <c r="BFN81" s="1251"/>
      <c r="BFO81" s="1251"/>
      <c r="BFP81" s="1251"/>
      <c r="BFQ81" s="1251"/>
      <c r="BFR81" s="1251"/>
      <c r="BFS81" s="1251"/>
      <c r="BFT81" s="1251"/>
      <c r="BFU81" s="1251"/>
      <c r="BFV81" s="1251"/>
      <c r="BFW81" s="1251"/>
      <c r="BFX81" s="1251"/>
      <c r="BFY81" s="1251"/>
      <c r="BFZ81" s="1251"/>
      <c r="BGA81" s="1251"/>
      <c r="BGB81" s="1251"/>
      <c r="BGC81" s="1251"/>
      <c r="BGD81" s="1251"/>
      <c r="BGE81" s="1251"/>
      <c r="BGF81" s="1251"/>
      <c r="BGG81" s="1251"/>
      <c r="BGH81" s="1251"/>
      <c r="BGI81" s="1251"/>
      <c r="BGJ81" s="1251"/>
      <c r="BGK81" s="1251"/>
      <c r="BGL81" s="1251"/>
      <c r="BGM81" s="1251"/>
      <c r="BGN81" s="1251"/>
      <c r="BGO81" s="1251"/>
      <c r="BGP81" s="1251"/>
      <c r="BGQ81" s="1251"/>
      <c r="BGR81" s="1251"/>
      <c r="BGS81" s="1251"/>
      <c r="BGT81" s="1251"/>
      <c r="BGU81" s="1251"/>
      <c r="BGV81" s="1251"/>
      <c r="BGW81" s="1251"/>
      <c r="BGX81" s="1251"/>
      <c r="BGY81" s="1251"/>
      <c r="BGZ81" s="1251"/>
      <c r="BHA81" s="1251"/>
      <c r="BHB81" s="1251"/>
      <c r="BHC81" s="1251"/>
      <c r="BHD81" s="1251"/>
      <c r="BHE81" s="1251"/>
      <c r="BHF81" s="1251"/>
      <c r="BHG81" s="1251"/>
      <c r="BHH81" s="1251"/>
      <c r="BHI81" s="1251"/>
      <c r="BHJ81" s="1251"/>
      <c r="BHK81" s="1251"/>
      <c r="BHL81" s="1251"/>
      <c r="BHM81" s="1251"/>
      <c r="BHN81" s="1251"/>
      <c r="BHO81" s="1251"/>
      <c r="BHP81" s="1251"/>
      <c r="BHQ81" s="1251"/>
      <c r="BHR81" s="1251"/>
      <c r="BHS81" s="1251"/>
      <c r="BHT81" s="1251"/>
      <c r="BHU81" s="1251"/>
      <c r="BHV81" s="1251"/>
      <c r="BHW81" s="1251"/>
      <c r="BHX81" s="1251"/>
      <c r="BHY81" s="1251"/>
      <c r="BHZ81" s="1251"/>
      <c r="BIA81" s="1251"/>
      <c r="BIB81" s="1251"/>
      <c r="BIC81" s="1251"/>
      <c r="BID81" s="1251"/>
      <c r="BIE81" s="1251"/>
      <c r="BIF81" s="1251"/>
      <c r="BIG81" s="1251"/>
      <c r="BIH81" s="1251"/>
      <c r="BII81" s="1251"/>
      <c r="BIJ81" s="1251"/>
      <c r="BIK81" s="1251"/>
      <c r="BIL81" s="1251"/>
      <c r="BIM81" s="1251"/>
      <c r="BIN81" s="1251"/>
      <c r="BIO81" s="1251"/>
      <c r="BIP81" s="1251"/>
      <c r="BIQ81" s="1251"/>
      <c r="BIR81" s="1251"/>
      <c r="BIS81" s="1251"/>
      <c r="BIT81" s="1251"/>
      <c r="BIU81" s="1251"/>
      <c r="BIV81" s="1251"/>
      <c r="BIW81" s="1251"/>
      <c r="BIX81" s="1251"/>
      <c r="BIY81" s="1251"/>
      <c r="BIZ81" s="1251"/>
      <c r="BJA81" s="1251"/>
      <c r="BJB81" s="1251"/>
      <c r="BJC81" s="1251"/>
      <c r="BJD81" s="1251"/>
      <c r="BJE81" s="1251"/>
      <c r="BJF81" s="1251"/>
      <c r="BJG81" s="1251"/>
      <c r="BJH81" s="1251"/>
      <c r="BJI81" s="1251"/>
      <c r="BJJ81" s="1251"/>
      <c r="BJK81" s="1251"/>
      <c r="BJL81" s="1251"/>
      <c r="BJM81" s="1251"/>
      <c r="BJN81" s="1251"/>
      <c r="BJO81" s="1251"/>
      <c r="BJP81" s="1251"/>
      <c r="BJQ81" s="1251"/>
      <c r="BJR81" s="1251"/>
      <c r="BJS81" s="1251"/>
      <c r="BJT81" s="1251"/>
      <c r="BJU81" s="1251"/>
      <c r="BJV81" s="1251"/>
      <c r="BJW81" s="1251"/>
      <c r="BJX81" s="1251"/>
      <c r="BJY81" s="1251"/>
      <c r="BJZ81" s="1251"/>
      <c r="BKA81" s="1251"/>
      <c r="BKB81" s="1251"/>
      <c r="BKC81" s="1251"/>
      <c r="BKD81" s="1251"/>
      <c r="BKE81" s="1251"/>
      <c r="BKF81" s="1251"/>
      <c r="BKG81" s="1251"/>
      <c r="BKH81" s="1251"/>
      <c r="BKI81" s="1251"/>
      <c r="BKJ81" s="1251"/>
      <c r="BKK81" s="1251"/>
      <c r="BKL81" s="1251"/>
      <c r="BKM81" s="1251"/>
      <c r="BKN81" s="1251"/>
      <c r="BKO81" s="1251"/>
      <c r="BKP81" s="1251"/>
      <c r="BKQ81" s="1251"/>
      <c r="BKR81" s="1251"/>
      <c r="BKS81" s="1251"/>
      <c r="BKT81" s="1251"/>
      <c r="BKU81" s="1251"/>
      <c r="BKV81" s="1251"/>
      <c r="BKW81" s="1251"/>
      <c r="BKX81" s="1251"/>
      <c r="BKY81" s="1251"/>
      <c r="BKZ81" s="1251"/>
      <c r="BLA81" s="1251"/>
      <c r="BLB81" s="1251"/>
      <c r="BLC81" s="1251"/>
      <c r="BLD81" s="1251"/>
      <c r="BLE81" s="1251"/>
      <c r="BLF81" s="1251"/>
      <c r="BLG81" s="1251"/>
      <c r="BLH81" s="1251"/>
      <c r="BLI81" s="1251"/>
      <c r="BLJ81" s="1251"/>
      <c r="BLK81" s="1251"/>
      <c r="BLL81" s="1251"/>
      <c r="BLM81" s="1251"/>
      <c r="BLN81" s="1251"/>
      <c r="BLO81" s="1251"/>
      <c r="BLP81" s="1251"/>
      <c r="BLQ81" s="1251"/>
      <c r="BLR81" s="1251"/>
      <c r="BLS81" s="1251"/>
      <c r="BLT81" s="1251"/>
      <c r="BLU81" s="1251"/>
      <c r="BLV81" s="1251"/>
      <c r="BLW81" s="1251"/>
      <c r="BLX81" s="1251"/>
      <c r="BLY81" s="1251"/>
      <c r="BLZ81" s="1251"/>
      <c r="BMA81" s="1251"/>
      <c r="BMB81" s="1251"/>
      <c r="BMC81" s="1251"/>
      <c r="BMD81" s="1251"/>
      <c r="BME81" s="1251"/>
      <c r="BMF81" s="1251"/>
      <c r="BMG81" s="1251"/>
      <c r="BMH81" s="1251"/>
      <c r="BMI81" s="1251"/>
      <c r="BMJ81" s="1251"/>
      <c r="BMK81" s="1251"/>
      <c r="BML81" s="1251"/>
      <c r="BMM81" s="1251"/>
      <c r="BMN81" s="1251"/>
      <c r="BMO81" s="1251"/>
      <c r="BMP81" s="1251"/>
      <c r="BMQ81" s="1251"/>
      <c r="BMR81" s="1251"/>
      <c r="BMS81" s="1251"/>
      <c r="BMT81" s="1251"/>
      <c r="BMU81" s="1251"/>
      <c r="BMV81" s="1251"/>
      <c r="BMW81" s="1251"/>
      <c r="BMX81" s="1251"/>
      <c r="BMY81" s="1251"/>
      <c r="BMZ81" s="1251"/>
      <c r="BNA81" s="1251"/>
      <c r="BNB81" s="1251"/>
      <c r="BNC81" s="1251"/>
      <c r="BND81" s="1251"/>
      <c r="BNE81" s="1251"/>
      <c r="BNF81" s="1251"/>
      <c r="BNG81" s="1251"/>
      <c r="BNH81" s="1251"/>
      <c r="BNI81" s="1251"/>
      <c r="BNJ81" s="1251"/>
      <c r="BNK81" s="1251"/>
      <c r="BNL81" s="1251"/>
      <c r="BNM81" s="1251"/>
      <c r="BNN81" s="1251"/>
      <c r="BNO81" s="1251"/>
      <c r="BNP81" s="1251"/>
      <c r="BNQ81" s="1251"/>
      <c r="BNR81" s="1251"/>
      <c r="BNS81" s="1251"/>
      <c r="BNT81" s="1251"/>
      <c r="BNU81" s="1251"/>
      <c r="BNV81" s="1251"/>
      <c r="BNW81" s="1251"/>
      <c r="BNX81" s="1251"/>
      <c r="BNY81" s="1251"/>
      <c r="BNZ81" s="1251"/>
      <c r="BOA81" s="1251"/>
      <c r="BOB81" s="1251"/>
      <c r="BOC81" s="1251"/>
      <c r="BOD81" s="1251"/>
      <c r="BOE81" s="1251"/>
      <c r="BOF81" s="1251"/>
      <c r="BOG81" s="1251"/>
      <c r="BOH81" s="1251"/>
      <c r="BOI81" s="1251"/>
      <c r="BOJ81" s="1251"/>
      <c r="BOK81" s="1251"/>
      <c r="BOL81" s="1251"/>
      <c r="BOM81" s="1251"/>
      <c r="BON81" s="1251"/>
      <c r="BOO81" s="1251"/>
      <c r="BOP81" s="1251"/>
      <c r="BOQ81" s="1251"/>
      <c r="BOR81" s="1251"/>
      <c r="BOS81" s="1251"/>
      <c r="BOT81" s="1251"/>
      <c r="BOU81" s="1251"/>
      <c r="BOV81" s="1251"/>
      <c r="BOW81" s="1251"/>
      <c r="BOX81" s="1251"/>
      <c r="BOY81" s="1251"/>
      <c r="BOZ81" s="1251"/>
      <c r="BPA81" s="1251"/>
      <c r="BPB81" s="1251"/>
      <c r="BPC81" s="1251"/>
      <c r="BPD81" s="1251"/>
      <c r="BPE81" s="1251"/>
      <c r="BPF81" s="1251"/>
      <c r="BPG81" s="1251"/>
      <c r="BPH81" s="1251"/>
      <c r="BPI81" s="1251"/>
      <c r="BPJ81" s="1251"/>
      <c r="BPK81" s="1251"/>
      <c r="BPL81" s="1251"/>
      <c r="BPM81" s="1251"/>
      <c r="BPN81" s="1251"/>
      <c r="BPO81" s="1251"/>
      <c r="BPP81" s="1251"/>
      <c r="BPQ81" s="1251"/>
      <c r="BPR81" s="1251"/>
      <c r="BPS81" s="1251"/>
      <c r="BPT81" s="1251"/>
      <c r="BPU81" s="1251"/>
      <c r="BPV81" s="1251"/>
      <c r="BPW81" s="1251"/>
      <c r="BPX81" s="1251"/>
      <c r="BPY81" s="1251"/>
      <c r="BPZ81" s="1251"/>
      <c r="BQA81" s="1251"/>
      <c r="BQB81" s="1251"/>
      <c r="BQC81" s="1251"/>
      <c r="BQD81" s="1251"/>
      <c r="BQE81" s="1251"/>
      <c r="BQF81" s="1251"/>
      <c r="BQG81" s="1251"/>
      <c r="BQH81" s="1251"/>
      <c r="BQI81" s="1251"/>
      <c r="BQJ81" s="1251"/>
      <c r="BQK81" s="1251"/>
      <c r="BQL81" s="1251"/>
      <c r="BQM81" s="1251"/>
      <c r="BQN81" s="1251"/>
      <c r="BQO81" s="1251"/>
      <c r="BQP81" s="1251"/>
      <c r="BQQ81" s="1251"/>
      <c r="BQR81" s="1251"/>
      <c r="BQS81" s="1251"/>
      <c r="BQT81" s="1251"/>
      <c r="BQU81" s="1251"/>
      <c r="BQV81" s="1251"/>
      <c r="BQW81" s="1251"/>
      <c r="BQX81" s="1251"/>
      <c r="BQY81" s="1251"/>
      <c r="BQZ81" s="1251"/>
      <c r="BRA81" s="1251"/>
      <c r="BRB81" s="1251"/>
      <c r="BRC81" s="1251"/>
      <c r="BRD81" s="1251"/>
      <c r="BRE81" s="1251"/>
      <c r="BRF81" s="1251"/>
      <c r="BRG81" s="1251"/>
      <c r="BRH81" s="1251"/>
      <c r="BRI81" s="1251"/>
      <c r="BRJ81" s="1251"/>
      <c r="BRK81" s="1251"/>
      <c r="BRL81" s="1251"/>
      <c r="BRM81" s="1251"/>
      <c r="BRN81" s="1251"/>
      <c r="BRO81" s="1251"/>
      <c r="BRP81" s="1251"/>
      <c r="BRQ81" s="1251"/>
      <c r="BRR81" s="1251"/>
      <c r="BRS81" s="1251"/>
      <c r="BRT81" s="1251"/>
      <c r="BRU81" s="1251"/>
      <c r="BRV81" s="1251"/>
      <c r="BRW81" s="1251"/>
      <c r="BRX81" s="1251"/>
      <c r="BRY81" s="1251"/>
      <c r="BRZ81" s="1251"/>
      <c r="BSA81" s="1251"/>
      <c r="BSB81" s="1251"/>
      <c r="BSC81" s="1251"/>
      <c r="BSD81" s="1251"/>
      <c r="BSE81" s="1251"/>
      <c r="BSF81" s="1251"/>
      <c r="BSG81" s="1251"/>
      <c r="BSH81" s="1251"/>
      <c r="BSI81" s="1251"/>
      <c r="BSJ81" s="1251"/>
      <c r="BSK81" s="1251"/>
      <c r="BSL81" s="1251"/>
      <c r="BSM81" s="1251"/>
      <c r="BSN81" s="1251"/>
      <c r="BSO81" s="1251"/>
      <c r="BSP81" s="1251"/>
      <c r="BSQ81" s="1251"/>
      <c r="BSR81" s="1251"/>
      <c r="BSS81" s="1251"/>
      <c r="BST81" s="1251"/>
      <c r="BSU81" s="1251"/>
      <c r="BSV81" s="1251"/>
      <c r="BSW81" s="1251"/>
      <c r="BSX81" s="1251"/>
      <c r="BSY81" s="1251"/>
      <c r="BSZ81" s="1251"/>
      <c r="BTA81" s="1251"/>
      <c r="BTB81" s="1251"/>
      <c r="BTC81" s="1251"/>
      <c r="BTD81" s="1251"/>
      <c r="BTE81" s="1251"/>
      <c r="BTF81" s="1251"/>
      <c r="BTG81" s="1251"/>
      <c r="BTH81" s="1251"/>
      <c r="BTI81" s="1251"/>
    </row>
    <row r="82" spans="1:1881" s="1261" customFormat="1" ht="58.5" hidden="1" customHeight="1" thickBot="1" x14ac:dyDescent="0.35">
      <c r="A82" s="1248">
        <v>20</v>
      </c>
      <c r="B82" s="593" t="s">
        <v>55</v>
      </c>
      <c r="C82" s="593" t="s">
        <v>152</v>
      </c>
      <c r="D82" s="29" t="s">
        <v>1374</v>
      </c>
      <c r="E82" s="1249" t="e">
        <f>HLOOKUP($D$2,'2020 Data(H)'!$C$1:$CZ$426,15,FALSE)</f>
        <v>#N/A</v>
      </c>
      <c r="F82" s="1263">
        <v>0</v>
      </c>
      <c r="G82" s="727">
        <f>IF(F82&lt;0,"Error: Enter as positive.",)</f>
        <v>0</v>
      </c>
      <c r="H82" s="17"/>
      <c r="I82" s="760"/>
      <c r="J82" s="1251"/>
      <c r="K82" s="1251"/>
      <c r="L82" s="701"/>
      <c r="M82" s="1251"/>
      <c r="N82" s="1253"/>
      <c r="O82" s="1251"/>
      <c r="P82" s="1251"/>
      <c r="Q82" s="1251"/>
      <c r="R82" s="1251"/>
      <c r="S82" s="1251"/>
      <c r="T82" s="1251"/>
      <c r="U82" s="1251"/>
      <c r="V82" s="1251"/>
      <c r="W82" s="1251"/>
      <c r="X82" s="1251"/>
      <c r="Y82" s="1251"/>
      <c r="Z82" s="1248"/>
      <c r="AA82" s="1248"/>
      <c r="AB82" s="1248"/>
      <c r="AC82" s="1248"/>
      <c r="AD82" s="1248"/>
      <c r="AE82" s="1248"/>
      <c r="AF82" s="1248"/>
      <c r="AG82" s="1248"/>
      <c r="AH82" s="1248"/>
      <c r="AI82" s="1248"/>
      <c r="AJ82" s="1248"/>
      <c r="AK82" s="1248"/>
      <c r="AL82" s="1248"/>
      <c r="AM82" s="1248"/>
      <c r="AN82" s="1248"/>
      <c r="AO82" s="1248"/>
      <c r="AP82" s="1248"/>
      <c r="AQ82" s="1248"/>
      <c r="AR82" s="1248"/>
      <c r="AS82" s="1251"/>
      <c r="AT82" s="1251"/>
      <c r="AU82" s="1251"/>
      <c r="AV82" s="1251"/>
      <c r="AW82" s="1251"/>
      <c r="AX82" s="1251"/>
      <c r="AY82" s="1251"/>
      <c r="AZ82" s="1251"/>
      <c r="BA82" s="1251"/>
      <c r="BB82" s="1251"/>
      <c r="BC82" s="1251"/>
      <c r="BD82" s="1251"/>
      <c r="BE82" s="1251"/>
      <c r="BF82" s="1251"/>
      <c r="BG82" s="1251"/>
      <c r="BH82" s="1251"/>
      <c r="BI82" s="1251"/>
      <c r="BJ82" s="1251"/>
      <c r="BK82" s="1251"/>
      <c r="BL82" s="1251"/>
      <c r="BM82" s="1251"/>
      <c r="BN82" s="1251"/>
      <c r="BO82" s="1251"/>
      <c r="BP82" s="1251"/>
      <c r="BQ82" s="1251"/>
      <c r="BR82" s="1251"/>
      <c r="BS82" s="1251"/>
      <c r="BT82" s="1251"/>
      <c r="BU82" s="1251"/>
      <c r="BV82" s="1251"/>
      <c r="BW82" s="1251"/>
      <c r="BX82" s="1251"/>
      <c r="BY82" s="1251"/>
      <c r="BZ82" s="1251"/>
      <c r="CA82" s="1251"/>
      <c r="CB82" s="1251"/>
      <c r="CC82" s="1251"/>
      <c r="CD82" s="1251"/>
      <c r="CE82" s="1251"/>
      <c r="CF82" s="1251"/>
      <c r="CG82" s="1251"/>
      <c r="CH82" s="1251"/>
      <c r="CI82" s="1251"/>
      <c r="CJ82" s="1251"/>
      <c r="CK82" s="1251"/>
      <c r="CL82" s="1251"/>
      <c r="CM82" s="1251"/>
      <c r="CN82" s="1251"/>
      <c r="CO82" s="1251"/>
      <c r="CP82" s="1251"/>
      <c r="CQ82" s="1251"/>
      <c r="CR82" s="1251"/>
      <c r="CS82" s="1251"/>
      <c r="CT82" s="1251"/>
      <c r="CU82" s="1251"/>
      <c r="CV82" s="1251"/>
      <c r="CW82" s="1251"/>
      <c r="CX82" s="1251"/>
      <c r="CY82" s="1251"/>
      <c r="CZ82" s="1251"/>
      <c r="DA82" s="1251"/>
      <c r="DB82" s="1251"/>
      <c r="DC82" s="1251"/>
      <c r="DD82" s="1251"/>
      <c r="DE82" s="1251"/>
      <c r="DF82" s="1251"/>
      <c r="DG82" s="1251"/>
      <c r="DH82" s="1251"/>
      <c r="DI82" s="1251"/>
      <c r="DJ82" s="1251"/>
      <c r="DK82" s="1251"/>
      <c r="DL82" s="1251"/>
      <c r="DM82" s="1251"/>
      <c r="DN82" s="1251"/>
      <c r="DO82" s="1251"/>
      <c r="DP82" s="1251"/>
      <c r="DQ82" s="1251"/>
      <c r="DR82" s="1251"/>
      <c r="DS82" s="1251"/>
      <c r="DT82" s="1251"/>
      <c r="DU82" s="1251"/>
      <c r="DV82" s="1251"/>
      <c r="DW82" s="1251"/>
      <c r="DX82" s="1251"/>
      <c r="DY82" s="1251"/>
      <c r="DZ82" s="1251"/>
      <c r="EA82" s="1251"/>
      <c r="EB82" s="1251"/>
      <c r="EC82" s="1251"/>
      <c r="ED82" s="1251"/>
      <c r="EE82" s="1251"/>
      <c r="EF82" s="1251"/>
      <c r="EG82" s="1251"/>
      <c r="EH82" s="1251"/>
      <c r="EI82" s="1251"/>
      <c r="EJ82" s="1251"/>
      <c r="EK82" s="1251"/>
      <c r="EL82" s="1251"/>
      <c r="EM82" s="1251"/>
      <c r="EN82" s="1251"/>
      <c r="EO82" s="1251"/>
      <c r="EP82" s="1251"/>
      <c r="EQ82" s="1251"/>
      <c r="ER82" s="1251"/>
      <c r="ES82" s="1251"/>
      <c r="ET82" s="1251"/>
      <c r="EU82" s="1251"/>
      <c r="EV82" s="1251"/>
      <c r="EW82" s="1251"/>
      <c r="EX82" s="1251"/>
      <c r="EY82" s="1251"/>
      <c r="EZ82" s="1251"/>
      <c r="FA82" s="1251"/>
      <c r="FB82" s="1251"/>
      <c r="FC82" s="1251"/>
      <c r="FD82" s="1251"/>
      <c r="FE82" s="1251"/>
      <c r="FF82" s="1251"/>
      <c r="FG82" s="1251"/>
      <c r="FH82" s="1251"/>
      <c r="FI82" s="1251"/>
      <c r="FJ82" s="1251"/>
      <c r="FK82" s="1251"/>
      <c r="FL82" s="1251"/>
      <c r="FM82" s="1251"/>
      <c r="FN82" s="1251"/>
      <c r="FO82" s="1251"/>
      <c r="FP82" s="1251"/>
      <c r="FQ82" s="1251"/>
      <c r="FR82" s="1251"/>
      <c r="FS82" s="1251"/>
      <c r="FT82" s="1251"/>
      <c r="FU82" s="1251"/>
      <c r="FV82" s="1251"/>
      <c r="FW82" s="1251"/>
      <c r="FX82" s="1251"/>
      <c r="FY82" s="1251"/>
      <c r="FZ82" s="1251"/>
      <c r="GA82" s="1251"/>
      <c r="GB82" s="1251"/>
      <c r="GC82" s="1251"/>
      <c r="GD82" s="1251"/>
      <c r="GE82" s="1251"/>
      <c r="GF82" s="1251"/>
      <c r="GG82" s="1251"/>
      <c r="GH82" s="1251"/>
      <c r="GI82" s="1251"/>
      <c r="GJ82" s="1251"/>
      <c r="GK82" s="1251"/>
      <c r="GL82" s="1251"/>
      <c r="GM82" s="1251"/>
      <c r="GN82" s="1251"/>
      <c r="GO82" s="1251"/>
      <c r="GP82" s="1251"/>
      <c r="GQ82" s="1251"/>
      <c r="GR82" s="1251"/>
      <c r="GS82" s="1251"/>
      <c r="GT82" s="1251"/>
      <c r="GU82" s="1251"/>
      <c r="GV82" s="1251"/>
      <c r="GW82" s="1251"/>
      <c r="GX82" s="1251"/>
      <c r="GY82" s="1251"/>
      <c r="GZ82" s="1251"/>
      <c r="HA82" s="1251"/>
      <c r="HB82" s="1251"/>
      <c r="HC82" s="1251"/>
      <c r="HD82" s="1251"/>
      <c r="HE82" s="1251"/>
      <c r="HF82" s="1251"/>
      <c r="HG82" s="1251"/>
      <c r="HH82" s="1251"/>
      <c r="HI82" s="1251"/>
      <c r="HJ82" s="1251"/>
      <c r="HK82" s="1251"/>
      <c r="HL82" s="1251"/>
      <c r="HM82" s="1251"/>
      <c r="HN82" s="1251"/>
      <c r="HO82" s="1251"/>
      <c r="HP82" s="1251"/>
      <c r="HQ82" s="1251"/>
      <c r="HR82" s="1251"/>
      <c r="HS82" s="1251"/>
      <c r="HT82" s="1251"/>
      <c r="HU82" s="1251"/>
      <c r="HV82" s="1251"/>
      <c r="HW82" s="1251"/>
      <c r="HX82" s="1251"/>
      <c r="HY82" s="1251"/>
      <c r="HZ82" s="1251"/>
      <c r="IA82" s="1251"/>
      <c r="IB82" s="1251"/>
      <c r="IC82" s="1251"/>
      <c r="ID82" s="1251"/>
      <c r="IE82" s="1251"/>
      <c r="IF82" s="1251"/>
      <c r="IG82" s="1251"/>
      <c r="IH82" s="1251"/>
      <c r="II82" s="1251"/>
      <c r="IJ82" s="1251"/>
      <c r="IK82" s="1251"/>
      <c r="IL82" s="1251"/>
      <c r="IM82" s="1251"/>
      <c r="IN82" s="1251"/>
      <c r="IO82" s="1251"/>
      <c r="IP82" s="1251"/>
      <c r="IQ82" s="1251"/>
      <c r="IR82" s="1251"/>
      <c r="IS82" s="1251"/>
      <c r="IT82" s="1251"/>
      <c r="IU82" s="1251"/>
      <c r="IV82" s="1251"/>
      <c r="IW82" s="1251"/>
      <c r="IX82" s="1251"/>
      <c r="IY82" s="1251"/>
      <c r="IZ82" s="1251"/>
      <c r="JA82" s="1251"/>
      <c r="JB82" s="1251"/>
      <c r="JC82" s="1251"/>
      <c r="JD82" s="1251"/>
      <c r="JE82" s="1251"/>
      <c r="JF82" s="1251"/>
      <c r="JG82" s="1251"/>
      <c r="JH82" s="1251"/>
      <c r="JI82" s="1251"/>
      <c r="JJ82" s="1251"/>
      <c r="JK82" s="1251"/>
      <c r="JL82" s="1251"/>
      <c r="JM82" s="1251"/>
      <c r="JN82" s="1251"/>
      <c r="JO82" s="1251"/>
      <c r="JP82" s="1251"/>
      <c r="JQ82" s="1251"/>
      <c r="JR82" s="1251"/>
      <c r="JS82" s="1251"/>
      <c r="JT82" s="1251"/>
      <c r="JU82" s="1251"/>
      <c r="JV82" s="1251"/>
      <c r="JW82" s="1251"/>
      <c r="JX82" s="1251"/>
      <c r="JY82" s="1251"/>
      <c r="JZ82" s="1251"/>
      <c r="KA82" s="1251"/>
      <c r="KB82" s="1251"/>
      <c r="KC82" s="1251"/>
      <c r="KD82" s="1251"/>
      <c r="KE82" s="1251"/>
      <c r="KF82" s="1251"/>
      <c r="KG82" s="1251"/>
      <c r="KH82" s="1251"/>
      <c r="KI82" s="1251"/>
      <c r="KJ82" s="1251"/>
      <c r="KK82" s="1251"/>
      <c r="KL82" s="1251"/>
      <c r="KM82" s="1251"/>
      <c r="KN82" s="1251"/>
      <c r="KO82" s="1251"/>
      <c r="KP82" s="1251"/>
      <c r="KQ82" s="1251"/>
      <c r="KR82" s="1251"/>
      <c r="KS82" s="1251"/>
      <c r="KT82" s="1251"/>
      <c r="KU82" s="1251"/>
      <c r="KV82" s="1251"/>
      <c r="KW82" s="1251"/>
      <c r="KX82" s="1251"/>
      <c r="KY82" s="1251"/>
      <c r="KZ82" s="1251"/>
      <c r="LA82" s="1251"/>
      <c r="LB82" s="1251"/>
      <c r="LC82" s="1251"/>
      <c r="LD82" s="1251"/>
      <c r="LE82" s="1251"/>
      <c r="LF82" s="1251"/>
      <c r="LG82" s="1251"/>
      <c r="LH82" s="1251"/>
      <c r="LI82" s="1251"/>
      <c r="LJ82" s="1251"/>
      <c r="LK82" s="1251"/>
      <c r="LL82" s="1251"/>
      <c r="LM82" s="1251"/>
      <c r="LN82" s="1251"/>
      <c r="LO82" s="1251"/>
      <c r="LP82" s="1251"/>
      <c r="LQ82" s="1251"/>
      <c r="LR82" s="1251"/>
      <c r="LS82" s="1251"/>
      <c r="LT82" s="1251"/>
      <c r="LU82" s="1251"/>
      <c r="LV82" s="1251"/>
      <c r="LW82" s="1251"/>
      <c r="LX82" s="1251"/>
      <c r="LY82" s="1251"/>
      <c r="LZ82" s="1251"/>
      <c r="MA82" s="1251"/>
      <c r="MB82" s="1251"/>
      <c r="MC82" s="1251"/>
      <c r="MD82" s="1251"/>
      <c r="ME82" s="1251"/>
      <c r="MF82" s="1251"/>
      <c r="MG82" s="1251"/>
      <c r="MH82" s="1251"/>
      <c r="MI82" s="1251"/>
      <c r="MJ82" s="1251"/>
      <c r="MK82" s="1251"/>
      <c r="ML82" s="1251"/>
      <c r="MM82" s="1251"/>
      <c r="MN82" s="1251"/>
      <c r="MO82" s="1251"/>
      <c r="MP82" s="1251"/>
      <c r="MQ82" s="1251"/>
      <c r="MR82" s="1251"/>
      <c r="MS82" s="1251"/>
      <c r="MT82" s="1251"/>
      <c r="MU82" s="1251"/>
      <c r="MV82" s="1251"/>
      <c r="MW82" s="1251"/>
      <c r="MX82" s="1251"/>
      <c r="MY82" s="1251"/>
      <c r="MZ82" s="1251"/>
      <c r="NA82" s="1251"/>
      <c r="NB82" s="1251"/>
      <c r="NC82" s="1251"/>
      <c r="ND82" s="1251"/>
      <c r="NE82" s="1251"/>
      <c r="NF82" s="1251"/>
      <c r="NG82" s="1251"/>
      <c r="NH82" s="1251"/>
      <c r="NI82" s="1251"/>
      <c r="NJ82" s="1251"/>
      <c r="NK82" s="1251"/>
      <c r="NL82" s="1251"/>
      <c r="NM82" s="1251"/>
      <c r="NN82" s="1251"/>
      <c r="NO82" s="1251"/>
      <c r="NP82" s="1251"/>
      <c r="NQ82" s="1251"/>
      <c r="NR82" s="1251"/>
      <c r="NS82" s="1251"/>
      <c r="NT82" s="1251"/>
      <c r="NU82" s="1251"/>
      <c r="NV82" s="1251"/>
      <c r="NW82" s="1251"/>
      <c r="NX82" s="1251"/>
      <c r="NY82" s="1251"/>
      <c r="NZ82" s="1251"/>
      <c r="OA82" s="1251"/>
      <c r="OB82" s="1251"/>
      <c r="OC82" s="1251"/>
      <c r="OD82" s="1251"/>
      <c r="OE82" s="1251"/>
      <c r="OF82" s="1251"/>
      <c r="OG82" s="1251"/>
      <c r="OH82" s="1251"/>
      <c r="OI82" s="1251"/>
      <c r="OJ82" s="1251"/>
      <c r="OK82" s="1251"/>
      <c r="OL82" s="1251"/>
      <c r="OM82" s="1251"/>
      <c r="ON82" s="1251"/>
      <c r="OO82" s="1251"/>
      <c r="OP82" s="1251"/>
      <c r="OQ82" s="1251"/>
      <c r="OR82" s="1251"/>
      <c r="OS82" s="1251"/>
      <c r="OT82" s="1251"/>
      <c r="OU82" s="1251"/>
      <c r="OV82" s="1251"/>
      <c r="OW82" s="1251"/>
      <c r="OX82" s="1251"/>
      <c r="OY82" s="1251"/>
      <c r="OZ82" s="1251"/>
      <c r="PA82" s="1251"/>
      <c r="PB82" s="1251"/>
      <c r="PC82" s="1251"/>
      <c r="PD82" s="1251"/>
      <c r="PE82" s="1251"/>
      <c r="PF82" s="1251"/>
      <c r="PG82" s="1251"/>
      <c r="PH82" s="1251"/>
      <c r="PI82" s="1251"/>
      <c r="PJ82" s="1251"/>
      <c r="PK82" s="1251"/>
      <c r="PL82" s="1251"/>
      <c r="PM82" s="1251"/>
      <c r="PN82" s="1251"/>
      <c r="PO82" s="1251"/>
      <c r="PP82" s="1251"/>
      <c r="PQ82" s="1251"/>
      <c r="PR82" s="1251"/>
      <c r="PS82" s="1251"/>
      <c r="PT82" s="1251"/>
      <c r="PU82" s="1251"/>
      <c r="PV82" s="1251"/>
      <c r="PW82" s="1251"/>
      <c r="PX82" s="1251"/>
      <c r="PY82" s="1251"/>
      <c r="PZ82" s="1251"/>
      <c r="QA82" s="1251"/>
      <c r="QB82" s="1251"/>
      <c r="QC82" s="1251"/>
      <c r="QD82" s="1251"/>
      <c r="QE82" s="1251"/>
      <c r="QF82" s="1251"/>
      <c r="QG82" s="1251"/>
      <c r="QH82" s="1251"/>
      <c r="QI82" s="1251"/>
      <c r="QJ82" s="1251"/>
      <c r="QK82" s="1251"/>
      <c r="QL82" s="1251"/>
      <c r="QM82" s="1251"/>
      <c r="QN82" s="1251"/>
      <c r="QO82" s="1251"/>
      <c r="QP82" s="1251"/>
      <c r="QQ82" s="1251"/>
      <c r="QR82" s="1251"/>
      <c r="QS82" s="1251"/>
      <c r="QT82" s="1251"/>
      <c r="QU82" s="1251"/>
      <c r="QV82" s="1251"/>
      <c r="QW82" s="1251"/>
      <c r="QX82" s="1251"/>
      <c r="QY82" s="1251"/>
      <c r="QZ82" s="1251"/>
      <c r="RA82" s="1251"/>
      <c r="RB82" s="1251"/>
      <c r="RC82" s="1251"/>
      <c r="RD82" s="1251"/>
      <c r="RE82" s="1251"/>
      <c r="RF82" s="1251"/>
      <c r="RG82" s="1251"/>
      <c r="RH82" s="1251"/>
      <c r="RI82" s="1251"/>
      <c r="RJ82" s="1251"/>
      <c r="RK82" s="1251"/>
      <c r="RL82" s="1251"/>
      <c r="RM82" s="1251"/>
      <c r="RN82" s="1251"/>
      <c r="RO82" s="1251"/>
      <c r="RP82" s="1251"/>
      <c r="RQ82" s="1251"/>
      <c r="RR82" s="1251"/>
      <c r="RS82" s="1251"/>
      <c r="RT82" s="1251"/>
      <c r="RU82" s="1251"/>
      <c r="RV82" s="1251"/>
      <c r="RW82" s="1251"/>
      <c r="RX82" s="1251"/>
      <c r="RY82" s="1251"/>
      <c r="RZ82" s="1251"/>
      <c r="SA82" s="1251"/>
      <c r="SB82" s="1251"/>
      <c r="SC82" s="1251"/>
      <c r="SD82" s="1251"/>
      <c r="SE82" s="1251"/>
      <c r="SF82" s="1251"/>
      <c r="SG82" s="1251"/>
      <c r="SH82" s="1251"/>
      <c r="SI82" s="1251"/>
      <c r="SJ82" s="1251"/>
      <c r="SK82" s="1251"/>
      <c r="SL82" s="1251"/>
      <c r="SM82" s="1251"/>
      <c r="SN82" s="1251"/>
      <c r="SO82" s="1251"/>
      <c r="SP82" s="1251"/>
      <c r="SQ82" s="1251"/>
      <c r="SR82" s="1251"/>
      <c r="SS82" s="1251"/>
      <c r="ST82" s="1251"/>
      <c r="SU82" s="1251"/>
      <c r="SV82" s="1251"/>
      <c r="SW82" s="1251"/>
      <c r="SX82" s="1251"/>
      <c r="SY82" s="1251"/>
      <c r="SZ82" s="1251"/>
      <c r="TA82" s="1251"/>
      <c r="TB82" s="1251"/>
      <c r="TC82" s="1251"/>
      <c r="TD82" s="1251"/>
      <c r="TE82" s="1251"/>
      <c r="TF82" s="1251"/>
      <c r="TG82" s="1251"/>
      <c r="TH82" s="1251"/>
      <c r="TI82" s="1251"/>
      <c r="TJ82" s="1251"/>
      <c r="TK82" s="1251"/>
      <c r="TL82" s="1251"/>
      <c r="TM82" s="1251"/>
      <c r="TN82" s="1251"/>
      <c r="TO82" s="1251"/>
      <c r="TP82" s="1251"/>
      <c r="TQ82" s="1251"/>
      <c r="TR82" s="1251"/>
      <c r="TS82" s="1251"/>
      <c r="TT82" s="1251"/>
      <c r="TU82" s="1251"/>
      <c r="TV82" s="1251"/>
      <c r="TW82" s="1251"/>
      <c r="TX82" s="1251"/>
      <c r="TY82" s="1251"/>
      <c r="TZ82" s="1251"/>
      <c r="UA82" s="1251"/>
      <c r="UB82" s="1251"/>
      <c r="UC82" s="1251"/>
      <c r="UD82" s="1251"/>
      <c r="UE82" s="1251"/>
      <c r="UF82" s="1251"/>
      <c r="UG82" s="1251"/>
      <c r="UH82" s="1251"/>
      <c r="UI82" s="1251"/>
      <c r="UJ82" s="1251"/>
      <c r="UK82" s="1251"/>
      <c r="UL82" s="1251"/>
      <c r="UM82" s="1251"/>
      <c r="UN82" s="1251"/>
      <c r="UO82" s="1251"/>
      <c r="UP82" s="1251"/>
      <c r="UQ82" s="1251"/>
      <c r="UR82" s="1251"/>
      <c r="US82" s="1251"/>
      <c r="UT82" s="1251"/>
      <c r="UU82" s="1251"/>
      <c r="UV82" s="1251"/>
      <c r="UW82" s="1251"/>
      <c r="UX82" s="1251"/>
      <c r="UY82" s="1251"/>
      <c r="UZ82" s="1251"/>
      <c r="VA82" s="1251"/>
      <c r="VB82" s="1251"/>
      <c r="VC82" s="1251"/>
      <c r="VD82" s="1251"/>
      <c r="VE82" s="1251"/>
      <c r="VF82" s="1251"/>
      <c r="VG82" s="1251"/>
      <c r="VH82" s="1251"/>
      <c r="VI82" s="1251"/>
      <c r="VJ82" s="1251"/>
      <c r="VK82" s="1251"/>
      <c r="VL82" s="1251"/>
      <c r="VM82" s="1251"/>
      <c r="VN82" s="1251"/>
      <c r="VO82" s="1251"/>
      <c r="VP82" s="1251"/>
      <c r="VQ82" s="1251"/>
      <c r="VR82" s="1251"/>
      <c r="VS82" s="1251"/>
      <c r="VT82" s="1251"/>
      <c r="VU82" s="1251"/>
      <c r="VV82" s="1251"/>
      <c r="VW82" s="1251"/>
      <c r="VX82" s="1251"/>
      <c r="VY82" s="1251"/>
      <c r="VZ82" s="1251"/>
      <c r="WA82" s="1251"/>
      <c r="WB82" s="1251"/>
      <c r="WC82" s="1251"/>
      <c r="WD82" s="1251"/>
      <c r="WE82" s="1251"/>
      <c r="WF82" s="1251"/>
      <c r="WG82" s="1251"/>
      <c r="WH82" s="1251"/>
      <c r="WI82" s="1251"/>
      <c r="WJ82" s="1251"/>
      <c r="WK82" s="1251"/>
      <c r="WL82" s="1251"/>
      <c r="WM82" s="1251"/>
      <c r="WN82" s="1251"/>
      <c r="WO82" s="1251"/>
      <c r="WP82" s="1251"/>
      <c r="WQ82" s="1251"/>
      <c r="WR82" s="1251"/>
      <c r="WS82" s="1251"/>
      <c r="WT82" s="1251"/>
      <c r="WU82" s="1251"/>
      <c r="WV82" s="1251"/>
      <c r="WW82" s="1251"/>
      <c r="WX82" s="1251"/>
      <c r="WY82" s="1251"/>
      <c r="WZ82" s="1251"/>
      <c r="XA82" s="1251"/>
      <c r="XB82" s="1251"/>
      <c r="XC82" s="1251"/>
      <c r="XD82" s="1251"/>
      <c r="XE82" s="1251"/>
      <c r="XF82" s="1251"/>
      <c r="XG82" s="1251"/>
      <c r="XH82" s="1251"/>
      <c r="XI82" s="1251"/>
      <c r="XJ82" s="1251"/>
      <c r="XK82" s="1251"/>
      <c r="XL82" s="1251"/>
      <c r="XM82" s="1251"/>
      <c r="XN82" s="1251"/>
      <c r="XO82" s="1251"/>
      <c r="XP82" s="1251"/>
      <c r="XQ82" s="1251"/>
      <c r="XR82" s="1251"/>
      <c r="XS82" s="1251"/>
      <c r="XT82" s="1251"/>
      <c r="XU82" s="1251"/>
      <c r="XV82" s="1251"/>
      <c r="XW82" s="1251"/>
      <c r="XX82" s="1251"/>
      <c r="XY82" s="1251"/>
      <c r="XZ82" s="1251"/>
      <c r="YA82" s="1251"/>
      <c r="YB82" s="1251"/>
      <c r="YC82" s="1251"/>
      <c r="YD82" s="1251"/>
      <c r="YE82" s="1251"/>
      <c r="YF82" s="1251"/>
      <c r="YG82" s="1251"/>
      <c r="YH82" s="1251"/>
      <c r="YI82" s="1251"/>
      <c r="YJ82" s="1251"/>
      <c r="YK82" s="1251"/>
      <c r="YL82" s="1251"/>
      <c r="YM82" s="1251"/>
      <c r="YN82" s="1251"/>
      <c r="YO82" s="1251"/>
      <c r="YP82" s="1251"/>
      <c r="YQ82" s="1251"/>
      <c r="YR82" s="1251"/>
      <c r="YS82" s="1251"/>
      <c r="YT82" s="1251"/>
      <c r="YU82" s="1251"/>
      <c r="YV82" s="1251"/>
      <c r="YW82" s="1251"/>
      <c r="YX82" s="1251"/>
      <c r="YY82" s="1251"/>
      <c r="YZ82" s="1251"/>
      <c r="ZA82" s="1251"/>
      <c r="ZB82" s="1251"/>
      <c r="ZC82" s="1251"/>
      <c r="ZD82" s="1251"/>
      <c r="ZE82" s="1251"/>
      <c r="ZF82" s="1251"/>
      <c r="ZG82" s="1251"/>
      <c r="ZH82" s="1251"/>
      <c r="ZI82" s="1251"/>
      <c r="ZJ82" s="1251"/>
      <c r="ZK82" s="1251"/>
      <c r="ZL82" s="1251"/>
      <c r="ZM82" s="1251"/>
      <c r="ZN82" s="1251"/>
      <c r="ZO82" s="1251"/>
      <c r="ZP82" s="1251"/>
      <c r="ZQ82" s="1251"/>
      <c r="ZR82" s="1251"/>
      <c r="ZS82" s="1251"/>
      <c r="ZT82" s="1251"/>
      <c r="ZU82" s="1251"/>
      <c r="ZV82" s="1251"/>
      <c r="ZW82" s="1251"/>
      <c r="ZX82" s="1251"/>
      <c r="ZY82" s="1251"/>
      <c r="ZZ82" s="1251"/>
      <c r="AAA82" s="1251"/>
      <c r="AAB82" s="1251"/>
      <c r="AAC82" s="1251"/>
      <c r="AAD82" s="1251"/>
      <c r="AAE82" s="1251"/>
      <c r="AAF82" s="1251"/>
      <c r="AAG82" s="1251"/>
      <c r="AAH82" s="1251"/>
      <c r="AAI82" s="1251"/>
      <c r="AAJ82" s="1251"/>
      <c r="AAK82" s="1251"/>
      <c r="AAL82" s="1251"/>
      <c r="AAM82" s="1251"/>
      <c r="AAN82" s="1251"/>
      <c r="AAO82" s="1251"/>
      <c r="AAP82" s="1251"/>
      <c r="AAQ82" s="1251"/>
      <c r="AAR82" s="1251"/>
      <c r="AAS82" s="1251"/>
      <c r="AAT82" s="1251"/>
      <c r="AAU82" s="1251"/>
      <c r="AAV82" s="1251"/>
      <c r="AAW82" s="1251"/>
      <c r="AAX82" s="1251"/>
      <c r="AAY82" s="1251"/>
      <c r="AAZ82" s="1251"/>
      <c r="ABA82" s="1251"/>
      <c r="ABB82" s="1251"/>
      <c r="ABC82" s="1251"/>
      <c r="ABD82" s="1251"/>
      <c r="ABE82" s="1251"/>
      <c r="ABF82" s="1251"/>
      <c r="ABG82" s="1251"/>
      <c r="ABH82" s="1251"/>
      <c r="ABI82" s="1251"/>
      <c r="ABJ82" s="1251"/>
      <c r="ABK82" s="1251"/>
      <c r="ABL82" s="1251"/>
      <c r="ABM82" s="1251"/>
      <c r="ABN82" s="1251"/>
      <c r="ABO82" s="1251"/>
      <c r="ABP82" s="1251"/>
      <c r="ABQ82" s="1251"/>
      <c r="ABR82" s="1251"/>
      <c r="ABS82" s="1251"/>
      <c r="ABT82" s="1251"/>
      <c r="ABU82" s="1251"/>
      <c r="ABV82" s="1251"/>
      <c r="ABW82" s="1251"/>
      <c r="ABX82" s="1251"/>
      <c r="ABY82" s="1251"/>
      <c r="ABZ82" s="1251"/>
      <c r="ACA82" s="1251"/>
      <c r="ACB82" s="1251"/>
      <c r="ACC82" s="1251"/>
      <c r="ACD82" s="1251"/>
      <c r="ACE82" s="1251"/>
      <c r="ACF82" s="1251"/>
      <c r="ACG82" s="1251"/>
      <c r="ACH82" s="1251"/>
      <c r="ACI82" s="1251"/>
      <c r="ACJ82" s="1251"/>
      <c r="ACK82" s="1251"/>
      <c r="ACL82" s="1251"/>
      <c r="ACM82" s="1251"/>
      <c r="ACN82" s="1251"/>
      <c r="ACO82" s="1251"/>
      <c r="ACP82" s="1251"/>
      <c r="ACQ82" s="1251"/>
      <c r="ACR82" s="1251"/>
      <c r="ACS82" s="1251"/>
      <c r="ACT82" s="1251"/>
      <c r="ACU82" s="1251"/>
      <c r="ACV82" s="1251"/>
      <c r="ACW82" s="1251"/>
      <c r="ACX82" s="1251"/>
      <c r="ACY82" s="1251"/>
      <c r="ACZ82" s="1251"/>
      <c r="ADA82" s="1251"/>
      <c r="ADB82" s="1251"/>
      <c r="ADC82" s="1251"/>
      <c r="ADD82" s="1251"/>
      <c r="ADE82" s="1251"/>
      <c r="ADF82" s="1251"/>
      <c r="ADG82" s="1251"/>
      <c r="ADH82" s="1251"/>
      <c r="ADI82" s="1251"/>
      <c r="ADJ82" s="1251"/>
      <c r="ADK82" s="1251"/>
      <c r="ADL82" s="1251"/>
      <c r="ADM82" s="1251"/>
      <c r="ADN82" s="1251"/>
      <c r="ADO82" s="1251"/>
      <c r="ADP82" s="1251"/>
      <c r="ADQ82" s="1251"/>
      <c r="ADR82" s="1251"/>
      <c r="ADS82" s="1251"/>
      <c r="ADT82" s="1251"/>
      <c r="ADU82" s="1251"/>
      <c r="ADV82" s="1251"/>
      <c r="ADW82" s="1251"/>
      <c r="ADX82" s="1251"/>
      <c r="ADY82" s="1251"/>
      <c r="ADZ82" s="1251"/>
      <c r="AEA82" s="1251"/>
      <c r="AEB82" s="1251"/>
      <c r="AEC82" s="1251"/>
      <c r="AED82" s="1251"/>
      <c r="AEE82" s="1251"/>
      <c r="AEF82" s="1251"/>
      <c r="AEG82" s="1251"/>
      <c r="AEH82" s="1251"/>
      <c r="AEI82" s="1251"/>
      <c r="AEJ82" s="1251"/>
      <c r="AEK82" s="1251"/>
      <c r="AEL82" s="1251"/>
      <c r="AEM82" s="1251"/>
      <c r="AEN82" s="1251"/>
      <c r="AEO82" s="1251"/>
      <c r="AEP82" s="1251"/>
      <c r="AEQ82" s="1251"/>
      <c r="AER82" s="1251"/>
      <c r="AES82" s="1251"/>
      <c r="AET82" s="1251"/>
      <c r="AEU82" s="1251"/>
      <c r="AEV82" s="1251"/>
      <c r="AEW82" s="1251"/>
      <c r="AEX82" s="1251"/>
      <c r="AEY82" s="1251"/>
      <c r="AEZ82" s="1251"/>
      <c r="AFA82" s="1251"/>
      <c r="AFB82" s="1251"/>
      <c r="AFC82" s="1251"/>
      <c r="AFD82" s="1251"/>
      <c r="AFE82" s="1251"/>
      <c r="AFF82" s="1251"/>
      <c r="AFG82" s="1251"/>
      <c r="AFH82" s="1251"/>
      <c r="AFI82" s="1251"/>
      <c r="AFJ82" s="1251"/>
      <c r="AFK82" s="1251"/>
      <c r="AFL82" s="1251"/>
      <c r="AFM82" s="1251"/>
      <c r="AFN82" s="1251"/>
      <c r="AFO82" s="1251"/>
      <c r="AFP82" s="1251"/>
      <c r="AFQ82" s="1251"/>
      <c r="AFR82" s="1251"/>
      <c r="AFS82" s="1251"/>
      <c r="AFT82" s="1251"/>
      <c r="AFU82" s="1251"/>
      <c r="AFV82" s="1251"/>
      <c r="AFW82" s="1251"/>
      <c r="AFX82" s="1251"/>
      <c r="AFY82" s="1251"/>
      <c r="AFZ82" s="1251"/>
      <c r="AGA82" s="1251"/>
      <c r="AGB82" s="1251"/>
      <c r="AGC82" s="1251"/>
      <c r="AGD82" s="1251"/>
      <c r="AGE82" s="1251"/>
      <c r="AGF82" s="1251"/>
      <c r="AGG82" s="1251"/>
      <c r="AGH82" s="1251"/>
      <c r="AGI82" s="1251"/>
      <c r="AGJ82" s="1251"/>
      <c r="AGK82" s="1251"/>
      <c r="AGL82" s="1251"/>
      <c r="AGM82" s="1251"/>
      <c r="AGN82" s="1251"/>
      <c r="AGO82" s="1251"/>
      <c r="AGP82" s="1251"/>
      <c r="AGQ82" s="1251"/>
      <c r="AGR82" s="1251"/>
      <c r="AGS82" s="1251"/>
      <c r="AGT82" s="1251"/>
      <c r="AGU82" s="1251"/>
      <c r="AGV82" s="1251"/>
      <c r="AGW82" s="1251"/>
      <c r="AGX82" s="1251"/>
      <c r="AGY82" s="1251"/>
      <c r="AGZ82" s="1251"/>
      <c r="AHA82" s="1251"/>
      <c r="AHB82" s="1251"/>
      <c r="AHC82" s="1251"/>
      <c r="AHD82" s="1251"/>
      <c r="AHE82" s="1251"/>
      <c r="AHF82" s="1251"/>
      <c r="AHG82" s="1251"/>
      <c r="AHH82" s="1251"/>
      <c r="AHI82" s="1251"/>
      <c r="AHJ82" s="1251"/>
      <c r="AHK82" s="1251"/>
      <c r="AHL82" s="1251"/>
      <c r="AHM82" s="1251"/>
      <c r="AHN82" s="1251"/>
      <c r="AHO82" s="1251"/>
      <c r="AHP82" s="1251"/>
      <c r="AHQ82" s="1251"/>
      <c r="AHR82" s="1251"/>
      <c r="AHS82" s="1251"/>
      <c r="AHT82" s="1251"/>
      <c r="AHU82" s="1251"/>
      <c r="AHV82" s="1251"/>
      <c r="AHW82" s="1251"/>
      <c r="AHX82" s="1251"/>
      <c r="AHY82" s="1251"/>
      <c r="AHZ82" s="1251"/>
      <c r="AIA82" s="1251"/>
      <c r="AIB82" s="1251"/>
      <c r="AIC82" s="1251"/>
      <c r="AID82" s="1251"/>
      <c r="AIE82" s="1251"/>
      <c r="AIF82" s="1251"/>
      <c r="AIG82" s="1251"/>
      <c r="AIH82" s="1251"/>
      <c r="AII82" s="1251"/>
      <c r="AIJ82" s="1251"/>
      <c r="AIK82" s="1251"/>
      <c r="AIL82" s="1251"/>
      <c r="AIM82" s="1251"/>
      <c r="AIN82" s="1251"/>
      <c r="AIO82" s="1251"/>
      <c r="AIP82" s="1251"/>
      <c r="AIQ82" s="1251"/>
      <c r="AIR82" s="1251"/>
      <c r="AIS82" s="1251"/>
      <c r="AIT82" s="1251"/>
      <c r="AIU82" s="1251"/>
      <c r="AIV82" s="1251"/>
      <c r="AIW82" s="1251"/>
      <c r="AIX82" s="1251"/>
      <c r="AIY82" s="1251"/>
      <c r="AIZ82" s="1251"/>
      <c r="AJA82" s="1251"/>
      <c r="AJB82" s="1251"/>
      <c r="AJC82" s="1251"/>
      <c r="AJD82" s="1251"/>
      <c r="AJE82" s="1251"/>
      <c r="AJF82" s="1251"/>
      <c r="AJG82" s="1251"/>
      <c r="AJH82" s="1251"/>
      <c r="AJI82" s="1251"/>
      <c r="AJJ82" s="1251"/>
      <c r="AJK82" s="1251"/>
      <c r="AJL82" s="1251"/>
      <c r="AJM82" s="1251"/>
      <c r="AJN82" s="1251"/>
      <c r="AJO82" s="1251"/>
      <c r="AJP82" s="1251"/>
      <c r="AJQ82" s="1251"/>
      <c r="AJR82" s="1251"/>
      <c r="AJS82" s="1251"/>
      <c r="AJT82" s="1251"/>
      <c r="AJU82" s="1251"/>
      <c r="AJV82" s="1251"/>
      <c r="AJW82" s="1251"/>
      <c r="AJX82" s="1251"/>
      <c r="AJY82" s="1251"/>
      <c r="AJZ82" s="1251"/>
      <c r="AKA82" s="1251"/>
      <c r="AKB82" s="1251"/>
      <c r="AKC82" s="1251"/>
      <c r="AKD82" s="1251"/>
      <c r="AKE82" s="1251"/>
      <c r="AKF82" s="1251"/>
      <c r="AKG82" s="1251"/>
      <c r="AKH82" s="1251"/>
      <c r="AKI82" s="1251"/>
      <c r="AKJ82" s="1251"/>
      <c r="AKK82" s="1251"/>
      <c r="AKL82" s="1251"/>
      <c r="AKM82" s="1251"/>
      <c r="AKN82" s="1251"/>
      <c r="AKO82" s="1251"/>
      <c r="AKP82" s="1251"/>
      <c r="AKQ82" s="1251"/>
      <c r="AKR82" s="1251"/>
      <c r="AKS82" s="1251"/>
      <c r="AKT82" s="1251"/>
      <c r="AKU82" s="1251"/>
      <c r="AKV82" s="1251"/>
      <c r="AKW82" s="1251"/>
      <c r="AKX82" s="1251"/>
      <c r="AKY82" s="1251"/>
      <c r="AKZ82" s="1251"/>
      <c r="ALA82" s="1251"/>
      <c r="ALB82" s="1251"/>
      <c r="ALC82" s="1251"/>
      <c r="ALD82" s="1251"/>
      <c r="ALE82" s="1251"/>
      <c r="ALF82" s="1251"/>
      <c r="ALG82" s="1251"/>
      <c r="ALH82" s="1251"/>
      <c r="ALI82" s="1251"/>
      <c r="ALJ82" s="1251"/>
      <c r="ALK82" s="1251"/>
      <c r="ALL82" s="1251"/>
      <c r="ALM82" s="1251"/>
      <c r="ALN82" s="1251"/>
      <c r="ALO82" s="1251"/>
      <c r="ALP82" s="1251"/>
      <c r="ALQ82" s="1251"/>
      <c r="ALR82" s="1251"/>
      <c r="ALS82" s="1251"/>
      <c r="ALT82" s="1251"/>
      <c r="ALU82" s="1251"/>
      <c r="ALV82" s="1251"/>
      <c r="ALW82" s="1251"/>
      <c r="ALX82" s="1251"/>
      <c r="ALY82" s="1251"/>
      <c r="ALZ82" s="1251"/>
      <c r="AMA82" s="1251"/>
      <c r="AMB82" s="1251"/>
      <c r="AMC82" s="1251"/>
      <c r="AMD82" s="1251"/>
      <c r="AME82" s="1251"/>
      <c r="AMF82" s="1251"/>
      <c r="AMG82" s="1251"/>
      <c r="AMH82" s="1251"/>
      <c r="AMI82" s="1251"/>
      <c r="AMJ82" s="1251"/>
      <c r="AMK82" s="1251"/>
      <c r="AML82" s="1251"/>
      <c r="AMM82" s="1251"/>
      <c r="AMN82" s="1251"/>
      <c r="AMO82" s="1251"/>
      <c r="AMP82" s="1251"/>
      <c r="AMQ82" s="1251"/>
      <c r="AMR82" s="1251"/>
      <c r="AMS82" s="1251"/>
      <c r="AMT82" s="1251"/>
      <c r="AMU82" s="1251"/>
      <c r="AMV82" s="1251"/>
      <c r="AMW82" s="1251"/>
      <c r="AMX82" s="1251"/>
      <c r="AMY82" s="1251"/>
      <c r="AMZ82" s="1251"/>
      <c r="ANA82" s="1251"/>
      <c r="ANB82" s="1251"/>
      <c r="ANC82" s="1251"/>
      <c r="AND82" s="1251"/>
      <c r="ANE82" s="1251"/>
      <c r="ANF82" s="1251"/>
      <c r="ANG82" s="1251"/>
      <c r="ANH82" s="1251"/>
      <c r="ANI82" s="1251"/>
      <c r="ANJ82" s="1251"/>
      <c r="ANK82" s="1251"/>
      <c r="ANL82" s="1251"/>
      <c r="ANM82" s="1251"/>
      <c r="ANN82" s="1251"/>
      <c r="ANO82" s="1251"/>
      <c r="ANP82" s="1251"/>
      <c r="ANQ82" s="1251"/>
      <c r="ANR82" s="1251"/>
      <c r="ANS82" s="1251"/>
      <c r="ANT82" s="1251"/>
      <c r="ANU82" s="1251"/>
      <c r="ANV82" s="1251"/>
      <c r="ANW82" s="1251"/>
      <c r="ANX82" s="1251"/>
      <c r="ANY82" s="1251"/>
      <c r="ANZ82" s="1251"/>
      <c r="AOA82" s="1251"/>
      <c r="AOB82" s="1251"/>
      <c r="AOC82" s="1251"/>
      <c r="AOD82" s="1251"/>
      <c r="AOE82" s="1251"/>
      <c r="AOF82" s="1251"/>
      <c r="AOG82" s="1251"/>
      <c r="AOH82" s="1251"/>
      <c r="AOI82" s="1251"/>
      <c r="AOJ82" s="1251"/>
      <c r="AOK82" s="1251"/>
      <c r="AOL82" s="1251"/>
      <c r="AOM82" s="1251"/>
      <c r="AON82" s="1251"/>
      <c r="AOO82" s="1251"/>
      <c r="AOP82" s="1251"/>
      <c r="AOQ82" s="1251"/>
      <c r="AOR82" s="1251"/>
      <c r="AOS82" s="1251"/>
      <c r="AOT82" s="1251"/>
      <c r="AOU82" s="1251"/>
      <c r="AOV82" s="1251"/>
      <c r="AOW82" s="1251"/>
      <c r="AOX82" s="1251"/>
      <c r="AOY82" s="1251"/>
      <c r="AOZ82" s="1251"/>
      <c r="APA82" s="1251"/>
      <c r="APB82" s="1251"/>
      <c r="APC82" s="1251"/>
      <c r="APD82" s="1251"/>
      <c r="APE82" s="1251"/>
      <c r="APF82" s="1251"/>
      <c r="APG82" s="1251"/>
      <c r="APH82" s="1251"/>
      <c r="API82" s="1251"/>
      <c r="APJ82" s="1251"/>
      <c r="APK82" s="1251"/>
      <c r="APL82" s="1251"/>
      <c r="APM82" s="1251"/>
      <c r="APN82" s="1251"/>
      <c r="APO82" s="1251"/>
      <c r="APP82" s="1251"/>
      <c r="APQ82" s="1251"/>
      <c r="APR82" s="1251"/>
      <c r="APS82" s="1251"/>
      <c r="APT82" s="1251"/>
      <c r="APU82" s="1251"/>
      <c r="APV82" s="1251"/>
      <c r="APW82" s="1251"/>
      <c r="APX82" s="1251"/>
      <c r="APY82" s="1251"/>
      <c r="APZ82" s="1251"/>
      <c r="AQA82" s="1251"/>
      <c r="AQB82" s="1251"/>
      <c r="AQC82" s="1251"/>
      <c r="AQD82" s="1251"/>
      <c r="AQE82" s="1251"/>
      <c r="AQF82" s="1251"/>
      <c r="AQG82" s="1251"/>
      <c r="AQH82" s="1251"/>
      <c r="AQI82" s="1251"/>
      <c r="AQJ82" s="1251"/>
      <c r="AQK82" s="1251"/>
      <c r="AQL82" s="1251"/>
      <c r="AQM82" s="1251"/>
      <c r="AQN82" s="1251"/>
      <c r="AQO82" s="1251"/>
      <c r="AQP82" s="1251"/>
      <c r="AQQ82" s="1251"/>
      <c r="AQR82" s="1251"/>
      <c r="AQS82" s="1251"/>
      <c r="AQT82" s="1251"/>
      <c r="AQU82" s="1251"/>
      <c r="AQV82" s="1251"/>
      <c r="AQW82" s="1251"/>
      <c r="AQX82" s="1251"/>
      <c r="AQY82" s="1251"/>
      <c r="AQZ82" s="1251"/>
      <c r="ARA82" s="1251"/>
      <c r="ARB82" s="1251"/>
      <c r="ARC82" s="1251"/>
      <c r="ARD82" s="1251"/>
      <c r="ARE82" s="1251"/>
      <c r="ARF82" s="1251"/>
      <c r="ARG82" s="1251"/>
      <c r="ARH82" s="1251"/>
      <c r="ARI82" s="1251"/>
      <c r="ARJ82" s="1251"/>
      <c r="ARK82" s="1251"/>
      <c r="ARL82" s="1251"/>
      <c r="ARM82" s="1251"/>
      <c r="ARN82" s="1251"/>
      <c r="ARO82" s="1251"/>
      <c r="ARP82" s="1251"/>
      <c r="ARQ82" s="1251"/>
      <c r="ARR82" s="1251"/>
      <c r="ARS82" s="1251"/>
      <c r="ART82" s="1251"/>
      <c r="ARU82" s="1251"/>
      <c r="ARV82" s="1251"/>
      <c r="ARW82" s="1251"/>
      <c r="ARX82" s="1251"/>
      <c r="ARY82" s="1251"/>
      <c r="ARZ82" s="1251"/>
      <c r="ASA82" s="1251"/>
      <c r="ASB82" s="1251"/>
      <c r="ASC82" s="1251"/>
      <c r="ASD82" s="1251"/>
      <c r="ASE82" s="1251"/>
      <c r="ASF82" s="1251"/>
      <c r="ASG82" s="1251"/>
      <c r="ASH82" s="1251"/>
      <c r="ASI82" s="1251"/>
      <c r="ASJ82" s="1251"/>
      <c r="ASK82" s="1251"/>
      <c r="ASL82" s="1251"/>
      <c r="ASM82" s="1251"/>
      <c r="ASN82" s="1251"/>
      <c r="ASO82" s="1251"/>
      <c r="ASP82" s="1251"/>
      <c r="ASQ82" s="1251"/>
      <c r="ASR82" s="1251"/>
      <c r="ASS82" s="1251"/>
      <c r="AST82" s="1251"/>
      <c r="ASU82" s="1251"/>
      <c r="ASV82" s="1251"/>
      <c r="ASW82" s="1251"/>
      <c r="ASX82" s="1251"/>
      <c r="ASY82" s="1251"/>
      <c r="ASZ82" s="1251"/>
      <c r="ATA82" s="1251"/>
      <c r="ATB82" s="1251"/>
      <c r="ATC82" s="1251"/>
      <c r="ATD82" s="1251"/>
      <c r="ATE82" s="1251"/>
      <c r="ATF82" s="1251"/>
      <c r="ATG82" s="1251"/>
      <c r="ATH82" s="1251"/>
      <c r="ATI82" s="1251"/>
      <c r="ATJ82" s="1251"/>
      <c r="ATK82" s="1251"/>
      <c r="ATL82" s="1251"/>
      <c r="ATM82" s="1251"/>
      <c r="ATN82" s="1251"/>
      <c r="ATO82" s="1251"/>
      <c r="ATP82" s="1251"/>
      <c r="ATQ82" s="1251"/>
      <c r="ATR82" s="1251"/>
      <c r="ATS82" s="1251"/>
      <c r="ATT82" s="1251"/>
      <c r="ATU82" s="1251"/>
      <c r="ATV82" s="1251"/>
      <c r="ATW82" s="1251"/>
      <c r="ATX82" s="1251"/>
      <c r="ATY82" s="1251"/>
      <c r="ATZ82" s="1251"/>
      <c r="AUA82" s="1251"/>
      <c r="AUB82" s="1251"/>
      <c r="AUC82" s="1251"/>
      <c r="AUD82" s="1251"/>
      <c r="AUE82" s="1251"/>
      <c r="AUF82" s="1251"/>
      <c r="AUG82" s="1251"/>
      <c r="AUH82" s="1251"/>
      <c r="AUI82" s="1251"/>
      <c r="AUJ82" s="1251"/>
      <c r="AUK82" s="1251"/>
      <c r="AUL82" s="1251"/>
      <c r="AUM82" s="1251"/>
      <c r="AUN82" s="1251"/>
      <c r="AUO82" s="1251"/>
      <c r="AUP82" s="1251"/>
      <c r="AUQ82" s="1251"/>
      <c r="AUR82" s="1251"/>
      <c r="AUS82" s="1251"/>
      <c r="AUT82" s="1251"/>
      <c r="AUU82" s="1251"/>
      <c r="AUV82" s="1251"/>
      <c r="AUW82" s="1251"/>
      <c r="AUX82" s="1251"/>
      <c r="AUY82" s="1251"/>
      <c r="AUZ82" s="1251"/>
      <c r="AVA82" s="1251"/>
      <c r="AVB82" s="1251"/>
      <c r="AVC82" s="1251"/>
      <c r="AVD82" s="1251"/>
      <c r="AVE82" s="1251"/>
      <c r="AVF82" s="1251"/>
      <c r="AVG82" s="1251"/>
      <c r="AVH82" s="1251"/>
      <c r="AVI82" s="1251"/>
      <c r="AVJ82" s="1251"/>
      <c r="AVK82" s="1251"/>
      <c r="AVL82" s="1251"/>
      <c r="AVM82" s="1251"/>
      <c r="AVN82" s="1251"/>
      <c r="AVO82" s="1251"/>
      <c r="AVP82" s="1251"/>
      <c r="AVQ82" s="1251"/>
      <c r="AVR82" s="1251"/>
      <c r="AVS82" s="1251"/>
      <c r="AVT82" s="1251"/>
      <c r="AVU82" s="1251"/>
      <c r="AVV82" s="1251"/>
      <c r="AVW82" s="1251"/>
      <c r="AVX82" s="1251"/>
      <c r="AVY82" s="1251"/>
      <c r="AVZ82" s="1251"/>
      <c r="AWA82" s="1251"/>
      <c r="AWB82" s="1251"/>
      <c r="AWC82" s="1251"/>
      <c r="AWD82" s="1251"/>
      <c r="AWE82" s="1251"/>
      <c r="AWF82" s="1251"/>
      <c r="AWG82" s="1251"/>
      <c r="AWH82" s="1251"/>
      <c r="AWI82" s="1251"/>
      <c r="AWJ82" s="1251"/>
      <c r="AWK82" s="1251"/>
      <c r="AWL82" s="1251"/>
      <c r="AWM82" s="1251"/>
      <c r="AWN82" s="1251"/>
      <c r="AWO82" s="1251"/>
      <c r="AWP82" s="1251"/>
      <c r="AWQ82" s="1251"/>
      <c r="AWR82" s="1251"/>
      <c r="AWS82" s="1251"/>
      <c r="AWT82" s="1251"/>
      <c r="AWU82" s="1251"/>
      <c r="AWV82" s="1251"/>
      <c r="AWW82" s="1251"/>
      <c r="AWX82" s="1251"/>
      <c r="AWY82" s="1251"/>
      <c r="AWZ82" s="1251"/>
      <c r="AXA82" s="1251"/>
      <c r="AXB82" s="1251"/>
      <c r="AXC82" s="1251"/>
      <c r="AXD82" s="1251"/>
      <c r="AXE82" s="1251"/>
      <c r="AXF82" s="1251"/>
      <c r="AXG82" s="1251"/>
      <c r="AXH82" s="1251"/>
      <c r="AXI82" s="1251"/>
      <c r="AXJ82" s="1251"/>
      <c r="AXK82" s="1251"/>
      <c r="AXL82" s="1251"/>
      <c r="AXM82" s="1251"/>
      <c r="AXN82" s="1251"/>
      <c r="AXO82" s="1251"/>
      <c r="AXP82" s="1251"/>
      <c r="AXQ82" s="1251"/>
      <c r="AXR82" s="1251"/>
      <c r="AXS82" s="1251"/>
      <c r="AXT82" s="1251"/>
      <c r="AXU82" s="1251"/>
      <c r="AXV82" s="1251"/>
      <c r="AXW82" s="1251"/>
      <c r="AXX82" s="1251"/>
      <c r="AXY82" s="1251"/>
      <c r="AXZ82" s="1251"/>
      <c r="AYA82" s="1251"/>
      <c r="AYB82" s="1251"/>
      <c r="AYC82" s="1251"/>
      <c r="AYD82" s="1251"/>
      <c r="AYE82" s="1251"/>
      <c r="AYF82" s="1251"/>
      <c r="AYG82" s="1251"/>
      <c r="AYH82" s="1251"/>
      <c r="AYI82" s="1251"/>
      <c r="AYJ82" s="1251"/>
      <c r="AYK82" s="1251"/>
      <c r="AYL82" s="1251"/>
      <c r="AYM82" s="1251"/>
      <c r="AYN82" s="1251"/>
      <c r="AYO82" s="1251"/>
      <c r="AYP82" s="1251"/>
      <c r="AYQ82" s="1251"/>
      <c r="AYR82" s="1251"/>
      <c r="AYS82" s="1251"/>
      <c r="AYT82" s="1251"/>
      <c r="AYU82" s="1251"/>
      <c r="AYV82" s="1251"/>
      <c r="AYW82" s="1251"/>
      <c r="AYX82" s="1251"/>
      <c r="AYY82" s="1251"/>
      <c r="AYZ82" s="1251"/>
      <c r="AZA82" s="1251"/>
      <c r="AZB82" s="1251"/>
      <c r="AZC82" s="1251"/>
      <c r="AZD82" s="1251"/>
      <c r="AZE82" s="1251"/>
      <c r="AZF82" s="1251"/>
      <c r="AZG82" s="1251"/>
      <c r="AZH82" s="1251"/>
      <c r="AZI82" s="1251"/>
      <c r="AZJ82" s="1251"/>
      <c r="AZK82" s="1251"/>
      <c r="AZL82" s="1251"/>
      <c r="AZM82" s="1251"/>
      <c r="AZN82" s="1251"/>
      <c r="AZO82" s="1251"/>
      <c r="AZP82" s="1251"/>
      <c r="AZQ82" s="1251"/>
      <c r="AZR82" s="1251"/>
      <c r="AZS82" s="1251"/>
      <c r="AZT82" s="1251"/>
      <c r="AZU82" s="1251"/>
      <c r="AZV82" s="1251"/>
      <c r="AZW82" s="1251"/>
      <c r="AZX82" s="1251"/>
      <c r="AZY82" s="1251"/>
      <c r="AZZ82" s="1251"/>
      <c r="BAA82" s="1251"/>
      <c r="BAB82" s="1251"/>
      <c r="BAC82" s="1251"/>
      <c r="BAD82" s="1251"/>
      <c r="BAE82" s="1251"/>
      <c r="BAF82" s="1251"/>
      <c r="BAG82" s="1251"/>
      <c r="BAH82" s="1251"/>
      <c r="BAI82" s="1251"/>
      <c r="BAJ82" s="1251"/>
      <c r="BAK82" s="1251"/>
      <c r="BAL82" s="1251"/>
      <c r="BAM82" s="1251"/>
      <c r="BAN82" s="1251"/>
      <c r="BAO82" s="1251"/>
      <c r="BAP82" s="1251"/>
      <c r="BAQ82" s="1251"/>
      <c r="BAR82" s="1251"/>
      <c r="BAS82" s="1251"/>
      <c r="BAT82" s="1251"/>
      <c r="BAU82" s="1251"/>
      <c r="BAV82" s="1251"/>
      <c r="BAW82" s="1251"/>
      <c r="BAX82" s="1251"/>
      <c r="BAY82" s="1251"/>
      <c r="BAZ82" s="1251"/>
      <c r="BBA82" s="1251"/>
      <c r="BBB82" s="1251"/>
      <c r="BBC82" s="1251"/>
      <c r="BBD82" s="1251"/>
      <c r="BBE82" s="1251"/>
      <c r="BBF82" s="1251"/>
      <c r="BBG82" s="1251"/>
      <c r="BBH82" s="1251"/>
      <c r="BBI82" s="1251"/>
      <c r="BBJ82" s="1251"/>
      <c r="BBK82" s="1251"/>
      <c r="BBL82" s="1251"/>
      <c r="BBM82" s="1251"/>
      <c r="BBN82" s="1251"/>
      <c r="BBO82" s="1251"/>
      <c r="BBP82" s="1251"/>
      <c r="BBQ82" s="1251"/>
      <c r="BBR82" s="1251"/>
      <c r="BBS82" s="1251"/>
      <c r="BBT82" s="1251"/>
      <c r="BBU82" s="1251"/>
      <c r="BBV82" s="1251"/>
      <c r="BBW82" s="1251"/>
      <c r="BBX82" s="1251"/>
      <c r="BBY82" s="1251"/>
      <c r="BBZ82" s="1251"/>
      <c r="BCA82" s="1251"/>
      <c r="BCB82" s="1251"/>
      <c r="BCC82" s="1251"/>
      <c r="BCD82" s="1251"/>
      <c r="BCE82" s="1251"/>
      <c r="BCF82" s="1251"/>
      <c r="BCG82" s="1251"/>
      <c r="BCH82" s="1251"/>
      <c r="BCI82" s="1251"/>
      <c r="BCJ82" s="1251"/>
      <c r="BCK82" s="1251"/>
      <c r="BCL82" s="1251"/>
      <c r="BCM82" s="1251"/>
      <c r="BCN82" s="1251"/>
      <c r="BCO82" s="1251"/>
      <c r="BCP82" s="1251"/>
      <c r="BCQ82" s="1251"/>
      <c r="BCR82" s="1251"/>
      <c r="BCS82" s="1251"/>
      <c r="BCT82" s="1251"/>
      <c r="BCU82" s="1251"/>
      <c r="BCV82" s="1251"/>
      <c r="BCW82" s="1251"/>
      <c r="BCX82" s="1251"/>
      <c r="BCY82" s="1251"/>
      <c r="BCZ82" s="1251"/>
      <c r="BDA82" s="1251"/>
      <c r="BDB82" s="1251"/>
      <c r="BDC82" s="1251"/>
      <c r="BDD82" s="1251"/>
      <c r="BDE82" s="1251"/>
      <c r="BDF82" s="1251"/>
      <c r="BDG82" s="1251"/>
      <c r="BDH82" s="1251"/>
      <c r="BDI82" s="1251"/>
      <c r="BDJ82" s="1251"/>
      <c r="BDK82" s="1251"/>
      <c r="BDL82" s="1251"/>
      <c r="BDM82" s="1251"/>
      <c r="BDN82" s="1251"/>
      <c r="BDO82" s="1251"/>
      <c r="BDP82" s="1251"/>
      <c r="BDQ82" s="1251"/>
      <c r="BDR82" s="1251"/>
      <c r="BDS82" s="1251"/>
      <c r="BDT82" s="1251"/>
      <c r="BDU82" s="1251"/>
      <c r="BDV82" s="1251"/>
      <c r="BDW82" s="1251"/>
      <c r="BDX82" s="1251"/>
      <c r="BDY82" s="1251"/>
      <c r="BDZ82" s="1251"/>
      <c r="BEA82" s="1251"/>
      <c r="BEB82" s="1251"/>
      <c r="BEC82" s="1251"/>
      <c r="BED82" s="1251"/>
      <c r="BEE82" s="1251"/>
      <c r="BEF82" s="1251"/>
      <c r="BEG82" s="1251"/>
      <c r="BEH82" s="1251"/>
      <c r="BEI82" s="1251"/>
      <c r="BEJ82" s="1251"/>
      <c r="BEK82" s="1251"/>
      <c r="BEL82" s="1251"/>
      <c r="BEM82" s="1251"/>
      <c r="BEN82" s="1251"/>
      <c r="BEO82" s="1251"/>
      <c r="BEP82" s="1251"/>
      <c r="BEQ82" s="1251"/>
      <c r="BER82" s="1251"/>
      <c r="BES82" s="1251"/>
      <c r="BET82" s="1251"/>
      <c r="BEU82" s="1251"/>
      <c r="BEV82" s="1251"/>
      <c r="BEW82" s="1251"/>
      <c r="BEX82" s="1251"/>
      <c r="BEY82" s="1251"/>
      <c r="BEZ82" s="1251"/>
      <c r="BFA82" s="1251"/>
      <c r="BFB82" s="1251"/>
      <c r="BFC82" s="1251"/>
      <c r="BFD82" s="1251"/>
      <c r="BFE82" s="1251"/>
      <c r="BFF82" s="1251"/>
      <c r="BFG82" s="1251"/>
      <c r="BFH82" s="1251"/>
      <c r="BFI82" s="1251"/>
      <c r="BFJ82" s="1251"/>
      <c r="BFK82" s="1251"/>
      <c r="BFL82" s="1251"/>
      <c r="BFM82" s="1251"/>
      <c r="BFN82" s="1251"/>
      <c r="BFO82" s="1251"/>
      <c r="BFP82" s="1251"/>
      <c r="BFQ82" s="1251"/>
      <c r="BFR82" s="1251"/>
      <c r="BFS82" s="1251"/>
      <c r="BFT82" s="1251"/>
      <c r="BFU82" s="1251"/>
      <c r="BFV82" s="1251"/>
      <c r="BFW82" s="1251"/>
      <c r="BFX82" s="1251"/>
      <c r="BFY82" s="1251"/>
      <c r="BFZ82" s="1251"/>
      <c r="BGA82" s="1251"/>
      <c r="BGB82" s="1251"/>
      <c r="BGC82" s="1251"/>
      <c r="BGD82" s="1251"/>
      <c r="BGE82" s="1251"/>
      <c r="BGF82" s="1251"/>
      <c r="BGG82" s="1251"/>
      <c r="BGH82" s="1251"/>
      <c r="BGI82" s="1251"/>
      <c r="BGJ82" s="1251"/>
      <c r="BGK82" s="1251"/>
      <c r="BGL82" s="1251"/>
      <c r="BGM82" s="1251"/>
      <c r="BGN82" s="1251"/>
      <c r="BGO82" s="1251"/>
      <c r="BGP82" s="1251"/>
      <c r="BGQ82" s="1251"/>
      <c r="BGR82" s="1251"/>
      <c r="BGS82" s="1251"/>
      <c r="BGT82" s="1251"/>
      <c r="BGU82" s="1251"/>
      <c r="BGV82" s="1251"/>
      <c r="BGW82" s="1251"/>
      <c r="BGX82" s="1251"/>
      <c r="BGY82" s="1251"/>
      <c r="BGZ82" s="1251"/>
      <c r="BHA82" s="1251"/>
      <c r="BHB82" s="1251"/>
      <c r="BHC82" s="1251"/>
      <c r="BHD82" s="1251"/>
      <c r="BHE82" s="1251"/>
      <c r="BHF82" s="1251"/>
      <c r="BHG82" s="1251"/>
      <c r="BHH82" s="1251"/>
      <c r="BHI82" s="1251"/>
      <c r="BHJ82" s="1251"/>
      <c r="BHK82" s="1251"/>
      <c r="BHL82" s="1251"/>
      <c r="BHM82" s="1251"/>
      <c r="BHN82" s="1251"/>
      <c r="BHO82" s="1251"/>
      <c r="BHP82" s="1251"/>
      <c r="BHQ82" s="1251"/>
      <c r="BHR82" s="1251"/>
      <c r="BHS82" s="1251"/>
      <c r="BHT82" s="1251"/>
      <c r="BHU82" s="1251"/>
      <c r="BHV82" s="1251"/>
      <c r="BHW82" s="1251"/>
      <c r="BHX82" s="1251"/>
      <c r="BHY82" s="1251"/>
      <c r="BHZ82" s="1251"/>
      <c r="BIA82" s="1251"/>
      <c r="BIB82" s="1251"/>
      <c r="BIC82" s="1251"/>
      <c r="BID82" s="1251"/>
      <c r="BIE82" s="1251"/>
      <c r="BIF82" s="1251"/>
      <c r="BIG82" s="1251"/>
      <c r="BIH82" s="1251"/>
      <c r="BII82" s="1251"/>
      <c r="BIJ82" s="1251"/>
      <c r="BIK82" s="1251"/>
      <c r="BIL82" s="1251"/>
      <c r="BIM82" s="1251"/>
      <c r="BIN82" s="1251"/>
      <c r="BIO82" s="1251"/>
      <c r="BIP82" s="1251"/>
      <c r="BIQ82" s="1251"/>
      <c r="BIR82" s="1251"/>
      <c r="BIS82" s="1251"/>
      <c r="BIT82" s="1251"/>
      <c r="BIU82" s="1251"/>
      <c r="BIV82" s="1251"/>
      <c r="BIW82" s="1251"/>
      <c r="BIX82" s="1251"/>
      <c r="BIY82" s="1251"/>
      <c r="BIZ82" s="1251"/>
      <c r="BJA82" s="1251"/>
      <c r="BJB82" s="1251"/>
      <c r="BJC82" s="1251"/>
      <c r="BJD82" s="1251"/>
      <c r="BJE82" s="1251"/>
      <c r="BJF82" s="1251"/>
      <c r="BJG82" s="1251"/>
      <c r="BJH82" s="1251"/>
      <c r="BJI82" s="1251"/>
      <c r="BJJ82" s="1251"/>
      <c r="BJK82" s="1251"/>
      <c r="BJL82" s="1251"/>
      <c r="BJM82" s="1251"/>
      <c r="BJN82" s="1251"/>
      <c r="BJO82" s="1251"/>
      <c r="BJP82" s="1251"/>
      <c r="BJQ82" s="1251"/>
      <c r="BJR82" s="1251"/>
      <c r="BJS82" s="1251"/>
      <c r="BJT82" s="1251"/>
      <c r="BJU82" s="1251"/>
      <c r="BJV82" s="1251"/>
      <c r="BJW82" s="1251"/>
      <c r="BJX82" s="1251"/>
      <c r="BJY82" s="1251"/>
      <c r="BJZ82" s="1251"/>
      <c r="BKA82" s="1251"/>
      <c r="BKB82" s="1251"/>
      <c r="BKC82" s="1251"/>
      <c r="BKD82" s="1251"/>
      <c r="BKE82" s="1251"/>
      <c r="BKF82" s="1251"/>
      <c r="BKG82" s="1251"/>
      <c r="BKH82" s="1251"/>
      <c r="BKI82" s="1251"/>
      <c r="BKJ82" s="1251"/>
      <c r="BKK82" s="1251"/>
      <c r="BKL82" s="1251"/>
      <c r="BKM82" s="1251"/>
      <c r="BKN82" s="1251"/>
      <c r="BKO82" s="1251"/>
      <c r="BKP82" s="1251"/>
      <c r="BKQ82" s="1251"/>
      <c r="BKR82" s="1251"/>
      <c r="BKS82" s="1251"/>
      <c r="BKT82" s="1251"/>
      <c r="BKU82" s="1251"/>
      <c r="BKV82" s="1251"/>
      <c r="BKW82" s="1251"/>
      <c r="BKX82" s="1251"/>
      <c r="BKY82" s="1251"/>
      <c r="BKZ82" s="1251"/>
      <c r="BLA82" s="1251"/>
      <c r="BLB82" s="1251"/>
      <c r="BLC82" s="1251"/>
      <c r="BLD82" s="1251"/>
      <c r="BLE82" s="1251"/>
      <c r="BLF82" s="1251"/>
      <c r="BLG82" s="1251"/>
      <c r="BLH82" s="1251"/>
      <c r="BLI82" s="1251"/>
      <c r="BLJ82" s="1251"/>
      <c r="BLK82" s="1251"/>
      <c r="BLL82" s="1251"/>
      <c r="BLM82" s="1251"/>
      <c r="BLN82" s="1251"/>
      <c r="BLO82" s="1251"/>
      <c r="BLP82" s="1251"/>
      <c r="BLQ82" s="1251"/>
      <c r="BLR82" s="1251"/>
      <c r="BLS82" s="1251"/>
      <c r="BLT82" s="1251"/>
      <c r="BLU82" s="1251"/>
      <c r="BLV82" s="1251"/>
      <c r="BLW82" s="1251"/>
      <c r="BLX82" s="1251"/>
      <c r="BLY82" s="1251"/>
      <c r="BLZ82" s="1251"/>
      <c r="BMA82" s="1251"/>
      <c r="BMB82" s="1251"/>
      <c r="BMC82" s="1251"/>
      <c r="BMD82" s="1251"/>
      <c r="BME82" s="1251"/>
      <c r="BMF82" s="1251"/>
      <c r="BMG82" s="1251"/>
      <c r="BMH82" s="1251"/>
      <c r="BMI82" s="1251"/>
      <c r="BMJ82" s="1251"/>
      <c r="BMK82" s="1251"/>
      <c r="BML82" s="1251"/>
      <c r="BMM82" s="1251"/>
      <c r="BMN82" s="1251"/>
      <c r="BMO82" s="1251"/>
      <c r="BMP82" s="1251"/>
      <c r="BMQ82" s="1251"/>
      <c r="BMR82" s="1251"/>
      <c r="BMS82" s="1251"/>
      <c r="BMT82" s="1251"/>
      <c r="BMU82" s="1251"/>
      <c r="BMV82" s="1251"/>
      <c r="BMW82" s="1251"/>
      <c r="BMX82" s="1251"/>
      <c r="BMY82" s="1251"/>
      <c r="BMZ82" s="1251"/>
      <c r="BNA82" s="1251"/>
      <c r="BNB82" s="1251"/>
      <c r="BNC82" s="1251"/>
      <c r="BND82" s="1251"/>
      <c r="BNE82" s="1251"/>
      <c r="BNF82" s="1251"/>
      <c r="BNG82" s="1251"/>
      <c r="BNH82" s="1251"/>
      <c r="BNI82" s="1251"/>
      <c r="BNJ82" s="1251"/>
      <c r="BNK82" s="1251"/>
      <c r="BNL82" s="1251"/>
      <c r="BNM82" s="1251"/>
      <c r="BNN82" s="1251"/>
      <c r="BNO82" s="1251"/>
      <c r="BNP82" s="1251"/>
      <c r="BNQ82" s="1251"/>
      <c r="BNR82" s="1251"/>
      <c r="BNS82" s="1251"/>
      <c r="BNT82" s="1251"/>
      <c r="BNU82" s="1251"/>
      <c r="BNV82" s="1251"/>
      <c r="BNW82" s="1251"/>
      <c r="BNX82" s="1251"/>
      <c r="BNY82" s="1251"/>
      <c r="BNZ82" s="1251"/>
      <c r="BOA82" s="1251"/>
      <c r="BOB82" s="1251"/>
      <c r="BOC82" s="1251"/>
      <c r="BOD82" s="1251"/>
      <c r="BOE82" s="1251"/>
      <c r="BOF82" s="1251"/>
      <c r="BOG82" s="1251"/>
      <c r="BOH82" s="1251"/>
      <c r="BOI82" s="1251"/>
      <c r="BOJ82" s="1251"/>
      <c r="BOK82" s="1251"/>
      <c r="BOL82" s="1251"/>
      <c r="BOM82" s="1251"/>
      <c r="BON82" s="1251"/>
      <c r="BOO82" s="1251"/>
      <c r="BOP82" s="1251"/>
      <c r="BOQ82" s="1251"/>
      <c r="BOR82" s="1251"/>
      <c r="BOS82" s="1251"/>
      <c r="BOT82" s="1251"/>
      <c r="BOU82" s="1251"/>
      <c r="BOV82" s="1251"/>
      <c r="BOW82" s="1251"/>
      <c r="BOX82" s="1251"/>
      <c r="BOY82" s="1251"/>
      <c r="BOZ82" s="1251"/>
      <c r="BPA82" s="1251"/>
      <c r="BPB82" s="1251"/>
      <c r="BPC82" s="1251"/>
      <c r="BPD82" s="1251"/>
      <c r="BPE82" s="1251"/>
      <c r="BPF82" s="1251"/>
      <c r="BPG82" s="1251"/>
      <c r="BPH82" s="1251"/>
      <c r="BPI82" s="1251"/>
      <c r="BPJ82" s="1251"/>
      <c r="BPK82" s="1251"/>
      <c r="BPL82" s="1251"/>
      <c r="BPM82" s="1251"/>
      <c r="BPN82" s="1251"/>
      <c r="BPO82" s="1251"/>
      <c r="BPP82" s="1251"/>
      <c r="BPQ82" s="1251"/>
      <c r="BPR82" s="1251"/>
      <c r="BPS82" s="1251"/>
      <c r="BPT82" s="1251"/>
      <c r="BPU82" s="1251"/>
      <c r="BPV82" s="1251"/>
      <c r="BPW82" s="1251"/>
      <c r="BPX82" s="1251"/>
      <c r="BPY82" s="1251"/>
      <c r="BPZ82" s="1251"/>
      <c r="BQA82" s="1251"/>
      <c r="BQB82" s="1251"/>
      <c r="BQC82" s="1251"/>
      <c r="BQD82" s="1251"/>
      <c r="BQE82" s="1251"/>
      <c r="BQF82" s="1251"/>
      <c r="BQG82" s="1251"/>
      <c r="BQH82" s="1251"/>
      <c r="BQI82" s="1251"/>
      <c r="BQJ82" s="1251"/>
      <c r="BQK82" s="1251"/>
      <c r="BQL82" s="1251"/>
      <c r="BQM82" s="1251"/>
      <c r="BQN82" s="1251"/>
      <c r="BQO82" s="1251"/>
      <c r="BQP82" s="1251"/>
      <c r="BQQ82" s="1251"/>
      <c r="BQR82" s="1251"/>
      <c r="BQS82" s="1251"/>
      <c r="BQT82" s="1251"/>
      <c r="BQU82" s="1251"/>
      <c r="BQV82" s="1251"/>
      <c r="BQW82" s="1251"/>
      <c r="BQX82" s="1251"/>
      <c r="BQY82" s="1251"/>
      <c r="BQZ82" s="1251"/>
      <c r="BRA82" s="1251"/>
      <c r="BRB82" s="1251"/>
      <c r="BRC82" s="1251"/>
      <c r="BRD82" s="1251"/>
      <c r="BRE82" s="1251"/>
      <c r="BRF82" s="1251"/>
      <c r="BRG82" s="1251"/>
      <c r="BRH82" s="1251"/>
      <c r="BRI82" s="1251"/>
      <c r="BRJ82" s="1251"/>
      <c r="BRK82" s="1251"/>
      <c r="BRL82" s="1251"/>
      <c r="BRM82" s="1251"/>
      <c r="BRN82" s="1251"/>
      <c r="BRO82" s="1251"/>
      <c r="BRP82" s="1251"/>
      <c r="BRQ82" s="1251"/>
      <c r="BRR82" s="1251"/>
      <c r="BRS82" s="1251"/>
      <c r="BRT82" s="1251"/>
      <c r="BRU82" s="1251"/>
      <c r="BRV82" s="1251"/>
      <c r="BRW82" s="1251"/>
      <c r="BRX82" s="1251"/>
      <c r="BRY82" s="1251"/>
      <c r="BRZ82" s="1251"/>
      <c r="BSA82" s="1251"/>
      <c r="BSB82" s="1251"/>
      <c r="BSC82" s="1251"/>
      <c r="BSD82" s="1251"/>
      <c r="BSE82" s="1251"/>
      <c r="BSF82" s="1251"/>
      <c r="BSG82" s="1251"/>
      <c r="BSH82" s="1251"/>
      <c r="BSI82" s="1251"/>
      <c r="BSJ82" s="1251"/>
      <c r="BSK82" s="1251"/>
      <c r="BSL82" s="1251"/>
      <c r="BSM82" s="1251"/>
      <c r="BSN82" s="1251"/>
      <c r="BSO82" s="1251"/>
      <c r="BSP82" s="1251"/>
      <c r="BSQ82" s="1251"/>
      <c r="BSR82" s="1251"/>
      <c r="BSS82" s="1251"/>
      <c r="BST82" s="1251"/>
      <c r="BSU82" s="1251"/>
      <c r="BSV82" s="1251"/>
      <c r="BSW82" s="1251"/>
      <c r="BSX82" s="1251"/>
      <c r="BSY82" s="1251"/>
      <c r="BSZ82" s="1251"/>
      <c r="BTA82" s="1251"/>
      <c r="BTB82" s="1251"/>
      <c r="BTC82" s="1251"/>
      <c r="BTD82" s="1251"/>
      <c r="BTE82" s="1251"/>
      <c r="BTF82" s="1251"/>
      <c r="BTG82" s="1251"/>
      <c r="BTH82" s="1251"/>
      <c r="BTI82" s="1251"/>
    </row>
    <row r="83" spans="1:1881" s="1261" customFormat="1" ht="54" hidden="1" customHeight="1" thickBot="1" x14ac:dyDescent="0.35">
      <c r="A83" s="1248">
        <v>533</v>
      </c>
      <c r="B83" s="593" t="s">
        <v>55</v>
      </c>
      <c r="C83" s="593" t="s">
        <v>152</v>
      </c>
      <c r="D83" s="1267" t="s">
        <v>1375</v>
      </c>
      <c r="E83" s="1249" t="e">
        <f>HLOOKUP($D$2,'2020 Data(H)'!$C$1:$CZ$426,183,FALSE)</f>
        <v>#N/A</v>
      </c>
      <c r="F83" s="1263">
        <v>0</v>
      </c>
      <c r="G83" s="736"/>
      <c r="H83" s="17"/>
      <c r="I83" s="760"/>
      <c r="J83" s="1251"/>
      <c r="K83" s="1251"/>
      <c r="L83" s="701"/>
      <c r="M83" s="1251"/>
      <c r="N83" s="1253"/>
      <c r="O83" s="1251"/>
      <c r="P83" s="1251"/>
      <c r="Q83" s="1251"/>
      <c r="R83" s="1251"/>
      <c r="S83" s="1251"/>
      <c r="T83" s="1251"/>
      <c r="U83" s="1251"/>
      <c r="V83" s="1251"/>
      <c r="W83" s="1251"/>
      <c r="X83" s="1251"/>
      <c r="Y83" s="1251"/>
      <c r="Z83" s="1248"/>
      <c r="AA83" s="1248"/>
      <c r="AB83" s="1248"/>
      <c r="AC83" s="1248"/>
      <c r="AD83" s="1248"/>
      <c r="AE83" s="1248"/>
      <c r="AF83" s="1248"/>
      <c r="AG83" s="1248"/>
      <c r="AH83" s="1248"/>
      <c r="AI83" s="1248"/>
      <c r="AJ83" s="1248"/>
      <c r="AK83" s="1248"/>
      <c r="AL83" s="1248"/>
      <c r="AM83" s="1248"/>
      <c r="AN83" s="1248"/>
      <c r="AO83" s="1248"/>
      <c r="AP83" s="1248"/>
      <c r="AQ83" s="1248"/>
      <c r="AR83" s="1248"/>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1"/>
      <c r="DE83" s="1251"/>
      <c r="DF83" s="1251"/>
      <c r="DG83" s="1251"/>
      <c r="DH83" s="1251"/>
      <c r="DI83" s="1251"/>
      <c r="DJ83" s="1251"/>
      <c r="DK83" s="1251"/>
      <c r="DL83" s="1251"/>
      <c r="DM83" s="1251"/>
      <c r="DN83" s="1251"/>
      <c r="DO83" s="1251"/>
      <c r="DP83" s="1251"/>
      <c r="DQ83" s="1251"/>
      <c r="DR83" s="1251"/>
      <c r="DS83" s="1251"/>
      <c r="DT83" s="1251"/>
      <c r="DU83" s="1251"/>
      <c r="DV83" s="1251"/>
      <c r="DW83" s="1251"/>
      <c r="DX83" s="1251"/>
      <c r="DY83" s="1251"/>
      <c r="DZ83" s="1251"/>
      <c r="EA83" s="1251"/>
      <c r="EB83" s="1251"/>
      <c r="EC83" s="1251"/>
      <c r="ED83" s="1251"/>
      <c r="EE83" s="1251"/>
      <c r="EF83" s="1251"/>
      <c r="EG83" s="1251"/>
      <c r="EH83" s="1251"/>
      <c r="EI83" s="1251"/>
      <c r="EJ83" s="1251"/>
      <c r="EK83" s="1251"/>
      <c r="EL83" s="1251"/>
      <c r="EM83" s="1251"/>
      <c r="EN83" s="1251"/>
      <c r="EO83" s="1251"/>
      <c r="EP83" s="1251"/>
      <c r="EQ83" s="1251"/>
      <c r="ER83" s="1251"/>
      <c r="ES83" s="1251"/>
      <c r="ET83" s="1251"/>
      <c r="EU83" s="1251"/>
      <c r="EV83" s="1251"/>
      <c r="EW83" s="1251"/>
      <c r="EX83" s="1251"/>
      <c r="EY83" s="1251"/>
      <c r="EZ83" s="1251"/>
      <c r="FA83" s="1251"/>
      <c r="FB83" s="1251"/>
      <c r="FC83" s="1251"/>
      <c r="FD83" s="1251"/>
      <c r="FE83" s="1251"/>
      <c r="FF83" s="1251"/>
      <c r="FG83" s="1251"/>
      <c r="FH83" s="1251"/>
      <c r="FI83" s="1251"/>
      <c r="FJ83" s="1251"/>
      <c r="FK83" s="1251"/>
      <c r="FL83" s="1251"/>
      <c r="FM83" s="1251"/>
      <c r="FN83" s="1251"/>
      <c r="FO83" s="1251"/>
      <c r="FP83" s="1251"/>
      <c r="FQ83" s="1251"/>
      <c r="FR83" s="1251"/>
      <c r="FS83" s="1251"/>
      <c r="FT83" s="1251"/>
      <c r="FU83" s="1251"/>
      <c r="FV83" s="1251"/>
      <c r="FW83" s="1251"/>
      <c r="FX83" s="1251"/>
      <c r="FY83" s="1251"/>
      <c r="FZ83" s="1251"/>
      <c r="GA83" s="1251"/>
      <c r="GB83" s="1251"/>
      <c r="GC83" s="1251"/>
      <c r="GD83" s="1251"/>
      <c r="GE83" s="1251"/>
      <c r="GF83" s="1251"/>
      <c r="GG83" s="1251"/>
      <c r="GH83" s="1251"/>
      <c r="GI83" s="1251"/>
      <c r="GJ83" s="1251"/>
      <c r="GK83" s="1251"/>
      <c r="GL83" s="1251"/>
      <c r="GM83" s="1251"/>
      <c r="GN83" s="1251"/>
      <c r="GO83" s="1251"/>
      <c r="GP83" s="1251"/>
      <c r="GQ83" s="1251"/>
      <c r="GR83" s="1251"/>
      <c r="GS83" s="1251"/>
      <c r="GT83" s="1251"/>
      <c r="GU83" s="1251"/>
      <c r="GV83" s="1251"/>
      <c r="GW83" s="1251"/>
      <c r="GX83" s="1251"/>
      <c r="GY83" s="1251"/>
      <c r="GZ83" s="1251"/>
      <c r="HA83" s="1251"/>
      <c r="HB83" s="1251"/>
      <c r="HC83" s="1251"/>
      <c r="HD83" s="1251"/>
      <c r="HE83" s="1251"/>
      <c r="HF83" s="1251"/>
      <c r="HG83" s="1251"/>
      <c r="HH83" s="1251"/>
      <c r="HI83" s="1251"/>
      <c r="HJ83" s="1251"/>
      <c r="HK83" s="1251"/>
      <c r="HL83" s="1251"/>
      <c r="HM83" s="1251"/>
      <c r="HN83" s="1251"/>
      <c r="HO83" s="1251"/>
      <c r="HP83" s="1251"/>
      <c r="HQ83" s="1251"/>
      <c r="HR83" s="1251"/>
      <c r="HS83" s="1251"/>
      <c r="HT83" s="1251"/>
      <c r="HU83" s="1251"/>
      <c r="HV83" s="1251"/>
      <c r="HW83" s="1251"/>
      <c r="HX83" s="1251"/>
      <c r="HY83" s="1251"/>
      <c r="HZ83" s="1251"/>
      <c r="IA83" s="1251"/>
      <c r="IB83" s="1251"/>
      <c r="IC83" s="1251"/>
      <c r="ID83" s="1251"/>
      <c r="IE83" s="1251"/>
      <c r="IF83" s="1251"/>
      <c r="IG83" s="1251"/>
      <c r="IH83" s="1251"/>
      <c r="II83" s="1251"/>
      <c r="IJ83" s="1251"/>
      <c r="IK83" s="1251"/>
      <c r="IL83" s="1251"/>
      <c r="IM83" s="1251"/>
      <c r="IN83" s="1251"/>
      <c r="IO83" s="1251"/>
      <c r="IP83" s="1251"/>
      <c r="IQ83" s="1251"/>
      <c r="IR83" s="1251"/>
      <c r="IS83" s="1251"/>
      <c r="IT83" s="1251"/>
      <c r="IU83" s="1251"/>
      <c r="IV83" s="1251"/>
      <c r="IW83" s="1251"/>
      <c r="IX83" s="1251"/>
      <c r="IY83" s="1251"/>
      <c r="IZ83" s="1251"/>
      <c r="JA83" s="1251"/>
      <c r="JB83" s="1251"/>
      <c r="JC83" s="1251"/>
      <c r="JD83" s="1251"/>
      <c r="JE83" s="1251"/>
      <c r="JF83" s="1251"/>
      <c r="JG83" s="1251"/>
      <c r="JH83" s="1251"/>
      <c r="JI83" s="1251"/>
      <c r="JJ83" s="1251"/>
      <c r="JK83" s="1251"/>
      <c r="JL83" s="1251"/>
      <c r="JM83" s="1251"/>
      <c r="JN83" s="1251"/>
      <c r="JO83" s="1251"/>
      <c r="JP83" s="1251"/>
      <c r="JQ83" s="1251"/>
      <c r="JR83" s="1251"/>
      <c r="JS83" s="1251"/>
      <c r="JT83" s="1251"/>
      <c r="JU83" s="1251"/>
      <c r="JV83" s="1251"/>
      <c r="JW83" s="1251"/>
      <c r="JX83" s="1251"/>
      <c r="JY83" s="1251"/>
      <c r="JZ83" s="1251"/>
      <c r="KA83" s="1251"/>
      <c r="KB83" s="1251"/>
      <c r="KC83" s="1251"/>
      <c r="KD83" s="1251"/>
      <c r="KE83" s="1251"/>
      <c r="KF83" s="1251"/>
      <c r="KG83" s="1251"/>
      <c r="KH83" s="1251"/>
      <c r="KI83" s="1251"/>
      <c r="KJ83" s="1251"/>
      <c r="KK83" s="1251"/>
      <c r="KL83" s="1251"/>
      <c r="KM83" s="1251"/>
      <c r="KN83" s="1251"/>
      <c r="KO83" s="1251"/>
      <c r="KP83" s="1251"/>
      <c r="KQ83" s="1251"/>
      <c r="KR83" s="1251"/>
      <c r="KS83" s="1251"/>
      <c r="KT83" s="1251"/>
      <c r="KU83" s="1251"/>
      <c r="KV83" s="1251"/>
      <c r="KW83" s="1251"/>
      <c r="KX83" s="1251"/>
      <c r="KY83" s="1251"/>
      <c r="KZ83" s="1251"/>
      <c r="LA83" s="1251"/>
      <c r="LB83" s="1251"/>
      <c r="LC83" s="1251"/>
      <c r="LD83" s="1251"/>
      <c r="LE83" s="1251"/>
      <c r="LF83" s="1251"/>
      <c r="LG83" s="1251"/>
      <c r="LH83" s="1251"/>
      <c r="LI83" s="1251"/>
      <c r="LJ83" s="1251"/>
      <c r="LK83" s="1251"/>
      <c r="LL83" s="1251"/>
      <c r="LM83" s="1251"/>
      <c r="LN83" s="1251"/>
      <c r="LO83" s="1251"/>
      <c r="LP83" s="1251"/>
      <c r="LQ83" s="1251"/>
      <c r="LR83" s="1251"/>
      <c r="LS83" s="1251"/>
      <c r="LT83" s="1251"/>
      <c r="LU83" s="1251"/>
      <c r="LV83" s="1251"/>
      <c r="LW83" s="1251"/>
      <c r="LX83" s="1251"/>
      <c r="LY83" s="1251"/>
      <c r="LZ83" s="1251"/>
      <c r="MA83" s="1251"/>
      <c r="MB83" s="1251"/>
      <c r="MC83" s="1251"/>
      <c r="MD83" s="1251"/>
      <c r="ME83" s="1251"/>
      <c r="MF83" s="1251"/>
      <c r="MG83" s="1251"/>
      <c r="MH83" s="1251"/>
      <c r="MI83" s="1251"/>
      <c r="MJ83" s="1251"/>
      <c r="MK83" s="1251"/>
      <c r="ML83" s="1251"/>
      <c r="MM83" s="1251"/>
      <c r="MN83" s="1251"/>
      <c r="MO83" s="1251"/>
      <c r="MP83" s="1251"/>
      <c r="MQ83" s="1251"/>
      <c r="MR83" s="1251"/>
      <c r="MS83" s="1251"/>
      <c r="MT83" s="1251"/>
      <c r="MU83" s="1251"/>
      <c r="MV83" s="1251"/>
      <c r="MW83" s="1251"/>
      <c r="MX83" s="1251"/>
      <c r="MY83" s="1251"/>
      <c r="MZ83" s="1251"/>
      <c r="NA83" s="1251"/>
      <c r="NB83" s="1251"/>
      <c r="NC83" s="1251"/>
      <c r="ND83" s="1251"/>
      <c r="NE83" s="1251"/>
      <c r="NF83" s="1251"/>
      <c r="NG83" s="1251"/>
      <c r="NH83" s="1251"/>
      <c r="NI83" s="1251"/>
      <c r="NJ83" s="1251"/>
      <c r="NK83" s="1251"/>
      <c r="NL83" s="1251"/>
      <c r="NM83" s="1251"/>
      <c r="NN83" s="1251"/>
      <c r="NO83" s="1251"/>
      <c r="NP83" s="1251"/>
      <c r="NQ83" s="1251"/>
      <c r="NR83" s="1251"/>
      <c r="NS83" s="1251"/>
      <c r="NT83" s="1251"/>
      <c r="NU83" s="1251"/>
      <c r="NV83" s="1251"/>
      <c r="NW83" s="1251"/>
      <c r="NX83" s="1251"/>
      <c r="NY83" s="1251"/>
      <c r="NZ83" s="1251"/>
      <c r="OA83" s="1251"/>
      <c r="OB83" s="1251"/>
      <c r="OC83" s="1251"/>
      <c r="OD83" s="1251"/>
      <c r="OE83" s="1251"/>
      <c r="OF83" s="1251"/>
      <c r="OG83" s="1251"/>
      <c r="OH83" s="1251"/>
      <c r="OI83" s="1251"/>
      <c r="OJ83" s="1251"/>
      <c r="OK83" s="1251"/>
      <c r="OL83" s="1251"/>
      <c r="OM83" s="1251"/>
      <c r="ON83" s="1251"/>
      <c r="OO83" s="1251"/>
      <c r="OP83" s="1251"/>
      <c r="OQ83" s="1251"/>
      <c r="OR83" s="1251"/>
      <c r="OS83" s="1251"/>
      <c r="OT83" s="1251"/>
      <c r="OU83" s="1251"/>
      <c r="OV83" s="1251"/>
      <c r="OW83" s="1251"/>
      <c r="OX83" s="1251"/>
      <c r="OY83" s="1251"/>
      <c r="OZ83" s="1251"/>
      <c r="PA83" s="1251"/>
      <c r="PB83" s="1251"/>
      <c r="PC83" s="1251"/>
      <c r="PD83" s="1251"/>
      <c r="PE83" s="1251"/>
      <c r="PF83" s="1251"/>
      <c r="PG83" s="1251"/>
      <c r="PH83" s="1251"/>
      <c r="PI83" s="1251"/>
      <c r="PJ83" s="1251"/>
      <c r="PK83" s="1251"/>
      <c r="PL83" s="1251"/>
      <c r="PM83" s="1251"/>
      <c r="PN83" s="1251"/>
      <c r="PO83" s="1251"/>
      <c r="PP83" s="1251"/>
      <c r="PQ83" s="1251"/>
      <c r="PR83" s="1251"/>
      <c r="PS83" s="1251"/>
      <c r="PT83" s="1251"/>
      <c r="PU83" s="1251"/>
      <c r="PV83" s="1251"/>
      <c r="PW83" s="1251"/>
      <c r="PX83" s="1251"/>
      <c r="PY83" s="1251"/>
      <c r="PZ83" s="1251"/>
      <c r="QA83" s="1251"/>
      <c r="QB83" s="1251"/>
      <c r="QC83" s="1251"/>
      <c r="QD83" s="1251"/>
      <c r="QE83" s="1251"/>
      <c r="QF83" s="1251"/>
      <c r="QG83" s="1251"/>
      <c r="QH83" s="1251"/>
      <c r="QI83" s="1251"/>
      <c r="QJ83" s="1251"/>
      <c r="QK83" s="1251"/>
      <c r="QL83" s="1251"/>
      <c r="QM83" s="1251"/>
      <c r="QN83" s="1251"/>
      <c r="QO83" s="1251"/>
      <c r="QP83" s="1251"/>
      <c r="QQ83" s="1251"/>
      <c r="QR83" s="1251"/>
      <c r="QS83" s="1251"/>
      <c r="QT83" s="1251"/>
      <c r="QU83" s="1251"/>
      <c r="QV83" s="1251"/>
      <c r="QW83" s="1251"/>
      <c r="QX83" s="1251"/>
      <c r="QY83" s="1251"/>
      <c r="QZ83" s="1251"/>
      <c r="RA83" s="1251"/>
      <c r="RB83" s="1251"/>
      <c r="RC83" s="1251"/>
      <c r="RD83" s="1251"/>
      <c r="RE83" s="1251"/>
      <c r="RF83" s="1251"/>
      <c r="RG83" s="1251"/>
      <c r="RH83" s="1251"/>
      <c r="RI83" s="1251"/>
      <c r="RJ83" s="1251"/>
      <c r="RK83" s="1251"/>
      <c r="RL83" s="1251"/>
      <c r="RM83" s="1251"/>
      <c r="RN83" s="1251"/>
      <c r="RO83" s="1251"/>
      <c r="RP83" s="1251"/>
      <c r="RQ83" s="1251"/>
      <c r="RR83" s="1251"/>
      <c r="RS83" s="1251"/>
      <c r="RT83" s="1251"/>
      <c r="RU83" s="1251"/>
      <c r="RV83" s="1251"/>
      <c r="RW83" s="1251"/>
      <c r="RX83" s="1251"/>
      <c r="RY83" s="1251"/>
      <c r="RZ83" s="1251"/>
      <c r="SA83" s="1251"/>
      <c r="SB83" s="1251"/>
      <c r="SC83" s="1251"/>
      <c r="SD83" s="1251"/>
      <c r="SE83" s="1251"/>
      <c r="SF83" s="1251"/>
      <c r="SG83" s="1251"/>
      <c r="SH83" s="1251"/>
      <c r="SI83" s="1251"/>
      <c r="SJ83" s="1251"/>
      <c r="SK83" s="1251"/>
      <c r="SL83" s="1251"/>
      <c r="SM83" s="1251"/>
      <c r="SN83" s="1251"/>
      <c r="SO83" s="1251"/>
      <c r="SP83" s="1251"/>
      <c r="SQ83" s="1251"/>
      <c r="SR83" s="1251"/>
      <c r="SS83" s="1251"/>
      <c r="ST83" s="1251"/>
      <c r="SU83" s="1251"/>
      <c r="SV83" s="1251"/>
      <c r="SW83" s="1251"/>
      <c r="SX83" s="1251"/>
      <c r="SY83" s="1251"/>
      <c r="SZ83" s="1251"/>
      <c r="TA83" s="1251"/>
      <c r="TB83" s="1251"/>
      <c r="TC83" s="1251"/>
      <c r="TD83" s="1251"/>
      <c r="TE83" s="1251"/>
      <c r="TF83" s="1251"/>
      <c r="TG83" s="1251"/>
      <c r="TH83" s="1251"/>
      <c r="TI83" s="1251"/>
      <c r="TJ83" s="1251"/>
      <c r="TK83" s="1251"/>
      <c r="TL83" s="1251"/>
      <c r="TM83" s="1251"/>
      <c r="TN83" s="1251"/>
      <c r="TO83" s="1251"/>
      <c r="TP83" s="1251"/>
      <c r="TQ83" s="1251"/>
      <c r="TR83" s="1251"/>
      <c r="TS83" s="1251"/>
      <c r="TT83" s="1251"/>
      <c r="TU83" s="1251"/>
      <c r="TV83" s="1251"/>
      <c r="TW83" s="1251"/>
      <c r="TX83" s="1251"/>
      <c r="TY83" s="1251"/>
      <c r="TZ83" s="1251"/>
      <c r="UA83" s="1251"/>
      <c r="UB83" s="1251"/>
      <c r="UC83" s="1251"/>
      <c r="UD83" s="1251"/>
      <c r="UE83" s="1251"/>
      <c r="UF83" s="1251"/>
      <c r="UG83" s="1251"/>
      <c r="UH83" s="1251"/>
      <c r="UI83" s="1251"/>
      <c r="UJ83" s="1251"/>
      <c r="UK83" s="1251"/>
      <c r="UL83" s="1251"/>
      <c r="UM83" s="1251"/>
      <c r="UN83" s="1251"/>
      <c r="UO83" s="1251"/>
      <c r="UP83" s="1251"/>
      <c r="UQ83" s="1251"/>
      <c r="UR83" s="1251"/>
      <c r="US83" s="1251"/>
      <c r="UT83" s="1251"/>
      <c r="UU83" s="1251"/>
      <c r="UV83" s="1251"/>
      <c r="UW83" s="1251"/>
      <c r="UX83" s="1251"/>
      <c r="UY83" s="1251"/>
      <c r="UZ83" s="1251"/>
      <c r="VA83" s="1251"/>
      <c r="VB83" s="1251"/>
      <c r="VC83" s="1251"/>
      <c r="VD83" s="1251"/>
      <c r="VE83" s="1251"/>
      <c r="VF83" s="1251"/>
      <c r="VG83" s="1251"/>
      <c r="VH83" s="1251"/>
      <c r="VI83" s="1251"/>
      <c r="VJ83" s="1251"/>
      <c r="VK83" s="1251"/>
      <c r="VL83" s="1251"/>
      <c r="VM83" s="1251"/>
      <c r="VN83" s="1251"/>
      <c r="VO83" s="1251"/>
      <c r="VP83" s="1251"/>
      <c r="VQ83" s="1251"/>
      <c r="VR83" s="1251"/>
      <c r="VS83" s="1251"/>
      <c r="VT83" s="1251"/>
      <c r="VU83" s="1251"/>
      <c r="VV83" s="1251"/>
      <c r="VW83" s="1251"/>
      <c r="VX83" s="1251"/>
      <c r="VY83" s="1251"/>
      <c r="VZ83" s="1251"/>
      <c r="WA83" s="1251"/>
      <c r="WB83" s="1251"/>
      <c r="WC83" s="1251"/>
      <c r="WD83" s="1251"/>
      <c r="WE83" s="1251"/>
      <c r="WF83" s="1251"/>
      <c r="WG83" s="1251"/>
      <c r="WH83" s="1251"/>
      <c r="WI83" s="1251"/>
      <c r="WJ83" s="1251"/>
      <c r="WK83" s="1251"/>
      <c r="WL83" s="1251"/>
      <c r="WM83" s="1251"/>
      <c r="WN83" s="1251"/>
      <c r="WO83" s="1251"/>
      <c r="WP83" s="1251"/>
      <c r="WQ83" s="1251"/>
      <c r="WR83" s="1251"/>
      <c r="WS83" s="1251"/>
      <c r="WT83" s="1251"/>
      <c r="WU83" s="1251"/>
      <c r="WV83" s="1251"/>
      <c r="WW83" s="1251"/>
      <c r="WX83" s="1251"/>
      <c r="WY83" s="1251"/>
      <c r="WZ83" s="1251"/>
      <c r="XA83" s="1251"/>
      <c r="XB83" s="1251"/>
      <c r="XC83" s="1251"/>
      <c r="XD83" s="1251"/>
      <c r="XE83" s="1251"/>
      <c r="XF83" s="1251"/>
      <c r="XG83" s="1251"/>
      <c r="XH83" s="1251"/>
      <c r="XI83" s="1251"/>
      <c r="XJ83" s="1251"/>
      <c r="XK83" s="1251"/>
      <c r="XL83" s="1251"/>
      <c r="XM83" s="1251"/>
      <c r="XN83" s="1251"/>
      <c r="XO83" s="1251"/>
      <c r="XP83" s="1251"/>
      <c r="XQ83" s="1251"/>
      <c r="XR83" s="1251"/>
      <c r="XS83" s="1251"/>
      <c r="XT83" s="1251"/>
      <c r="XU83" s="1251"/>
      <c r="XV83" s="1251"/>
      <c r="XW83" s="1251"/>
      <c r="XX83" s="1251"/>
      <c r="XY83" s="1251"/>
      <c r="XZ83" s="1251"/>
      <c r="YA83" s="1251"/>
      <c r="YB83" s="1251"/>
      <c r="YC83" s="1251"/>
      <c r="YD83" s="1251"/>
      <c r="YE83" s="1251"/>
      <c r="YF83" s="1251"/>
      <c r="YG83" s="1251"/>
      <c r="YH83" s="1251"/>
      <c r="YI83" s="1251"/>
      <c r="YJ83" s="1251"/>
      <c r="YK83" s="1251"/>
      <c r="YL83" s="1251"/>
      <c r="YM83" s="1251"/>
      <c r="YN83" s="1251"/>
      <c r="YO83" s="1251"/>
      <c r="YP83" s="1251"/>
      <c r="YQ83" s="1251"/>
      <c r="YR83" s="1251"/>
      <c r="YS83" s="1251"/>
      <c r="YT83" s="1251"/>
      <c r="YU83" s="1251"/>
      <c r="YV83" s="1251"/>
      <c r="YW83" s="1251"/>
      <c r="YX83" s="1251"/>
      <c r="YY83" s="1251"/>
      <c r="YZ83" s="1251"/>
      <c r="ZA83" s="1251"/>
      <c r="ZB83" s="1251"/>
      <c r="ZC83" s="1251"/>
      <c r="ZD83" s="1251"/>
      <c r="ZE83" s="1251"/>
      <c r="ZF83" s="1251"/>
      <c r="ZG83" s="1251"/>
      <c r="ZH83" s="1251"/>
      <c r="ZI83" s="1251"/>
      <c r="ZJ83" s="1251"/>
      <c r="ZK83" s="1251"/>
      <c r="ZL83" s="1251"/>
      <c r="ZM83" s="1251"/>
      <c r="ZN83" s="1251"/>
      <c r="ZO83" s="1251"/>
      <c r="ZP83" s="1251"/>
      <c r="ZQ83" s="1251"/>
      <c r="ZR83" s="1251"/>
      <c r="ZS83" s="1251"/>
      <c r="ZT83" s="1251"/>
      <c r="ZU83" s="1251"/>
      <c r="ZV83" s="1251"/>
      <c r="ZW83" s="1251"/>
      <c r="ZX83" s="1251"/>
      <c r="ZY83" s="1251"/>
      <c r="ZZ83" s="1251"/>
      <c r="AAA83" s="1251"/>
      <c r="AAB83" s="1251"/>
      <c r="AAC83" s="1251"/>
      <c r="AAD83" s="1251"/>
      <c r="AAE83" s="1251"/>
      <c r="AAF83" s="1251"/>
      <c r="AAG83" s="1251"/>
      <c r="AAH83" s="1251"/>
      <c r="AAI83" s="1251"/>
      <c r="AAJ83" s="1251"/>
      <c r="AAK83" s="1251"/>
      <c r="AAL83" s="1251"/>
      <c r="AAM83" s="1251"/>
      <c r="AAN83" s="1251"/>
      <c r="AAO83" s="1251"/>
      <c r="AAP83" s="1251"/>
      <c r="AAQ83" s="1251"/>
      <c r="AAR83" s="1251"/>
      <c r="AAS83" s="1251"/>
      <c r="AAT83" s="1251"/>
      <c r="AAU83" s="1251"/>
      <c r="AAV83" s="1251"/>
      <c r="AAW83" s="1251"/>
      <c r="AAX83" s="1251"/>
      <c r="AAY83" s="1251"/>
      <c r="AAZ83" s="1251"/>
      <c r="ABA83" s="1251"/>
      <c r="ABB83" s="1251"/>
      <c r="ABC83" s="1251"/>
      <c r="ABD83" s="1251"/>
      <c r="ABE83" s="1251"/>
      <c r="ABF83" s="1251"/>
      <c r="ABG83" s="1251"/>
      <c r="ABH83" s="1251"/>
      <c r="ABI83" s="1251"/>
      <c r="ABJ83" s="1251"/>
      <c r="ABK83" s="1251"/>
      <c r="ABL83" s="1251"/>
      <c r="ABM83" s="1251"/>
      <c r="ABN83" s="1251"/>
      <c r="ABO83" s="1251"/>
      <c r="ABP83" s="1251"/>
      <c r="ABQ83" s="1251"/>
      <c r="ABR83" s="1251"/>
      <c r="ABS83" s="1251"/>
      <c r="ABT83" s="1251"/>
      <c r="ABU83" s="1251"/>
      <c r="ABV83" s="1251"/>
      <c r="ABW83" s="1251"/>
      <c r="ABX83" s="1251"/>
      <c r="ABY83" s="1251"/>
      <c r="ABZ83" s="1251"/>
      <c r="ACA83" s="1251"/>
      <c r="ACB83" s="1251"/>
      <c r="ACC83" s="1251"/>
      <c r="ACD83" s="1251"/>
      <c r="ACE83" s="1251"/>
      <c r="ACF83" s="1251"/>
      <c r="ACG83" s="1251"/>
      <c r="ACH83" s="1251"/>
      <c r="ACI83" s="1251"/>
      <c r="ACJ83" s="1251"/>
      <c r="ACK83" s="1251"/>
      <c r="ACL83" s="1251"/>
      <c r="ACM83" s="1251"/>
      <c r="ACN83" s="1251"/>
      <c r="ACO83" s="1251"/>
      <c r="ACP83" s="1251"/>
      <c r="ACQ83" s="1251"/>
      <c r="ACR83" s="1251"/>
      <c r="ACS83" s="1251"/>
      <c r="ACT83" s="1251"/>
      <c r="ACU83" s="1251"/>
      <c r="ACV83" s="1251"/>
      <c r="ACW83" s="1251"/>
      <c r="ACX83" s="1251"/>
      <c r="ACY83" s="1251"/>
      <c r="ACZ83" s="1251"/>
      <c r="ADA83" s="1251"/>
      <c r="ADB83" s="1251"/>
      <c r="ADC83" s="1251"/>
      <c r="ADD83" s="1251"/>
      <c r="ADE83" s="1251"/>
      <c r="ADF83" s="1251"/>
      <c r="ADG83" s="1251"/>
      <c r="ADH83" s="1251"/>
      <c r="ADI83" s="1251"/>
      <c r="ADJ83" s="1251"/>
      <c r="ADK83" s="1251"/>
      <c r="ADL83" s="1251"/>
      <c r="ADM83" s="1251"/>
      <c r="ADN83" s="1251"/>
      <c r="ADO83" s="1251"/>
      <c r="ADP83" s="1251"/>
      <c r="ADQ83" s="1251"/>
      <c r="ADR83" s="1251"/>
      <c r="ADS83" s="1251"/>
      <c r="ADT83" s="1251"/>
      <c r="ADU83" s="1251"/>
      <c r="ADV83" s="1251"/>
      <c r="ADW83" s="1251"/>
      <c r="ADX83" s="1251"/>
      <c r="ADY83" s="1251"/>
      <c r="ADZ83" s="1251"/>
      <c r="AEA83" s="1251"/>
      <c r="AEB83" s="1251"/>
      <c r="AEC83" s="1251"/>
      <c r="AED83" s="1251"/>
      <c r="AEE83" s="1251"/>
      <c r="AEF83" s="1251"/>
      <c r="AEG83" s="1251"/>
      <c r="AEH83" s="1251"/>
      <c r="AEI83" s="1251"/>
      <c r="AEJ83" s="1251"/>
      <c r="AEK83" s="1251"/>
      <c r="AEL83" s="1251"/>
      <c r="AEM83" s="1251"/>
      <c r="AEN83" s="1251"/>
      <c r="AEO83" s="1251"/>
      <c r="AEP83" s="1251"/>
      <c r="AEQ83" s="1251"/>
      <c r="AER83" s="1251"/>
      <c r="AES83" s="1251"/>
      <c r="AET83" s="1251"/>
      <c r="AEU83" s="1251"/>
      <c r="AEV83" s="1251"/>
      <c r="AEW83" s="1251"/>
      <c r="AEX83" s="1251"/>
      <c r="AEY83" s="1251"/>
      <c r="AEZ83" s="1251"/>
      <c r="AFA83" s="1251"/>
      <c r="AFB83" s="1251"/>
      <c r="AFC83" s="1251"/>
      <c r="AFD83" s="1251"/>
      <c r="AFE83" s="1251"/>
      <c r="AFF83" s="1251"/>
      <c r="AFG83" s="1251"/>
      <c r="AFH83" s="1251"/>
      <c r="AFI83" s="1251"/>
      <c r="AFJ83" s="1251"/>
      <c r="AFK83" s="1251"/>
      <c r="AFL83" s="1251"/>
      <c r="AFM83" s="1251"/>
      <c r="AFN83" s="1251"/>
      <c r="AFO83" s="1251"/>
      <c r="AFP83" s="1251"/>
      <c r="AFQ83" s="1251"/>
      <c r="AFR83" s="1251"/>
      <c r="AFS83" s="1251"/>
      <c r="AFT83" s="1251"/>
      <c r="AFU83" s="1251"/>
      <c r="AFV83" s="1251"/>
      <c r="AFW83" s="1251"/>
      <c r="AFX83" s="1251"/>
      <c r="AFY83" s="1251"/>
      <c r="AFZ83" s="1251"/>
      <c r="AGA83" s="1251"/>
      <c r="AGB83" s="1251"/>
      <c r="AGC83" s="1251"/>
      <c r="AGD83" s="1251"/>
      <c r="AGE83" s="1251"/>
      <c r="AGF83" s="1251"/>
      <c r="AGG83" s="1251"/>
      <c r="AGH83" s="1251"/>
      <c r="AGI83" s="1251"/>
      <c r="AGJ83" s="1251"/>
      <c r="AGK83" s="1251"/>
      <c r="AGL83" s="1251"/>
      <c r="AGM83" s="1251"/>
      <c r="AGN83" s="1251"/>
      <c r="AGO83" s="1251"/>
      <c r="AGP83" s="1251"/>
      <c r="AGQ83" s="1251"/>
      <c r="AGR83" s="1251"/>
      <c r="AGS83" s="1251"/>
      <c r="AGT83" s="1251"/>
      <c r="AGU83" s="1251"/>
      <c r="AGV83" s="1251"/>
      <c r="AGW83" s="1251"/>
      <c r="AGX83" s="1251"/>
      <c r="AGY83" s="1251"/>
      <c r="AGZ83" s="1251"/>
      <c r="AHA83" s="1251"/>
      <c r="AHB83" s="1251"/>
      <c r="AHC83" s="1251"/>
      <c r="AHD83" s="1251"/>
      <c r="AHE83" s="1251"/>
      <c r="AHF83" s="1251"/>
      <c r="AHG83" s="1251"/>
      <c r="AHH83" s="1251"/>
      <c r="AHI83" s="1251"/>
      <c r="AHJ83" s="1251"/>
      <c r="AHK83" s="1251"/>
      <c r="AHL83" s="1251"/>
      <c r="AHM83" s="1251"/>
      <c r="AHN83" s="1251"/>
      <c r="AHO83" s="1251"/>
      <c r="AHP83" s="1251"/>
      <c r="AHQ83" s="1251"/>
      <c r="AHR83" s="1251"/>
      <c r="AHS83" s="1251"/>
      <c r="AHT83" s="1251"/>
      <c r="AHU83" s="1251"/>
      <c r="AHV83" s="1251"/>
      <c r="AHW83" s="1251"/>
      <c r="AHX83" s="1251"/>
      <c r="AHY83" s="1251"/>
      <c r="AHZ83" s="1251"/>
      <c r="AIA83" s="1251"/>
      <c r="AIB83" s="1251"/>
      <c r="AIC83" s="1251"/>
      <c r="AID83" s="1251"/>
      <c r="AIE83" s="1251"/>
      <c r="AIF83" s="1251"/>
      <c r="AIG83" s="1251"/>
      <c r="AIH83" s="1251"/>
      <c r="AII83" s="1251"/>
      <c r="AIJ83" s="1251"/>
      <c r="AIK83" s="1251"/>
      <c r="AIL83" s="1251"/>
      <c r="AIM83" s="1251"/>
      <c r="AIN83" s="1251"/>
      <c r="AIO83" s="1251"/>
      <c r="AIP83" s="1251"/>
      <c r="AIQ83" s="1251"/>
      <c r="AIR83" s="1251"/>
      <c r="AIS83" s="1251"/>
      <c r="AIT83" s="1251"/>
      <c r="AIU83" s="1251"/>
      <c r="AIV83" s="1251"/>
      <c r="AIW83" s="1251"/>
      <c r="AIX83" s="1251"/>
      <c r="AIY83" s="1251"/>
      <c r="AIZ83" s="1251"/>
      <c r="AJA83" s="1251"/>
      <c r="AJB83" s="1251"/>
      <c r="AJC83" s="1251"/>
      <c r="AJD83" s="1251"/>
      <c r="AJE83" s="1251"/>
      <c r="AJF83" s="1251"/>
      <c r="AJG83" s="1251"/>
      <c r="AJH83" s="1251"/>
      <c r="AJI83" s="1251"/>
      <c r="AJJ83" s="1251"/>
      <c r="AJK83" s="1251"/>
      <c r="AJL83" s="1251"/>
      <c r="AJM83" s="1251"/>
      <c r="AJN83" s="1251"/>
      <c r="AJO83" s="1251"/>
      <c r="AJP83" s="1251"/>
      <c r="AJQ83" s="1251"/>
      <c r="AJR83" s="1251"/>
      <c r="AJS83" s="1251"/>
      <c r="AJT83" s="1251"/>
      <c r="AJU83" s="1251"/>
      <c r="AJV83" s="1251"/>
      <c r="AJW83" s="1251"/>
      <c r="AJX83" s="1251"/>
      <c r="AJY83" s="1251"/>
      <c r="AJZ83" s="1251"/>
      <c r="AKA83" s="1251"/>
      <c r="AKB83" s="1251"/>
      <c r="AKC83" s="1251"/>
      <c r="AKD83" s="1251"/>
      <c r="AKE83" s="1251"/>
      <c r="AKF83" s="1251"/>
      <c r="AKG83" s="1251"/>
      <c r="AKH83" s="1251"/>
      <c r="AKI83" s="1251"/>
      <c r="AKJ83" s="1251"/>
      <c r="AKK83" s="1251"/>
      <c r="AKL83" s="1251"/>
      <c r="AKM83" s="1251"/>
      <c r="AKN83" s="1251"/>
      <c r="AKO83" s="1251"/>
      <c r="AKP83" s="1251"/>
      <c r="AKQ83" s="1251"/>
      <c r="AKR83" s="1251"/>
      <c r="AKS83" s="1251"/>
      <c r="AKT83" s="1251"/>
      <c r="AKU83" s="1251"/>
      <c r="AKV83" s="1251"/>
      <c r="AKW83" s="1251"/>
      <c r="AKX83" s="1251"/>
      <c r="AKY83" s="1251"/>
      <c r="AKZ83" s="1251"/>
      <c r="ALA83" s="1251"/>
      <c r="ALB83" s="1251"/>
      <c r="ALC83" s="1251"/>
      <c r="ALD83" s="1251"/>
      <c r="ALE83" s="1251"/>
      <c r="ALF83" s="1251"/>
      <c r="ALG83" s="1251"/>
      <c r="ALH83" s="1251"/>
      <c r="ALI83" s="1251"/>
      <c r="ALJ83" s="1251"/>
      <c r="ALK83" s="1251"/>
      <c r="ALL83" s="1251"/>
      <c r="ALM83" s="1251"/>
      <c r="ALN83" s="1251"/>
      <c r="ALO83" s="1251"/>
      <c r="ALP83" s="1251"/>
      <c r="ALQ83" s="1251"/>
      <c r="ALR83" s="1251"/>
      <c r="ALS83" s="1251"/>
      <c r="ALT83" s="1251"/>
      <c r="ALU83" s="1251"/>
      <c r="ALV83" s="1251"/>
      <c r="ALW83" s="1251"/>
      <c r="ALX83" s="1251"/>
      <c r="ALY83" s="1251"/>
      <c r="ALZ83" s="1251"/>
      <c r="AMA83" s="1251"/>
      <c r="AMB83" s="1251"/>
      <c r="AMC83" s="1251"/>
      <c r="AMD83" s="1251"/>
      <c r="AME83" s="1251"/>
      <c r="AMF83" s="1251"/>
      <c r="AMG83" s="1251"/>
      <c r="AMH83" s="1251"/>
      <c r="AMI83" s="1251"/>
      <c r="AMJ83" s="1251"/>
      <c r="AMK83" s="1251"/>
      <c r="AML83" s="1251"/>
      <c r="AMM83" s="1251"/>
      <c r="AMN83" s="1251"/>
      <c r="AMO83" s="1251"/>
      <c r="AMP83" s="1251"/>
      <c r="AMQ83" s="1251"/>
      <c r="AMR83" s="1251"/>
      <c r="AMS83" s="1251"/>
      <c r="AMT83" s="1251"/>
      <c r="AMU83" s="1251"/>
      <c r="AMV83" s="1251"/>
      <c r="AMW83" s="1251"/>
      <c r="AMX83" s="1251"/>
      <c r="AMY83" s="1251"/>
      <c r="AMZ83" s="1251"/>
      <c r="ANA83" s="1251"/>
      <c r="ANB83" s="1251"/>
      <c r="ANC83" s="1251"/>
      <c r="AND83" s="1251"/>
      <c r="ANE83" s="1251"/>
      <c r="ANF83" s="1251"/>
      <c r="ANG83" s="1251"/>
      <c r="ANH83" s="1251"/>
      <c r="ANI83" s="1251"/>
      <c r="ANJ83" s="1251"/>
      <c r="ANK83" s="1251"/>
      <c r="ANL83" s="1251"/>
      <c r="ANM83" s="1251"/>
      <c r="ANN83" s="1251"/>
      <c r="ANO83" s="1251"/>
      <c r="ANP83" s="1251"/>
      <c r="ANQ83" s="1251"/>
      <c r="ANR83" s="1251"/>
      <c r="ANS83" s="1251"/>
      <c r="ANT83" s="1251"/>
      <c r="ANU83" s="1251"/>
      <c r="ANV83" s="1251"/>
      <c r="ANW83" s="1251"/>
      <c r="ANX83" s="1251"/>
      <c r="ANY83" s="1251"/>
      <c r="ANZ83" s="1251"/>
      <c r="AOA83" s="1251"/>
      <c r="AOB83" s="1251"/>
      <c r="AOC83" s="1251"/>
      <c r="AOD83" s="1251"/>
      <c r="AOE83" s="1251"/>
      <c r="AOF83" s="1251"/>
      <c r="AOG83" s="1251"/>
      <c r="AOH83" s="1251"/>
      <c r="AOI83" s="1251"/>
      <c r="AOJ83" s="1251"/>
      <c r="AOK83" s="1251"/>
      <c r="AOL83" s="1251"/>
      <c r="AOM83" s="1251"/>
      <c r="AON83" s="1251"/>
      <c r="AOO83" s="1251"/>
      <c r="AOP83" s="1251"/>
      <c r="AOQ83" s="1251"/>
      <c r="AOR83" s="1251"/>
      <c r="AOS83" s="1251"/>
      <c r="AOT83" s="1251"/>
      <c r="AOU83" s="1251"/>
      <c r="AOV83" s="1251"/>
      <c r="AOW83" s="1251"/>
      <c r="AOX83" s="1251"/>
      <c r="AOY83" s="1251"/>
      <c r="AOZ83" s="1251"/>
      <c r="APA83" s="1251"/>
      <c r="APB83" s="1251"/>
      <c r="APC83" s="1251"/>
      <c r="APD83" s="1251"/>
      <c r="APE83" s="1251"/>
      <c r="APF83" s="1251"/>
      <c r="APG83" s="1251"/>
      <c r="APH83" s="1251"/>
      <c r="API83" s="1251"/>
      <c r="APJ83" s="1251"/>
      <c r="APK83" s="1251"/>
      <c r="APL83" s="1251"/>
      <c r="APM83" s="1251"/>
      <c r="APN83" s="1251"/>
      <c r="APO83" s="1251"/>
      <c r="APP83" s="1251"/>
      <c r="APQ83" s="1251"/>
      <c r="APR83" s="1251"/>
      <c r="APS83" s="1251"/>
      <c r="APT83" s="1251"/>
      <c r="APU83" s="1251"/>
      <c r="APV83" s="1251"/>
      <c r="APW83" s="1251"/>
      <c r="APX83" s="1251"/>
      <c r="APY83" s="1251"/>
      <c r="APZ83" s="1251"/>
      <c r="AQA83" s="1251"/>
      <c r="AQB83" s="1251"/>
      <c r="AQC83" s="1251"/>
      <c r="AQD83" s="1251"/>
      <c r="AQE83" s="1251"/>
      <c r="AQF83" s="1251"/>
      <c r="AQG83" s="1251"/>
      <c r="AQH83" s="1251"/>
      <c r="AQI83" s="1251"/>
      <c r="AQJ83" s="1251"/>
      <c r="AQK83" s="1251"/>
      <c r="AQL83" s="1251"/>
      <c r="AQM83" s="1251"/>
      <c r="AQN83" s="1251"/>
      <c r="AQO83" s="1251"/>
      <c r="AQP83" s="1251"/>
      <c r="AQQ83" s="1251"/>
      <c r="AQR83" s="1251"/>
      <c r="AQS83" s="1251"/>
      <c r="AQT83" s="1251"/>
      <c r="AQU83" s="1251"/>
      <c r="AQV83" s="1251"/>
      <c r="AQW83" s="1251"/>
      <c r="AQX83" s="1251"/>
      <c r="AQY83" s="1251"/>
      <c r="AQZ83" s="1251"/>
      <c r="ARA83" s="1251"/>
      <c r="ARB83" s="1251"/>
      <c r="ARC83" s="1251"/>
      <c r="ARD83" s="1251"/>
      <c r="ARE83" s="1251"/>
      <c r="ARF83" s="1251"/>
      <c r="ARG83" s="1251"/>
      <c r="ARH83" s="1251"/>
      <c r="ARI83" s="1251"/>
      <c r="ARJ83" s="1251"/>
      <c r="ARK83" s="1251"/>
      <c r="ARL83" s="1251"/>
      <c r="ARM83" s="1251"/>
      <c r="ARN83" s="1251"/>
      <c r="ARO83" s="1251"/>
      <c r="ARP83" s="1251"/>
      <c r="ARQ83" s="1251"/>
      <c r="ARR83" s="1251"/>
      <c r="ARS83" s="1251"/>
      <c r="ART83" s="1251"/>
      <c r="ARU83" s="1251"/>
      <c r="ARV83" s="1251"/>
      <c r="ARW83" s="1251"/>
      <c r="ARX83" s="1251"/>
      <c r="ARY83" s="1251"/>
      <c r="ARZ83" s="1251"/>
      <c r="ASA83" s="1251"/>
      <c r="ASB83" s="1251"/>
      <c r="ASC83" s="1251"/>
      <c r="ASD83" s="1251"/>
      <c r="ASE83" s="1251"/>
      <c r="ASF83" s="1251"/>
      <c r="ASG83" s="1251"/>
      <c r="ASH83" s="1251"/>
      <c r="ASI83" s="1251"/>
      <c r="ASJ83" s="1251"/>
      <c r="ASK83" s="1251"/>
      <c r="ASL83" s="1251"/>
      <c r="ASM83" s="1251"/>
      <c r="ASN83" s="1251"/>
      <c r="ASO83" s="1251"/>
      <c r="ASP83" s="1251"/>
      <c r="ASQ83" s="1251"/>
      <c r="ASR83" s="1251"/>
      <c r="ASS83" s="1251"/>
      <c r="AST83" s="1251"/>
      <c r="ASU83" s="1251"/>
      <c r="ASV83" s="1251"/>
      <c r="ASW83" s="1251"/>
      <c r="ASX83" s="1251"/>
      <c r="ASY83" s="1251"/>
      <c r="ASZ83" s="1251"/>
      <c r="ATA83" s="1251"/>
      <c r="ATB83" s="1251"/>
      <c r="ATC83" s="1251"/>
      <c r="ATD83" s="1251"/>
      <c r="ATE83" s="1251"/>
      <c r="ATF83" s="1251"/>
      <c r="ATG83" s="1251"/>
      <c r="ATH83" s="1251"/>
      <c r="ATI83" s="1251"/>
      <c r="ATJ83" s="1251"/>
      <c r="ATK83" s="1251"/>
      <c r="ATL83" s="1251"/>
      <c r="ATM83" s="1251"/>
      <c r="ATN83" s="1251"/>
      <c r="ATO83" s="1251"/>
      <c r="ATP83" s="1251"/>
      <c r="ATQ83" s="1251"/>
      <c r="ATR83" s="1251"/>
      <c r="ATS83" s="1251"/>
      <c r="ATT83" s="1251"/>
      <c r="ATU83" s="1251"/>
      <c r="ATV83" s="1251"/>
      <c r="ATW83" s="1251"/>
      <c r="ATX83" s="1251"/>
      <c r="ATY83" s="1251"/>
      <c r="ATZ83" s="1251"/>
      <c r="AUA83" s="1251"/>
      <c r="AUB83" s="1251"/>
      <c r="AUC83" s="1251"/>
      <c r="AUD83" s="1251"/>
      <c r="AUE83" s="1251"/>
      <c r="AUF83" s="1251"/>
      <c r="AUG83" s="1251"/>
      <c r="AUH83" s="1251"/>
      <c r="AUI83" s="1251"/>
      <c r="AUJ83" s="1251"/>
      <c r="AUK83" s="1251"/>
      <c r="AUL83" s="1251"/>
      <c r="AUM83" s="1251"/>
      <c r="AUN83" s="1251"/>
      <c r="AUO83" s="1251"/>
      <c r="AUP83" s="1251"/>
      <c r="AUQ83" s="1251"/>
      <c r="AUR83" s="1251"/>
      <c r="AUS83" s="1251"/>
      <c r="AUT83" s="1251"/>
      <c r="AUU83" s="1251"/>
      <c r="AUV83" s="1251"/>
      <c r="AUW83" s="1251"/>
      <c r="AUX83" s="1251"/>
      <c r="AUY83" s="1251"/>
      <c r="AUZ83" s="1251"/>
      <c r="AVA83" s="1251"/>
      <c r="AVB83" s="1251"/>
      <c r="AVC83" s="1251"/>
      <c r="AVD83" s="1251"/>
      <c r="AVE83" s="1251"/>
      <c r="AVF83" s="1251"/>
      <c r="AVG83" s="1251"/>
      <c r="AVH83" s="1251"/>
      <c r="AVI83" s="1251"/>
      <c r="AVJ83" s="1251"/>
      <c r="AVK83" s="1251"/>
      <c r="AVL83" s="1251"/>
      <c r="AVM83" s="1251"/>
      <c r="AVN83" s="1251"/>
      <c r="AVO83" s="1251"/>
      <c r="AVP83" s="1251"/>
      <c r="AVQ83" s="1251"/>
      <c r="AVR83" s="1251"/>
      <c r="AVS83" s="1251"/>
      <c r="AVT83" s="1251"/>
      <c r="AVU83" s="1251"/>
      <c r="AVV83" s="1251"/>
      <c r="AVW83" s="1251"/>
      <c r="AVX83" s="1251"/>
      <c r="AVY83" s="1251"/>
      <c r="AVZ83" s="1251"/>
      <c r="AWA83" s="1251"/>
      <c r="AWB83" s="1251"/>
      <c r="AWC83" s="1251"/>
      <c r="AWD83" s="1251"/>
      <c r="AWE83" s="1251"/>
      <c r="AWF83" s="1251"/>
      <c r="AWG83" s="1251"/>
      <c r="AWH83" s="1251"/>
      <c r="AWI83" s="1251"/>
      <c r="AWJ83" s="1251"/>
      <c r="AWK83" s="1251"/>
      <c r="AWL83" s="1251"/>
      <c r="AWM83" s="1251"/>
      <c r="AWN83" s="1251"/>
      <c r="AWO83" s="1251"/>
      <c r="AWP83" s="1251"/>
      <c r="AWQ83" s="1251"/>
      <c r="AWR83" s="1251"/>
      <c r="AWS83" s="1251"/>
      <c r="AWT83" s="1251"/>
      <c r="AWU83" s="1251"/>
      <c r="AWV83" s="1251"/>
      <c r="AWW83" s="1251"/>
      <c r="AWX83" s="1251"/>
      <c r="AWY83" s="1251"/>
      <c r="AWZ83" s="1251"/>
      <c r="AXA83" s="1251"/>
      <c r="AXB83" s="1251"/>
      <c r="AXC83" s="1251"/>
      <c r="AXD83" s="1251"/>
      <c r="AXE83" s="1251"/>
      <c r="AXF83" s="1251"/>
      <c r="AXG83" s="1251"/>
      <c r="AXH83" s="1251"/>
      <c r="AXI83" s="1251"/>
      <c r="AXJ83" s="1251"/>
      <c r="AXK83" s="1251"/>
      <c r="AXL83" s="1251"/>
      <c r="AXM83" s="1251"/>
      <c r="AXN83" s="1251"/>
      <c r="AXO83" s="1251"/>
      <c r="AXP83" s="1251"/>
      <c r="AXQ83" s="1251"/>
      <c r="AXR83" s="1251"/>
      <c r="AXS83" s="1251"/>
      <c r="AXT83" s="1251"/>
      <c r="AXU83" s="1251"/>
      <c r="AXV83" s="1251"/>
      <c r="AXW83" s="1251"/>
      <c r="AXX83" s="1251"/>
      <c r="AXY83" s="1251"/>
      <c r="AXZ83" s="1251"/>
      <c r="AYA83" s="1251"/>
      <c r="AYB83" s="1251"/>
      <c r="AYC83" s="1251"/>
      <c r="AYD83" s="1251"/>
      <c r="AYE83" s="1251"/>
      <c r="AYF83" s="1251"/>
      <c r="AYG83" s="1251"/>
      <c r="AYH83" s="1251"/>
      <c r="AYI83" s="1251"/>
      <c r="AYJ83" s="1251"/>
      <c r="AYK83" s="1251"/>
      <c r="AYL83" s="1251"/>
      <c r="AYM83" s="1251"/>
      <c r="AYN83" s="1251"/>
      <c r="AYO83" s="1251"/>
      <c r="AYP83" s="1251"/>
      <c r="AYQ83" s="1251"/>
      <c r="AYR83" s="1251"/>
      <c r="AYS83" s="1251"/>
      <c r="AYT83" s="1251"/>
      <c r="AYU83" s="1251"/>
      <c r="AYV83" s="1251"/>
      <c r="AYW83" s="1251"/>
      <c r="AYX83" s="1251"/>
      <c r="AYY83" s="1251"/>
      <c r="AYZ83" s="1251"/>
      <c r="AZA83" s="1251"/>
      <c r="AZB83" s="1251"/>
      <c r="AZC83" s="1251"/>
      <c r="AZD83" s="1251"/>
      <c r="AZE83" s="1251"/>
      <c r="AZF83" s="1251"/>
      <c r="AZG83" s="1251"/>
      <c r="AZH83" s="1251"/>
      <c r="AZI83" s="1251"/>
      <c r="AZJ83" s="1251"/>
      <c r="AZK83" s="1251"/>
      <c r="AZL83" s="1251"/>
      <c r="AZM83" s="1251"/>
      <c r="AZN83" s="1251"/>
      <c r="AZO83" s="1251"/>
      <c r="AZP83" s="1251"/>
      <c r="AZQ83" s="1251"/>
      <c r="AZR83" s="1251"/>
      <c r="AZS83" s="1251"/>
      <c r="AZT83" s="1251"/>
      <c r="AZU83" s="1251"/>
      <c r="AZV83" s="1251"/>
      <c r="AZW83" s="1251"/>
      <c r="AZX83" s="1251"/>
      <c r="AZY83" s="1251"/>
      <c r="AZZ83" s="1251"/>
      <c r="BAA83" s="1251"/>
      <c r="BAB83" s="1251"/>
      <c r="BAC83" s="1251"/>
      <c r="BAD83" s="1251"/>
      <c r="BAE83" s="1251"/>
      <c r="BAF83" s="1251"/>
      <c r="BAG83" s="1251"/>
      <c r="BAH83" s="1251"/>
      <c r="BAI83" s="1251"/>
      <c r="BAJ83" s="1251"/>
      <c r="BAK83" s="1251"/>
      <c r="BAL83" s="1251"/>
      <c r="BAM83" s="1251"/>
      <c r="BAN83" s="1251"/>
      <c r="BAO83" s="1251"/>
      <c r="BAP83" s="1251"/>
      <c r="BAQ83" s="1251"/>
      <c r="BAR83" s="1251"/>
      <c r="BAS83" s="1251"/>
      <c r="BAT83" s="1251"/>
      <c r="BAU83" s="1251"/>
      <c r="BAV83" s="1251"/>
      <c r="BAW83" s="1251"/>
      <c r="BAX83" s="1251"/>
      <c r="BAY83" s="1251"/>
      <c r="BAZ83" s="1251"/>
      <c r="BBA83" s="1251"/>
      <c r="BBB83" s="1251"/>
      <c r="BBC83" s="1251"/>
      <c r="BBD83" s="1251"/>
      <c r="BBE83" s="1251"/>
      <c r="BBF83" s="1251"/>
      <c r="BBG83" s="1251"/>
      <c r="BBH83" s="1251"/>
      <c r="BBI83" s="1251"/>
      <c r="BBJ83" s="1251"/>
      <c r="BBK83" s="1251"/>
      <c r="BBL83" s="1251"/>
      <c r="BBM83" s="1251"/>
      <c r="BBN83" s="1251"/>
      <c r="BBO83" s="1251"/>
      <c r="BBP83" s="1251"/>
      <c r="BBQ83" s="1251"/>
      <c r="BBR83" s="1251"/>
      <c r="BBS83" s="1251"/>
      <c r="BBT83" s="1251"/>
      <c r="BBU83" s="1251"/>
      <c r="BBV83" s="1251"/>
      <c r="BBW83" s="1251"/>
      <c r="BBX83" s="1251"/>
      <c r="BBY83" s="1251"/>
      <c r="BBZ83" s="1251"/>
      <c r="BCA83" s="1251"/>
      <c r="BCB83" s="1251"/>
      <c r="BCC83" s="1251"/>
      <c r="BCD83" s="1251"/>
      <c r="BCE83" s="1251"/>
      <c r="BCF83" s="1251"/>
      <c r="BCG83" s="1251"/>
      <c r="BCH83" s="1251"/>
      <c r="BCI83" s="1251"/>
      <c r="BCJ83" s="1251"/>
      <c r="BCK83" s="1251"/>
      <c r="BCL83" s="1251"/>
      <c r="BCM83" s="1251"/>
      <c r="BCN83" s="1251"/>
      <c r="BCO83" s="1251"/>
      <c r="BCP83" s="1251"/>
      <c r="BCQ83" s="1251"/>
      <c r="BCR83" s="1251"/>
      <c r="BCS83" s="1251"/>
      <c r="BCT83" s="1251"/>
      <c r="BCU83" s="1251"/>
      <c r="BCV83" s="1251"/>
      <c r="BCW83" s="1251"/>
      <c r="BCX83" s="1251"/>
      <c r="BCY83" s="1251"/>
      <c r="BCZ83" s="1251"/>
      <c r="BDA83" s="1251"/>
      <c r="BDB83" s="1251"/>
      <c r="BDC83" s="1251"/>
      <c r="BDD83" s="1251"/>
      <c r="BDE83" s="1251"/>
      <c r="BDF83" s="1251"/>
      <c r="BDG83" s="1251"/>
      <c r="BDH83" s="1251"/>
      <c r="BDI83" s="1251"/>
      <c r="BDJ83" s="1251"/>
      <c r="BDK83" s="1251"/>
      <c r="BDL83" s="1251"/>
      <c r="BDM83" s="1251"/>
      <c r="BDN83" s="1251"/>
      <c r="BDO83" s="1251"/>
      <c r="BDP83" s="1251"/>
      <c r="BDQ83" s="1251"/>
      <c r="BDR83" s="1251"/>
      <c r="BDS83" s="1251"/>
      <c r="BDT83" s="1251"/>
      <c r="BDU83" s="1251"/>
      <c r="BDV83" s="1251"/>
      <c r="BDW83" s="1251"/>
      <c r="BDX83" s="1251"/>
      <c r="BDY83" s="1251"/>
      <c r="BDZ83" s="1251"/>
      <c r="BEA83" s="1251"/>
      <c r="BEB83" s="1251"/>
      <c r="BEC83" s="1251"/>
      <c r="BED83" s="1251"/>
      <c r="BEE83" s="1251"/>
      <c r="BEF83" s="1251"/>
      <c r="BEG83" s="1251"/>
      <c r="BEH83" s="1251"/>
      <c r="BEI83" s="1251"/>
      <c r="BEJ83" s="1251"/>
      <c r="BEK83" s="1251"/>
      <c r="BEL83" s="1251"/>
      <c r="BEM83" s="1251"/>
      <c r="BEN83" s="1251"/>
      <c r="BEO83" s="1251"/>
      <c r="BEP83" s="1251"/>
      <c r="BEQ83" s="1251"/>
      <c r="BER83" s="1251"/>
      <c r="BES83" s="1251"/>
      <c r="BET83" s="1251"/>
      <c r="BEU83" s="1251"/>
      <c r="BEV83" s="1251"/>
      <c r="BEW83" s="1251"/>
      <c r="BEX83" s="1251"/>
      <c r="BEY83" s="1251"/>
      <c r="BEZ83" s="1251"/>
      <c r="BFA83" s="1251"/>
      <c r="BFB83" s="1251"/>
      <c r="BFC83" s="1251"/>
      <c r="BFD83" s="1251"/>
      <c r="BFE83" s="1251"/>
      <c r="BFF83" s="1251"/>
      <c r="BFG83" s="1251"/>
      <c r="BFH83" s="1251"/>
      <c r="BFI83" s="1251"/>
      <c r="BFJ83" s="1251"/>
      <c r="BFK83" s="1251"/>
      <c r="BFL83" s="1251"/>
      <c r="BFM83" s="1251"/>
      <c r="BFN83" s="1251"/>
      <c r="BFO83" s="1251"/>
      <c r="BFP83" s="1251"/>
      <c r="BFQ83" s="1251"/>
      <c r="BFR83" s="1251"/>
      <c r="BFS83" s="1251"/>
      <c r="BFT83" s="1251"/>
      <c r="BFU83" s="1251"/>
      <c r="BFV83" s="1251"/>
      <c r="BFW83" s="1251"/>
      <c r="BFX83" s="1251"/>
      <c r="BFY83" s="1251"/>
      <c r="BFZ83" s="1251"/>
      <c r="BGA83" s="1251"/>
      <c r="BGB83" s="1251"/>
      <c r="BGC83" s="1251"/>
      <c r="BGD83" s="1251"/>
      <c r="BGE83" s="1251"/>
      <c r="BGF83" s="1251"/>
      <c r="BGG83" s="1251"/>
      <c r="BGH83" s="1251"/>
      <c r="BGI83" s="1251"/>
      <c r="BGJ83" s="1251"/>
      <c r="BGK83" s="1251"/>
      <c r="BGL83" s="1251"/>
      <c r="BGM83" s="1251"/>
      <c r="BGN83" s="1251"/>
      <c r="BGO83" s="1251"/>
      <c r="BGP83" s="1251"/>
      <c r="BGQ83" s="1251"/>
      <c r="BGR83" s="1251"/>
      <c r="BGS83" s="1251"/>
      <c r="BGT83" s="1251"/>
      <c r="BGU83" s="1251"/>
      <c r="BGV83" s="1251"/>
      <c r="BGW83" s="1251"/>
      <c r="BGX83" s="1251"/>
      <c r="BGY83" s="1251"/>
      <c r="BGZ83" s="1251"/>
      <c r="BHA83" s="1251"/>
      <c r="BHB83" s="1251"/>
      <c r="BHC83" s="1251"/>
      <c r="BHD83" s="1251"/>
      <c r="BHE83" s="1251"/>
      <c r="BHF83" s="1251"/>
      <c r="BHG83" s="1251"/>
      <c r="BHH83" s="1251"/>
      <c r="BHI83" s="1251"/>
      <c r="BHJ83" s="1251"/>
      <c r="BHK83" s="1251"/>
      <c r="BHL83" s="1251"/>
      <c r="BHM83" s="1251"/>
      <c r="BHN83" s="1251"/>
      <c r="BHO83" s="1251"/>
      <c r="BHP83" s="1251"/>
      <c r="BHQ83" s="1251"/>
      <c r="BHR83" s="1251"/>
      <c r="BHS83" s="1251"/>
      <c r="BHT83" s="1251"/>
      <c r="BHU83" s="1251"/>
      <c r="BHV83" s="1251"/>
      <c r="BHW83" s="1251"/>
      <c r="BHX83" s="1251"/>
      <c r="BHY83" s="1251"/>
      <c r="BHZ83" s="1251"/>
      <c r="BIA83" s="1251"/>
      <c r="BIB83" s="1251"/>
      <c r="BIC83" s="1251"/>
      <c r="BID83" s="1251"/>
      <c r="BIE83" s="1251"/>
      <c r="BIF83" s="1251"/>
      <c r="BIG83" s="1251"/>
      <c r="BIH83" s="1251"/>
      <c r="BII83" s="1251"/>
      <c r="BIJ83" s="1251"/>
      <c r="BIK83" s="1251"/>
      <c r="BIL83" s="1251"/>
      <c r="BIM83" s="1251"/>
      <c r="BIN83" s="1251"/>
      <c r="BIO83" s="1251"/>
      <c r="BIP83" s="1251"/>
      <c r="BIQ83" s="1251"/>
      <c r="BIR83" s="1251"/>
      <c r="BIS83" s="1251"/>
      <c r="BIT83" s="1251"/>
      <c r="BIU83" s="1251"/>
      <c r="BIV83" s="1251"/>
      <c r="BIW83" s="1251"/>
      <c r="BIX83" s="1251"/>
      <c r="BIY83" s="1251"/>
      <c r="BIZ83" s="1251"/>
      <c r="BJA83" s="1251"/>
      <c r="BJB83" s="1251"/>
      <c r="BJC83" s="1251"/>
      <c r="BJD83" s="1251"/>
      <c r="BJE83" s="1251"/>
      <c r="BJF83" s="1251"/>
      <c r="BJG83" s="1251"/>
      <c r="BJH83" s="1251"/>
      <c r="BJI83" s="1251"/>
      <c r="BJJ83" s="1251"/>
      <c r="BJK83" s="1251"/>
      <c r="BJL83" s="1251"/>
      <c r="BJM83" s="1251"/>
      <c r="BJN83" s="1251"/>
      <c r="BJO83" s="1251"/>
      <c r="BJP83" s="1251"/>
      <c r="BJQ83" s="1251"/>
      <c r="BJR83" s="1251"/>
      <c r="BJS83" s="1251"/>
      <c r="BJT83" s="1251"/>
      <c r="BJU83" s="1251"/>
      <c r="BJV83" s="1251"/>
      <c r="BJW83" s="1251"/>
      <c r="BJX83" s="1251"/>
      <c r="BJY83" s="1251"/>
      <c r="BJZ83" s="1251"/>
      <c r="BKA83" s="1251"/>
      <c r="BKB83" s="1251"/>
      <c r="BKC83" s="1251"/>
      <c r="BKD83" s="1251"/>
      <c r="BKE83" s="1251"/>
      <c r="BKF83" s="1251"/>
      <c r="BKG83" s="1251"/>
      <c r="BKH83" s="1251"/>
      <c r="BKI83" s="1251"/>
      <c r="BKJ83" s="1251"/>
      <c r="BKK83" s="1251"/>
      <c r="BKL83" s="1251"/>
      <c r="BKM83" s="1251"/>
      <c r="BKN83" s="1251"/>
      <c r="BKO83" s="1251"/>
      <c r="BKP83" s="1251"/>
      <c r="BKQ83" s="1251"/>
      <c r="BKR83" s="1251"/>
      <c r="BKS83" s="1251"/>
      <c r="BKT83" s="1251"/>
      <c r="BKU83" s="1251"/>
      <c r="BKV83" s="1251"/>
      <c r="BKW83" s="1251"/>
      <c r="BKX83" s="1251"/>
      <c r="BKY83" s="1251"/>
      <c r="BKZ83" s="1251"/>
      <c r="BLA83" s="1251"/>
      <c r="BLB83" s="1251"/>
      <c r="BLC83" s="1251"/>
      <c r="BLD83" s="1251"/>
      <c r="BLE83" s="1251"/>
      <c r="BLF83" s="1251"/>
      <c r="BLG83" s="1251"/>
      <c r="BLH83" s="1251"/>
      <c r="BLI83" s="1251"/>
      <c r="BLJ83" s="1251"/>
      <c r="BLK83" s="1251"/>
      <c r="BLL83" s="1251"/>
      <c r="BLM83" s="1251"/>
      <c r="BLN83" s="1251"/>
      <c r="BLO83" s="1251"/>
      <c r="BLP83" s="1251"/>
      <c r="BLQ83" s="1251"/>
      <c r="BLR83" s="1251"/>
      <c r="BLS83" s="1251"/>
      <c r="BLT83" s="1251"/>
      <c r="BLU83" s="1251"/>
      <c r="BLV83" s="1251"/>
      <c r="BLW83" s="1251"/>
      <c r="BLX83" s="1251"/>
      <c r="BLY83" s="1251"/>
      <c r="BLZ83" s="1251"/>
      <c r="BMA83" s="1251"/>
      <c r="BMB83" s="1251"/>
      <c r="BMC83" s="1251"/>
      <c r="BMD83" s="1251"/>
      <c r="BME83" s="1251"/>
      <c r="BMF83" s="1251"/>
      <c r="BMG83" s="1251"/>
      <c r="BMH83" s="1251"/>
      <c r="BMI83" s="1251"/>
      <c r="BMJ83" s="1251"/>
      <c r="BMK83" s="1251"/>
      <c r="BML83" s="1251"/>
      <c r="BMM83" s="1251"/>
      <c r="BMN83" s="1251"/>
      <c r="BMO83" s="1251"/>
      <c r="BMP83" s="1251"/>
      <c r="BMQ83" s="1251"/>
      <c r="BMR83" s="1251"/>
      <c r="BMS83" s="1251"/>
      <c r="BMT83" s="1251"/>
      <c r="BMU83" s="1251"/>
      <c r="BMV83" s="1251"/>
      <c r="BMW83" s="1251"/>
      <c r="BMX83" s="1251"/>
      <c r="BMY83" s="1251"/>
      <c r="BMZ83" s="1251"/>
      <c r="BNA83" s="1251"/>
      <c r="BNB83" s="1251"/>
      <c r="BNC83" s="1251"/>
      <c r="BND83" s="1251"/>
      <c r="BNE83" s="1251"/>
      <c r="BNF83" s="1251"/>
      <c r="BNG83" s="1251"/>
      <c r="BNH83" s="1251"/>
      <c r="BNI83" s="1251"/>
      <c r="BNJ83" s="1251"/>
      <c r="BNK83" s="1251"/>
      <c r="BNL83" s="1251"/>
      <c r="BNM83" s="1251"/>
      <c r="BNN83" s="1251"/>
      <c r="BNO83" s="1251"/>
      <c r="BNP83" s="1251"/>
      <c r="BNQ83" s="1251"/>
      <c r="BNR83" s="1251"/>
      <c r="BNS83" s="1251"/>
      <c r="BNT83" s="1251"/>
      <c r="BNU83" s="1251"/>
      <c r="BNV83" s="1251"/>
      <c r="BNW83" s="1251"/>
      <c r="BNX83" s="1251"/>
      <c r="BNY83" s="1251"/>
      <c r="BNZ83" s="1251"/>
      <c r="BOA83" s="1251"/>
      <c r="BOB83" s="1251"/>
      <c r="BOC83" s="1251"/>
      <c r="BOD83" s="1251"/>
      <c r="BOE83" s="1251"/>
      <c r="BOF83" s="1251"/>
      <c r="BOG83" s="1251"/>
      <c r="BOH83" s="1251"/>
      <c r="BOI83" s="1251"/>
      <c r="BOJ83" s="1251"/>
      <c r="BOK83" s="1251"/>
      <c r="BOL83" s="1251"/>
      <c r="BOM83" s="1251"/>
      <c r="BON83" s="1251"/>
      <c r="BOO83" s="1251"/>
      <c r="BOP83" s="1251"/>
      <c r="BOQ83" s="1251"/>
      <c r="BOR83" s="1251"/>
      <c r="BOS83" s="1251"/>
      <c r="BOT83" s="1251"/>
      <c r="BOU83" s="1251"/>
      <c r="BOV83" s="1251"/>
      <c r="BOW83" s="1251"/>
      <c r="BOX83" s="1251"/>
      <c r="BOY83" s="1251"/>
      <c r="BOZ83" s="1251"/>
      <c r="BPA83" s="1251"/>
      <c r="BPB83" s="1251"/>
      <c r="BPC83" s="1251"/>
      <c r="BPD83" s="1251"/>
      <c r="BPE83" s="1251"/>
      <c r="BPF83" s="1251"/>
      <c r="BPG83" s="1251"/>
      <c r="BPH83" s="1251"/>
      <c r="BPI83" s="1251"/>
      <c r="BPJ83" s="1251"/>
      <c r="BPK83" s="1251"/>
      <c r="BPL83" s="1251"/>
      <c r="BPM83" s="1251"/>
      <c r="BPN83" s="1251"/>
      <c r="BPO83" s="1251"/>
      <c r="BPP83" s="1251"/>
      <c r="BPQ83" s="1251"/>
      <c r="BPR83" s="1251"/>
      <c r="BPS83" s="1251"/>
      <c r="BPT83" s="1251"/>
      <c r="BPU83" s="1251"/>
      <c r="BPV83" s="1251"/>
      <c r="BPW83" s="1251"/>
      <c r="BPX83" s="1251"/>
      <c r="BPY83" s="1251"/>
      <c r="BPZ83" s="1251"/>
      <c r="BQA83" s="1251"/>
      <c r="BQB83" s="1251"/>
      <c r="BQC83" s="1251"/>
      <c r="BQD83" s="1251"/>
      <c r="BQE83" s="1251"/>
      <c r="BQF83" s="1251"/>
      <c r="BQG83" s="1251"/>
      <c r="BQH83" s="1251"/>
      <c r="BQI83" s="1251"/>
      <c r="BQJ83" s="1251"/>
      <c r="BQK83" s="1251"/>
      <c r="BQL83" s="1251"/>
      <c r="BQM83" s="1251"/>
      <c r="BQN83" s="1251"/>
      <c r="BQO83" s="1251"/>
      <c r="BQP83" s="1251"/>
      <c r="BQQ83" s="1251"/>
      <c r="BQR83" s="1251"/>
      <c r="BQS83" s="1251"/>
      <c r="BQT83" s="1251"/>
      <c r="BQU83" s="1251"/>
      <c r="BQV83" s="1251"/>
      <c r="BQW83" s="1251"/>
      <c r="BQX83" s="1251"/>
      <c r="BQY83" s="1251"/>
      <c r="BQZ83" s="1251"/>
      <c r="BRA83" s="1251"/>
      <c r="BRB83" s="1251"/>
      <c r="BRC83" s="1251"/>
      <c r="BRD83" s="1251"/>
      <c r="BRE83" s="1251"/>
      <c r="BRF83" s="1251"/>
      <c r="BRG83" s="1251"/>
      <c r="BRH83" s="1251"/>
      <c r="BRI83" s="1251"/>
      <c r="BRJ83" s="1251"/>
      <c r="BRK83" s="1251"/>
      <c r="BRL83" s="1251"/>
      <c r="BRM83" s="1251"/>
      <c r="BRN83" s="1251"/>
      <c r="BRO83" s="1251"/>
      <c r="BRP83" s="1251"/>
      <c r="BRQ83" s="1251"/>
      <c r="BRR83" s="1251"/>
      <c r="BRS83" s="1251"/>
      <c r="BRT83" s="1251"/>
      <c r="BRU83" s="1251"/>
      <c r="BRV83" s="1251"/>
      <c r="BRW83" s="1251"/>
      <c r="BRX83" s="1251"/>
      <c r="BRY83" s="1251"/>
      <c r="BRZ83" s="1251"/>
      <c r="BSA83" s="1251"/>
      <c r="BSB83" s="1251"/>
      <c r="BSC83" s="1251"/>
      <c r="BSD83" s="1251"/>
      <c r="BSE83" s="1251"/>
      <c r="BSF83" s="1251"/>
      <c r="BSG83" s="1251"/>
      <c r="BSH83" s="1251"/>
      <c r="BSI83" s="1251"/>
      <c r="BSJ83" s="1251"/>
      <c r="BSK83" s="1251"/>
      <c r="BSL83" s="1251"/>
      <c r="BSM83" s="1251"/>
      <c r="BSN83" s="1251"/>
      <c r="BSO83" s="1251"/>
      <c r="BSP83" s="1251"/>
      <c r="BSQ83" s="1251"/>
      <c r="BSR83" s="1251"/>
      <c r="BSS83" s="1251"/>
      <c r="BST83" s="1251"/>
      <c r="BSU83" s="1251"/>
      <c r="BSV83" s="1251"/>
      <c r="BSW83" s="1251"/>
      <c r="BSX83" s="1251"/>
      <c r="BSY83" s="1251"/>
      <c r="BSZ83" s="1251"/>
      <c r="BTA83" s="1251"/>
      <c r="BTB83" s="1251"/>
      <c r="BTC83" s="1251"/>
      <c r="BTD83" s="1251"/>
      <c r="BTE83" s="1251"/>
      <c r="BTF83" s="1251"/>
      <c r="BTG83" s="1251"/>
      <c r="BTH83" s="1251"/>
      <c r="BTI83" s="1251"/>
    </row>
    <row r="84" spans="1:1881" s="1251" customFormat="1" ht="62.25" hidden="1" customHeight="1" thickBot="1" x14ac:dyDescent="0.35">
      <c r="A84" s="1248">
        <v>508</v>
      </c>
      <c r="B84" s="593" t="s">
        <v>55</v>
      </c>
      <c r="C84" s="593" t="s">
        <v>152</v>
      </c>
      <c r="D84" s="29" t="s">
        <v>531</v>
      </c>
      <c r="E84" s="1249" t="e">
        <f>HLOOKUP($D$2,'2020 Data(H)'!$C$1:$CZ$426,158,FALSE)</f>
        <v>#N/A</v>
      </c>
      <c r="F84" s="1263">
        <v>0</v>
      </c>
      <c r="G84" s="727"/>
      <c r="H84" s="728"/>
      <c r="I84" s="1264"/>
      <c r="L84" s="701"/>
      <c r="N84" s="1253"/>
      <c r="Z84" s="1248"/>
      <c r="AA84" s="1248"/>
      <c r="AB84" s="1248"/>
      <c r="AC84" s="1248"/>
      <c r="AD84" s="1248"/>
      <c r="AE84" s="1248"/>
      <c r="AF84" s="1248"/>
      <c r="AG84" s="1248"/>
      <c r="AH84" s="1248"/>
      <c r="AI84" s="1248"/>
      <c r="AJ84" s="1248"/>
      <c r="AK84" s="1248"/>
      <c r="AL84" s="1248"/>
      <c r="AM84" s="1248"/>
      <c r="AN84" s="1248"/>
      <c r="AO84" s="1248"/>
      <c r="AP84" s="1248"/>
      <c r="AQ84" s="1248"/>
      <c r="AR84" s="1248"/>
    </row>
    <row r="85" spans="1:1881" s="1251" customFormat="1" ht="81.75" hidden="1" customHeight="1" thickBot="1" x14ac:dyDescent="0.35">
      <c r="A85" s="1248">
        <v>509</v>
      </c>
      <c r="B85" s="593" t="s">
        <v>55</v>
      </c>
      <c r="C85" s="593" t="s">
        <v>152</v>
      </c>
      <c r="D85" s="29" t="s">
        <v>529</v>
      </c>
      <c r="E85" s="1249" t="e">
        <f>HLOOKUP($D$2,'2020 Data(H)'!$C$1:$CZ$426,159,FALSE)</f>
        <v>#N/A</v>
      </c>
      <c r="F85" s="1263">
        <v>0</v>
      </c>
      <c r="G85" s="727">
        <f>IF(F85&lt;0,"Error: Enter as positive.",)</f>
        <v>0</v>
      </c>
      <c r="H85" s="728"/>
      <c r="I85" s="1264"/>
      <c r="L85" s="701"/>
      <c r="N85" s="1253"/>
      <c r="Z85" s="1248"/>
      <c r="AA85" s="1248"/>
      <c r="AB85" s="1248"/>
      <c r="AC85" s="1248"/>
      <c r="AD85" s="1248"/>
      <c r="AE85" s="1248"/>
      <c r="AF85" s="1248"/>
      <c r="AG85" s="1248"/>
      <c r="AH85" s="1248"/>
      <c r="AI85" s="1248"/>
      <c r="AJ85" s="1248"/>
      <c r="AK85" s="1248"/>
      <c r="AL85" s="1248"/>
      <c r="AM85" s="1248"/>
      <c r="AN85" s="1248"/>
      <c r="AO85" s="1248"/>
      <c r="AP85" s="1248"/>
      <c r="AQ85" s="1248"/>
      <c r="AR85" s="1248"/>
    </row>
    <row r="86" spans="1:1881" s="1261" customFormat="1" ht="69" hidden="1" customHeight="1" thickBot="1" x14ac:dyDescent="0.35">
      <c r="A86" s="1248">
        <v>22</v>
      </c>
      <c r="B86" s="593" t="s">
        <v>60</v>
      </c>
      <c r="C86" s="593" t="s">
        <v>152</v>
      </c>
      <c r="D86" s="29" t="s">
        <v>530</v>
      </c>
      <c r="E86" s="1249" t="e">
        <f>HLOOKUP($D$2,'2020 Data(H)'!$C$1:$CZ$426,17,FALSE)</f>
        <v>#N/A</v>
      </c>
      <c r="F86" s="1263">
        <v>0</v>
      </c>
      <c r="G86" s="736"/>
      <c r="H86" s="17"/>
      <c r="I86" s="760"/>
      <c r="J86" s="1252"/>
      <c r="K86" s="1251"/>
      <c r="L86" s="701"/>
      <c r="M86" s="1251"/>
      <c r="N86" s="1253"/>
      <c r="O86" s="1251"/>
      <c r="P86" s="1251"/>
      <c r="Q86" s="1251"/>
      <c r="R86" s="1251"/>
      <c r="S86" s="1251"/>
      <c r="T86" s="1251"/>
      <c r="U86" s="1251"/>
      <c r="V86" s="1251"/>
      <c r="W86" s="1251"/>
      <c r="X86" s="1251"/>
      <c r="Y86" s="1251"/>
      <c r="Z86" s="1248"/>
      <c r="AA86" s="1248"/>
      <c r="AB86" s="1248"/>
      <c r="AC86" s="1248"/>
      <c r="AD86" s="1248"/>
      <c r="AE86" s="1248"/>
      <c r="AF86" s="1248"/>
      <c r="AG86" s="1248"/>
      <c r="AH86" s="1248"/>
      <c r="AI86" s="1248"/>
      <c r="AJ86" s="1248"/>
      <c r="AK86" s="1248"/>
      <c r="AL86" s="1248"/>
      <c r="AM86" s="1248"/>
      <c r="AN86" s="1248"/>
      <c r="AO86" s="1248"/>
      <c r="AP86" s="1248"/>
      <c r="AQ86" s="1248"/>
      <c r="AR86" s="1248"/>
      <c r="AS86" s="1251"/>
      <c r="AT86" s="1251"/>
      <c r="AU86" s="1251"/>
      <c r="AV86" s="1251"/>
      <c r="AW86" s="1251"/>
      <c r="AX86" s="1251"/>
      <c r="AY86" s="1251"/>
      <c r="AZ86" s="1251"/>
      <c r="BA86" s="1251"/>
      <c r="BB86" s="1251"/>
      <c r="BC86" s="1251"/>
      <c r="BD86" s="1251"/>
      <c r="BE86" s="1251"/>
      <c r="BF86" s="1251"/>
      <c r="BG86" s="1251"/>
      <c r="BH86" s="1251"/>
      <c r="BI86" s="1251"/>
      <c r="BJ86" s="1251"/>
      <c r="BK86" s="1251"/>
      <c r="BL86" s="1251"/>
      <c r="BM86" s="1251"/>
      <c r="BN86" s="1251"/>
      <c r="BO86" s="1251"/>
      <c r="BP86" s="1251"/>
      <c r="BQ86" s="1251"/>
      <c r="BR86" s="1251"/>
      <c r="BS86" s="1251"/>
      <c r="BT86" s="1251"/>
      <c r="BU86" s="1251"/>
      <c r="BV86" s="1251"/>
      <c r="BW86" s="1251"/>
      <c r="BX86" s="1251"/>
      <c r="BY86" s="1251"/>
      <c r="BZ86" s="1251"/>
      <c r="CA86" s="1251"/>
      <c r="CB86" s="1251"/>
      <c r="CC86" s="1251"/>
      <c r="CD86" s="1251"/>
      <c r="CE86" s="1251"/>
      <c r="CF86" s="1251"/>
      <c r="CG86" s="1251"/>
      <c r="CH86" s="1251"/>
      <c r="CI86" s="1251"/>
      <c r="CJ86" s="1251"/>
      <c r="CK86" s="1251"/>
      <c r="CL86" s="1251"/>
      <c r="CM86" s="1251"/>
      <c r="CN86" s="1251"/>
      <c r="CO86" s="1251"/>
      <c r="CP86" s="1251"/>
      <c r="CQ86" s="1251"/>
      <c r="CR86" s="1251"/>
      <c r="CS86" s="1251"/>
      <c r="CT86" s="1251"/>
      <c r="CU86" s="1251"/>
      <c r="CV86" s="1251"/>
      <c r="CW86" s="1251"/>
      <c r="CX86" s="1251"/>
      <c r="CY86" s="1251"/>
      <c r="CZ86" s="1251"/>
      <c r="DA86" s="1251"/>
      <c r="DB86" s="1251"/>
      <c r="DC86" s="1251"/>
      <c r="DD86" s="1251"/>
      <c r="DE86" s="1251"/>
      <c r="DF86" s="1251"/>
      <c r="DG86" s="1251"/>
      <c r="DH86" s="1251"/>
      <c r="DI86" s="1251"/>
      <c r="DJ86" s="1251"/>
      <c r="DK86" s="1251"/>
      <c r="DL86" s="1251"/>
      <c r="DM86" s="1251"/>
      <c r="DN86" s="1251"/>
      <c r="DO86" s="1251"/>
      <c r="DP86" s="1251"/>
      <c r="DQ86" s="1251"/>
      <c r="DR86" s="1251"/>
      <c r="DS86" s="1251"/>
      <c r="DT86" s="1251"/>
      <c r="DU86" s="1251"/>
      <c r="DV86" s="1251"/>
      <c r="DW86" s="1251"/>
      <c r="DX86" s="1251"/>
      <c r="DY86" s="1251"/>
      <c r="DZ86" s="1251"/>
      <c r="EA86" s="1251"/>
      <c r="EB86" s="1251"/>
      <c r="EC86" s="1251"/>
      <c r="ED86" s="1251"/>
      <c r="EE86" s="1251"/>
      <c r="EF86" s="1251"/>
      <c r="EG86" s="1251"/>
      <c r="EH86" s="1251"/>
      <c r="EI86" s="1251"/>
      <c r="EJ86" s="1251"/>
      <c r="EK86" s="1251"/>
      <c r="EL86" s="1251"/>
      <c r="EM86" s="1251"/>
      <c r="EN86" s="1251"/>
      <c r="EO86" s="1251"/>
      <c r="EP86" s="1251"/>
      <c r="EQ86" s="1251"/>
      <c r="ER86" s="1251"/>
      <c r="ES86" s="1251"/>
      <c r="ET86" s="1251"/>
      <c r="EU86" s="1251"/>
      <c r="EV86" s="1251"/>
      <c r="EW86" s="1251"/>
      <c r="EX86" s="1251"/>
      <c r="EY86" s="1251"/>
      <c r="EZ86" s="1251"/>
      <c r="FA86" s="1251"/>
      <c r="FB86" s="1251"/>
      <c r="FC86" s="1251"/>
      <c r="FD86" s="1251"/>
      <c r="FE86" s="1251"/>
      <c r="FF86" s="1251"/>
      <c r="FG86" s="1251"/>
      <c r="FH86" s="1251"/>
      <c r="FI86" s="1251"/>
      <c r="FJ86" s="1251"/>
      <c r="FK86" s="1251"/>
      <c r="FL86" s="1251"/>
      <c r="FM86" s="1251"/>
      <c r="FN86" s="1251"/>
      <c r="FO86" s="1251"/>
      <c r="FP86" s="1251"/>
      <c r="FQ86" s="1251"/>
      <c r="FR86" s="1251"/>
      <c r="FS86" s="1251"/>
      <c r="FT86" s="1251"/>
      <c r="FU86" s="1251"/>
      <c r="FV86" s="1251"/>
      <c r="FW86" s="1251"/>
      <c r="FX86" s="1251"/>
      <c r="FY86" s="1251"/>
      <c r="FZ86" s="1251"/>
      <c r="GA86" s="1251"/>
      <c r="GB86" s="1251"/>
      <c r="GC86" s="1251"/>
      <c r="GD86" s="1251"/>
      <c r="GE86" s="1251"/>
      <c r="GF86" s="1251"/>
      <c r="GG86" s="1251"/>
      <c r="GH86" s="1251"/>
      <c r="GI86" s="1251"/>
      <c r="GJ86" s="1251"/>
      <c r="GK86" s="1251"/>
      <c r="GL86" s="1251"/>
      <c r="GM86" s="1251"/>
      <c r="GN86" s="1251"/>
      <c r="GO86" s="1251"/>
      <c r="GP86" s="1251"/>
      <c r="GQ86" s="1251"/>
      <c r="GR86" s="1251"/>
      <c r="GS86" s="1251"/>
      <c r="GT86" s="1251"/>
      <c r="GU86" s="1251"/>
      <c r="GV86" s="1251"/>
      <c r="GW86" s="1251"/>
      <c r="GX86" s="1251"/>
      <c r="GY86" s="1251"/>
      <c r="GZ86" s="1251"/>
      <c r="HA86" s="1251"/>
      <c r="HB86" s="1251"/>
      <c r="HC86" s="1251"/>
      <c r="HD86" s="1251"/>
      <c r="HE86" s="1251"/>
      <c r="HF86" s="1251"/>
      <c r="HG86" s="1251"/>
      <c r="HH86" s="1251"/>
      <c r="HI86" s="1251"/>
      <c r="HJ86" s="1251"/>
      <c r="HK86" s="1251"/>
      <c r="HL86" s="1251"/>
      <c r="HM86" s="1251"/>
      <c r="HN86" s="1251"/>
      <c r="HO86" s="1251"/>
      <c r="HP86" s="1251"/>
      <c r="HQ86" s="1251"/>
      <c r="HR86" s="1251"/>
      <c r="HS86" s="1251"/>
      <c r="HT86" s="1251"/>
      <c r="HU86" s="1251"/>
      <c r="HV86" s="1251"/>
      <c r="HW86" s="1251"/>
      <c r="HX86" s="1251"/>
      <c r="HY86" s="1251"/>
      <c r="HZ86" s="1251"/>
      <c r="IA86" s="1251"/>
      <c r="IB86" s="1251"/>
      <c r="IC86" s="1251"/>
      <c r="ID86" s="1251"/>
      <c r="IE86" s="1251"/>
      <c r="IF86" s="1251"/>
      <c r="IG86" s="1251"/>
      <c r="IH86" s="1251"/>
      <c r="II86" s="1251"/>
      <c r="IJ86" s="1251"/>
      <c r="IK86" s="1251"/>
      <c r="IL86" s="1251"/>
      <c r="IM86" s="1251"/>
      <c r="IN86" s="1251"/>
      <c r="IO86" s="1251"/>
      <c r="IP86" s="1251"/>
      <c r="IQ86" s="1251"/>
      <c r="IR86" s="1251"/>
      <c r="IS86" s="1251"/>
      <c r="IT86" s="1251"/>
      <c r="IU86" s="1251"/>
      <c r="IV86" s="1251"/>
      <c r="IW86" s="1251"/>
      <c r="IX86" s="1251"/>
      <c r="IY86" s="1251"/>
      <c r="IZ86" s="1251"/>
      <c r="JA86" s="1251"/>
      <c r="JB86" s="1251"/>
      <c r="JC86" s="1251"/>
      <c r="JD86" s="1251"/>
      <c r="JE86" s="1251"/>
      <c r="JF86" s="1251"/>
      <c r="JG86" s="1251"/>
      <c r="JH86" s="1251"/>
      <c r="JI86" s="1251"/>
      <c r="JJ86" s="1251"/>
      <c r="JK86" s="1251"/>
      <c r="JL86" s="1251"/>
      <c r="JM86" s="1251"/>
      <c r="JN86" s="1251"/>
      <c r="JO86" s="1251"/>
      <c r="JP86" s="1251"/>
      <c r="JQ86" s="1251"/>
      <c r="JR86" s="1251"/>
      <c r="JS86" s="1251"/>
      <c r="JT86" s="1251"/>
      <c r="JU86" s="1251"/>
      <c r="JV86" s="1251"/>
      <c r="JW86" s="1251"/>
      <c r="JX86" s="1251"/>
      <c r="JY86" s="1251"/>
      <c r="JZ86" s="1251"/>
      <c r="KA86" s="1251"/>
      <c r="KB86" s="1251"/>
      <c r="KC86" s="1251"/>
      <c r="KD86" s="1251"/>
      <c r="KE86" s="1251"/>
      <c r="KF86" s="1251"/>
      <c r="KG86" s="1251"/>
      <c r="KH86" s="1251"/>
      <c r="KI86" s="1251"/>
      <c r="KJ86" s="1251"/>
      <c r="KK86" s="1251"/>
      <c r="KL86" s="1251"/>
      <c r="KM86" s="1251"/>
      <c r="KN86" s="1251"/>
      <c r="KO86" s="1251"/>
      <c r="KP86" s="1251"/>
      <c r="KQ86" s="1251"/>
      <c r="KR86" s="1251"/>
      <c r="KS86" s="1251"/>
      <c r="KT86" s="1251"/>
      <c r="KU86" s="1251"/>
      <c r="KV86" s="1251"/>
      <c r="KW86" s="1251"/>
      <c r="KX86" s="1251"/>
      <c r="KY86" s="1251"/>
      <c r="KZ86" s="1251"/>
      <c r="LA86" s="1251"/>
      <c r="LB86" s="1251"/>
      <c r="LC86" s="1251"/>
      <c r="LD86" s="1251"/>
      <c r="LE86" s="1251"/>
      <c r="LF86" s="1251"/>
      <c r="LG86" s="1251"/>
      <c r="LH86" s="1251"/>
      <c r="LI86" s="1251"/>
      <c r="LJ86" s="1251"/>
      <c r="LK86" s="1251"/>
      <c r="LL86" s="1251"/>
      <c r="LM86" s="1251"/>
      <c r="LN86" s="1251"/>
      <c r="LO86" s="1251"/>
      <c r="LP86" s="1251"/>
      <c r="LQ86" s="1251"/>
      <c r="LR86" s="1251"/>
      <c r="LS86" s="1251"/>
      <c r="LT86" s="1251"/>
      <c r="LU86" s="1251"/>
      <c r="LV86" s="1251"/>
      <c r="LW86" s="1251"/>
      <c r="LX86" s="1251"/>
      <c r="LY86" s="1251"/>
      <c r="LZ86" s="1251"/>
      <c r="MA86" s="1251"/>
      <c r="MB86" s="1251"/>
      <c r="MC86" s="1251"/>
      <c r="MD86" s="1251"/>
      <c r="ME86" s="1251"/>
      <c r="MF86" s="1251"/>
      <c r="MG86" s="1251"/>
      <c r="MH86" s="1251"/>
      <c r="MI86" s="1251"/>
      <c r="MJ86" s="1251"/>
      <c r="MK86" s="1251"/>
      <c r="ML86" s="1251"/>
      <c r="MM86" s="1251"/>
      <c r="MN86" s="1251"/>
      <c r="MO86" s="1251"/>
      <c r="MP86" s="1251"/>
      <c r="MQ86" s="1251"/>
      <c r="MR86" s="1251"/>
      <c r="MS86" s="1251"/>
      <c r="MT86" s="1251"/>
      <c r="MU86" s="1251"/>
      <c r="MV86" s="1251"/>
      <c r="MW86" s="1251"/>
      <c r="MX86" s="1251"/>
      <c r="MY86" s="1251"/>
      <c r="MZ86" s="1251"/>
      <c r="NA86" s="1251"/>
      <c r="NB86" s="1251"/>
      <c r="NC86" s="1251"/>
      <c r="ND86" s="1251"/>
      <c r="NE86" s="1251"/>
      <c r="NF86" s="1251"/>
      <c r="NG86" s="1251"/>
      <c r="NH86" s="1251"/>
      <c r="NI86" s="1251"/>
      <c r="NJ86" s="1251"/>
      <c r="NK86" s="1251"/>
      <c r="NL86" s="1251"/>
      <c r="NM86" s="1251"/>
      <c r="NN86" s="1251"/>
      <c r="NO86" s="1251"/>
      <c r="NP86" s="1251"/>
      <c r="NQ86" s="1251"/>
      <c r="NR86" s="1251"/>
      <c r="NS86" s="1251"/>
      <c r="NT86" s="1251"/>
      <c r="NU86" s="1251"/>
      <c r="NV86" s="1251"/>
      <c r="NW86" s="1251"/>
      <c r="NX86" s="1251"/>
      <c r="NY86" s="1251"/>
      <c r="NZ86" s="1251"/>
      <c r="OA86" s="1251"/>
      <c r="OB86" s="1251"/>
      <c r="OC86" s="1251"/>
      <c r="OD86" s="1251"/>
      <c r="OE86" s="1251"/>
      <c r="OF86" s="1251"/>
      <c r="OG86" s="1251"/>
      <c r="OH86" s="1251"/>
      <c r="OI86" s="1251"/>
      <c r="OJ86" s="1251"/>
      <c r="OK86" s="1251"/>
      <c r="OL86" s="1251"/>
      <c r="OM86" s="1251"/>
      <c r="ON86" s="1251"/>
      <c r="OO86" s="1251"/>
      <c r="OP86" s="1251"/>
      <c r="OQ86" s="1251"/>
      <c r="OR86" s="1251"/>
      <c r="OS86" s="1251"/>
      <c r="OT86" s="1251"/>
      <c r="OU86" s="1251"/>
      <c r="OV86" s="1251"/>
      <c r="OW86" s="1251"/>
      <c r="OX86" s="1251"/>
      <c r="OY86" s="1251"/>
      <c r="OZ86" s="1251"/>
      <c r="PA86" s="1251"/>
      <c r="PB86" s="1251"/>
      <c r="PC86" s="1251"/>
      <c r="PD86" s="1251"/>
      <c r="PE86" s="1251"/>
      <c r="PF86" s="1251"/>
      <c r="PG86" s="1251"/>
      <c r="PH86" s="1251"/>
      <c r="PI86" s="1251"/>
      <c r="PJ86" s="1251"/>
      <c r="PK86" s="1251"/>
      <c r="PL86" s="1251"/>
      <c r="PM86" s="1251"/>
      <c r="PN86" s="1251"/>
      <c r="PO86" s="1251"/>
      <c r="PP86" s="1251"/>
      <c r="PQ86" s="1251"/>
      <c r="PR86" s="1251"/>
      <c r="PS86" s="1251"/>
      <c r="PT86" s="1251"/>
      <c r="PU86" s="1251"/>
      <c r="PV86" s="1251"/>
      <c r="PW86" s="1251"/>
      <c r="PX86" s="1251"/>
      <c r="PY86" s="1251"/>
      <c r="PZ86" s="1251"/>
      <c r="QA86" s="1251"/>
      <c r="QB86" s="1251"/>
      <c r="QC86" s="1251"/>
      <c r="QD86" s="1251"/>
      <c r="QE86" s="1251"/>
      <c r="QF86" s="1251"/>
      <c r="QG86" s="1251"/>
      <c r="QH86" s="1251"/>
      <c r="QI86" s="1251"/>
      <c r="QJ86" s="1251"/>
      <c r="QK86" s="1251"/>
      <c r="QL86" s="1251"/>
      <c r="QM86" s="1251"/>
      <c r="QN86" s="1251"/>
      <c r="QO86" s="1251"/>
      <c r="QP86" s="1251"/>
      <c r="QQ86" s="1251"/>
      <c r="QR86" s="1251"/>
      <c r="QS86" s="1251"/>
      <c r="QT86" s="1251"/>
      <c r="QU86" s="1251"/>
      <c r="QV86" s="1251"/>
      <c r="QW86" s="1251"/>
      <c r="QX86" s="1251"/>
      <c r="QY86" s="1251"/>
      <c r="QZ86" s="1251"/>
      <c r="RA86" s="1251"/>
      <c r="RB86" s="1251"/>
      <c r="RC86" s="1251"/>
      <c r="RD86" s="1251"/>
      <c r="RE86" s="1251"/>
      <c r="RF86" s="1251"/>
      <c r="RG86" s="1251"/>
      <c r="RH86" s="1251"/>
      <c r="RI86" s="1251"/>
      <c r="RJ86" s="1251"/>
      <c r="RK86" s="1251"/>
      <c r="RL86" s="1251"/>
      <c r="RM86" s="1251"/>
      <c r="RN86" s="1251"/>
      <c r="RO86" s="1251"/>
      <c r="RP86" s="1251"/>
      <c r="RQ86" s="1251"/>
      <c r="RR86" s="1251"/>
      <c r="RS86" s="1251"/>
      <c r="RT86" s="1251"/>
      <c r="RU86" s="1251"/>
      <c r="RV86" s="1251"/>
      <c r="RW86" s="1251"/>
      <c r="RX86" s="1251"/>
      <c r="RY86" s="1251"/>
      <c r="RZ86" s="1251"/>
      <c r="SA86" s="1251"/>
      <c r="SB86" s="1251"/>
      <c r="SC86" s="1251"/>
      <c r="SD86" s="1251"/>
      <c r="SE86" s="1251"/>
      <c r="SF86" s="1251"/>
      <c r="SG86" s="1251"/>
      <c r="SH86" s="1251"/>
      <c r="SI86" s="1251"/>
      <c r="SJ86" s="1251"/>
      <c r="SK86" s="1251"/>
      <c r="SL86" s="1251"/>
      <c r="SM86" s="1251"/>
      <c r="SN86" s="1251"/>
      <c r="SO86" s="1251"/>
      <c r="SP86" s="1251"/>
      <c r="SQ86" s="1251"/>
      <c r="SR86" s="1251"/>
      <c r="SS86" s="1251"/>
      <c r="ST86" s="1251"/>
      <c r="SU86" s="1251"/>
      <c r="SV86" s="1251"/>
      <c r="SW86" s="1251"/>
      <c r="SX86" s="1251"/>
      <c r="SY86" s="1251"/>
      <c r="SZ86" s="1251"/>
      <c r="TA86" s="1251"/>
      <c r="TB86" s="1251"/>
      <c r="TC86" s="1251"/>
      <c r="TD86" s="1251"/>
      <c r="TE86" s="1251"/>
      <c r="TF86" s="1251"/>
      <c r="TG86" s="1251"/>
      <c r="TH86" s="1251"/>
      <c r="TI86" s="1251"/>
      <c r="TJ86" s="1251"/>
      <c r="TK86" s="1251"/>
      <c r="TL86" s="1251"/>
      <c r="TM86" s="1251"/>
      <c r="TN86" s="1251"/>
      <c r="TO86" s="1251"/>
      <c r="TP86" s="1251"/>
      <c r="TQ86" s="1251"/>
      <c r="TR86" s="1251"/>
      <c r="TS86" s="1251"/>
      <c r="TT86" s="1251"/>
      <c r="TU86" s="1251"/>
      <c r="TV86" s="1251"/>
      <c r="TW86" s="1251"/>
      <c r="TX86" s="1251"/>
      <c r="TY86" s="1251"/>
      <c r="TZ86" s="1251"/>
      <c r="UA86" s="1251"/>
      <c r="UB86" s="1251"/>
      <c r="UC86" s="1251"/>
      <c r="UD86" s="1251"/>
      <c r="UE86" s="1251"/>
      <c r="UF86" s="1251"/>
      <c r="UG86" s="1251"/>
      <c r="UH86" s="1251"/>
      <c r="UI86" s="1251"/>
      <c r="UJ86" s="1251"/>
      <c r="UK86" s="1251"/>
      <c r="UL86" s="1251"/>
      <c r="UM86" s="1251"/>
      <c r="UN86" s="1251"/>
      <c r="UO86" s="1251"/>
      <c r="UP86" s="1251"/>
      <c r="UQ86" s="1251"/>
      <c r="UR86" s="1251"/>
      <c r="US86" s="1251"/>
      <c r="UT86" s="1251"/>
      <c r="UU86" s="1251"/>
      <c r="UV86" s="1251"/>
      <c r="UW86" s="1251"/>
      <c r="UX86" s="1251"/>
      <c r="UY86" s="1251"/>
      <c r="UZ86" s="1251"/>
      <c r="VA86" s="1251"/>
      <c r="VB86" s="1251"/>
      <c r="VC86" s="1251"/>
      <c r="VD86" s="1251"/>
      <c r="VE86" s="1251"/>
      <c r="VF86" s="1251"/>
      <c r="VG86" s="1251"/>
      <c r="VH86" s="1251"/>
      <c r="VI86" s="1251"/>
      <c r="VJ86" s="1251"/>
      <c r="VK86" s="1251"/>
      <c r="VL86" s="1251"/>
      <c r="VM86" s="1251"/>
      <c r="VN86" s="1251"/>
      <c r="VO86" s="1251"/>
      <c r="VP86" s="1251"/>
      <c r="VQ86" s="1251"/>
      <c r="VR86" s="1251"/>
      <c r="VS86" s="1251"/>
      <c r="VT86" s="1251"/>
      <c r="VU86" s="1251"/>
      <c r="VV86" s="1251"/>
      <c r="VW86" s="1251"/>
      <c r="VX86" s="1251"/>
      <c r="VY86" s="1251"/>
      <c r="VZ86" s="1251"/>
      <c r="WA86" s="1251"/>
      <c r="WB86" s="1251"/>
      <c r="WC86" s="1251"/>
      <c r="WD86" s="1251"/>
      <c r="WE86" s="1251"/>
      <c r="WF86" s="1251"/>
      <c r="WG86" s="1251"/>
      <c r="WH86" s="1251"/>
      <c r="WI86" s="1251"/>
      <c r="WJ86" s="1251"/>
      <c r="WK86" s="1251"/>
      <c r="WL86" s="1251"/>
      <c r="WM86" s="1251"/>
      <c r="WN86" s="1251"/>
      <c r="WO86" s="1251"/>
      <c r="WP86" s="1251"/>
      <c r="WQ86" s="1251"/>
      <c r="WR86" s="1251"/>
      <c r="WS86" s="1251"/>
      <c r="WT86" s="1251"/>
      <c r="WU86" s="1251"/>
      <c r="WV86" s="1251"/>
      <c r="WW86" s="1251"/>
      <c r="WX86" s="1251"/>
      <c r="WY86" s="1251"/>
      <c r="WZ86" s="1251"/>
      <c r="XA86" s="1251"/>
      <c r="XB86" s="1251"/>
      <c r="XC86" s="1251"/>
      <c r="XD86" s="1251"/>
      <c r="XE86" s="1251"/>
      <c r="XF86" s="1251"/>
      <c r="XG86" s="1251"/>
      <c r="XH86" s="1251"/>
      <c r="XI86" s="1251"/>
      <c r="XJ86" s="1251"/>
      <c r="XK86" s="1251"/>
      <c r="XL86" s="1251"/>
      <c r="XM86" s="1251"/>
      <c r="XN86" s="1251"/>
      <c r="XO86" s="1251"/>
      <c r="XP86" s="1251"/>
      <c r="XQ86" s="1251"/>
      <c r="XR86" s="1251"/>
      <c r="XS86" s="1251"/>
      <c r="XT86" s="1251"/>
      <c r="XU86" s="1251"/>
      <c r="XV86" s="1251"/>
      <c r="XW86" s="1251"/>
      <c r="XX86" s="1251"/>
      <c r="XY86" s="1251"/>
      <c r="XZ86" s="1251"/>
      <c r="YA86" s="1251"/>
      <c r="YB86" s="1251"/>
      <c r="YC86" s="1251"/>
      <c r="YD86" s="1251"/>
      <c r="YE86" s="1251"/>
      <c r="YF86" s="1251"/>
      <c r="YG86" s="1251"/>
      <c r="YH86" s="1251"/>
      <c r="YI86" s="1251"/>
      <c r="YJ86" s="1251"/>
      <c r="YK86" s="1251"/>
      <c r="YL86" s="1251"/>
      <c r="YM86" s="1251"/>
      <c r="YN86" s="1251"/>
      <c r="YO86" s="1251"/>
      <c r="YP86" s="1251"/>
      <c r="YQ86" s="1251"/>
      <c r="YR86" s="1251"/>
      <c r="YS86" s="1251"/>
      <c r="YT86" s="1251"/>
      <c r="YU86" s="1251"/>
      <c r="YV86" s="1251"/>
      <c r="YW86" s="1251"/>
      <c r="YX86" s="1251"/>
      <c r="YY86" s="1251"/>
      <c r="YZ86" s="1251"/>
      <c r="ZA86" s="1251"/>
      <c r="ZB86" s="1251"/>
      <c r="ZC86" s="1251"/>
      <c r="ZD86" s="1251"/>
      <c r="ZE86" s="1251"/>
      <c r="ZF86" s="1251"/>
      <c r="ZG86" s="1251"/>
      <c r="ZH86" s="1251"/>
      <c r="ZI86" s="1251"/>
      <c r="ZJ86" s="1251"/>
      <c r="ZK86" s="1251"/>
      <c r="ZL86" s="1251"/>
      <c r="ZM86" s="1251"/>
      <c r="ZN86" s="1251"/>
      <c r="ZO86" s="1251"/>
      <c r="ZP86" s="1251"/>
      <c r="ZQ86" s="1251"/>
      <c r="ZR86" s="1251"/>
      <c r="ZS86" s="1251"/>
      <c r="ZT86" s="1251"/>
      <c r="ZU86" s="1251"/>
      <c r="ZV86" s="1251"/>
      <c r="ZW86" s="1251"/>
      <c r="ZX86" s="1251"/>
      <c r="ZY86" s="1251"/>
      <c r="ZZ86" s="1251"/>
      <c r="AAA86" s="1251"/>
      <c r="AAB86" s="1251"/>
      <c r="AAC86" s="1251"/>
      <c r="AAD86" s="1251"/>
      <c r="AAE86" s="1251"/>
      <c r="AAF86" s="1251"/>
      <c r="AAG86" s="1251"/>
      <c r="AAH86" s="1251"/>
      <c r="AAI86" s="1251"/>
      <c r="AAJ86" s="1251"/>
      <c r="AAK86" s="1251"/>
      <c r="AAL86" s="1251"/>
      <c r="AAM86" s="1251"/>
      <c r="AAN86" s="1251"/>
      <c r="AAO86" s="1251"/>
      <c r="AAP86" s="1251"/>
      <c r="AAQ86" s="1251"/>
      <c r="AAR86" s="1251"/>
      <c r="AAS86" s="1251"/>
      <c r="AAT86" s="1251"/>
      <c r="AAU86" s="1251"/>
      <c r="AAV86" s="1251"/>
      <c r="AAW86" s="1251"/>
      <c r="AAX86" s="1251"/>
      <c r="AAY86" s="1251"/>
      <c r="AAZ86" s="1251"/>
      <c r="ABA86" s="1251"/>
      <c r="ABB86" s="1251"/>
      <c r="ABC86" s="1251"/>
      <c r="ABD86" s="1251"/>
      <c r="ABE86" s="1251"/>
      <c r="ABF86" s="1251"/>
      <c r="ABG86" s="1251"/>
      <c r="ABH86" s="1251"/>
      <c r="ABI86" s="1251"/>
      <c r="ABJ86" s="1251"/>
      <c r="ABK86" s="1251"/>
      <c r="ABL86" s="1251"/>
      <c r="ABM86" s="1251"/>
      <c r="ABN86" s="1251"/>
      <c r="ABO86" s="1251"/>
      <c r="ABP86" s="1251"/>
      <c r="ABQ86" s="1251"/>
      <c r="ABR86" s="1251"/>
      <c r="ABS86" s="1251"/>
      <c r="ABT86" s="1251"/>
      <c r="ABU86" s="1251"/>
      <c r="ABV86" s="1251"/>
      <c r="ABW86" s="1251"/>
      <c r="ABX86" s="1251"/>
      <c r="ABY86" s="1251"/>
      <c r="ABZ86" s="1251"/>
      <c r="ACA86" s="1251"/>
      <c r="ACB86" s="1251"/>
      <c r="ACC86" s="1251"/>
      <c r="ACD86" s="1251"/>
      <c r="ACE86" s="1251"/>
      <c r="ACF86" s="1251"/>
      <c r="ACG86" s="1251"/>
      <c r="ACH86" s="1251"/>
      <c r="ACI86" s="1251"/>
      <c r="ACJ86" s="1251"/>
      <c r="ACK86" s="1251"/>
      <c r="ACL86" s="1251"/>
      <c r="ACM86" s="1251"/>
      <c r="ACN86" s="1251"/>
      <c r="ACO86" s="1251"/>
      <c r="ACP86" s="1251"/>
      <c r="ACQ86" s="1251"/>
      <c r="ACR86" s="1251"/>
      <c r="ACS86" s="1251"/>
      <c r="ACT86" s="1251"/>
      <c r="ACU86" s="1251"/>
      <c r="ACV86" s="1251"/>
      <c r="ACW86" s="1251"/>
      <c r="ACX86" s="1251"/>
      <c r="ACY86" s="1251"/>
      <c r="ACZ86" s="1251"/>
      <c r="ADA86" s="1251"/>
      <c r="ADB86" s="1251"/>
      <c r="ADC86" s="1251"/>
      <c r="ADD86" s="1251"/>
      <c r="ADE86" s="1251"/>
      <c r="ADF86" s="1251"/>
      <c r="ADG86" s="1251"/>
      <c r="ADH86" s="1251"/>
      <c r="ADI86" s="1251"/>
      <c r="ADJ86" s="1251"/>
      <c r="ADK86" s="1251"/>
      <c r="ADL86" s="1251"/>
      <c r="ADM86" s="1251"/>
      <c r="ADN86" s="1251"/>
      <c r="ADO86" s="1251"/>
      <c r="ADP86" s="1251"/>
      <c r="ADQ86" s="1251"/>
      <c r="ADR86" s="1251"/>
      <c r="ADS86" s="1251"/>
      <c r="ADT86" s="1251"/>
      <c r="ADU86" s="1251"/>
      <c r="ADV86" s="1251"/>
      <c r="ADW86" s="1251"/>
      <c r="ADX86" s="1251"/>
      <c r="ADY86" s="1251"/>
      <c r="ADZ86" s="1251"/>
      <c r="AEA86" s="1251"/>
      <c r="AEB86" s="1251"/>
      <c r="AEC86" s="1251"/>
      <c r="AED86" s="1251"/>
      <c r="AEE86" s="1251"/>
      <c r="AEF86" s="1251"/>
      <c r="AEG86" s="1251"/>
      <c r="AEH86" s="1251"/>
      <c r="AEI86" s="1251"/>
      <c r="AEJ86" s="1251"/>
      <c r="AEK86" s="1251"/>
      <c r="AEL86" s="1251"/>
      <c r="AEM86" s="1251"/>
      <c r="AEN86" s="1251"/>
      <c r="AEO86" s="1251"/>
      <c r="AEP86" s="1251"/>
      <c r="AEQ86" s="1251"/>
      <c r="AER86" s="1251"/>
      <c r="AES86" s="1251"/>
      <c r="AET86" s="1251"/>
      <c r="AEU86" s="1251"/>
      <c r="AEV86" s="1251"/>
      <c r="AEW86" s="1251"/>
      <c r="AEX86" s="1251"/>
      <c r="AEY86" s="1251"/>
      <c r="AEZ86" s="1251"/>
      <c r="AFA86" s="1251"/>
      <c r="AFB86" s="1251"/>
      <c r="AFC86" s="1251"/>
      <c r="AFD86" s="1251"/>
      <c r="AFE86" s="1251"/>
      <c r="AFF86" s="1251"/>
      <c r="AFG86" s="1251"/>
      <c r="AFH86" s="1251"/>
      <c r="AFI86" s="1251"/>
      <c r="AFJ86" s="1251"/>
      <c r="AFK86" s="1251"/>
      <c r="AFL86" s="1251"/>
      <c r="AFM86" s="1251"/>
      <c r="AFN86" s="1251"/>
      <c r="AFO86" s="1251"/>
      <c r="AFP86" s="1251"/>
      <c r="AFQ86" s="1251"/>
      <c r="AFR86" s="1251"/>
      <c r="AFS86" s="1251"/>
      <c r="AFT86" s="1251"/>
      <c r="AFU86" s="1251"/>
      <c r="AFV86" s="1251"/>
      <c r="AFW86" s="1251"/>
      <c r="AFX86" s="1251"/>
      <c r="AFY86" s="1251"/>
      <c r="AFZ86" s="1251"/>
      <c r="AGA86" s="1251"/>
      <c r="AGB86" s="1251"/>
      <c r="AGC86" s="1251"/>
      <c r="AGD86" s="1251"/>
      <c r="AGE86" s="1251"/>
      <c r="AGF86" s="1251"/>
      <c r="AGG86" s="1251"/>
      <c r="AGH86" s="1251"/>
      <c r="AGI86" s="1251"/>
      <c r="AGJ86" s="1251"/>
      <c r="AGK86" s="1251"/>
      <c r="AGL86" s="1251"/>
      <c r="AGM86" s="1251"/>
      <c r="AGN86" s="1251"/>
      <c r="AGO86" s="1251"/>
      <c r="AGP86" s="1251"/>
      <c r="AGQ86" s="1251"/>
      <c r="AGR86" s="1251"/>
      <c r="AGS86" s="1251"/>
      <c r="AGT86" s="1251"/>
      <c r="AGU86" s="1251"/>
      <c r="AGV86" s="1251"/>
      <c r="AGW86" s="1251"/>
      <c r="AGX86" s="1251"/>
      <c r="AGY86" s="1251"/>
      <c r="AGZ86" s="1251"/>
      <c r="AHA86" s="1251"/>
      <c r="AHB86" s="1251"/>
      <c r="AHC86" s="1251"/>
      <c r="AHD86" s="1251"/>
      <c r="AHE86" s="1251"/>
      <c r="AHF86" s="1251"/>
      <c r="AHG86" s="1251"/>
      <c r="AHH86" s="1251"/>
      <c r="AHI86" s="1251"/>
      <c r="AHJ86" s="1251"/>
      <c r="AHK86" s="1251"/>
      <c r="AHL86" s="1251"/>
      <c r="AHM86" s="1251"/>
      <c r="AHN86" s="1251"/>
      <c r="AHO86" s="1251"/>
      <c r="AHP86" s="1251"/>
      <c r="AHQ86" s="1251"/>
      <c r="AHR86" s="1251"/>
      <c r="AHS86" s="1251"/>
      <c r="AHT86" s="1251"/>
      <c r="AHU86" s="1251"/>
      <c r="AHV86" s="1251"/>
      <c r="AHW86" s="1251"/>
      <c r="AHX86" s="1251"/>
      <c r="AHY86" s="1251"/>
      <c r="AHZ86" s="1251"/>
      <c r="AIA86" s="1251"/>
      <c r="AIB86" s="1251"/>
      <c r="AIC86" s="1251"/>
      <c r="AID86" s="1251"/>
      <c r="AIE86" s="1251"/>
      <c r="AIF86" s="1251"/>
      <c r="AIG86" s="1251"/>
      <c r="AIH86" s="1251"/>
      <c r="AII86" s="1251"/>
      <c r="AIJ86" s="1251"/>
      <c r="AIK86" s="1251"/>
      <c r="AIL86" s="1251"/>
      <c r="AIM86" s="1251"/>
      <c r="AIN86" s="1251"/>
      <c r="AIO86" s="1251"/>
      <c r="AIP86" s="1251"/>
      <c r="AIQ86" s="1251"/>
      <c r="AIR86" s="1251"/>
      <c r="AIS86" s="1251"/>
      <c r="AIT86" s="1251"/>
      <c r="AIU86" s="1251"/>
      <c r="AIV86" s="1251"/>
      <c r="AIW86" s="1251"/>
      <c r="AIX86" s="1251"/>
      <c r="AIY86" s="1251"/>
      <c r="AIZ86" s="1251"/>
      <c r="AJA86" s="1251"/>
      <c r="AJB86" s="1251"/>
      <c r="AJC86" s="1251"/>
      <c r="AJD86" s="1251"/>
      <c r="AJE86" s="1251"/>
      <c r="AJF86" s="1251"/>
      <c r="AJG86" s="1251"/>
      <c r="AJH86" s="1251"/>
      <c r="AJI86" s="1251"/>
      <c r="AJJ86" s="1251"/>
      <c r="AJK86" s="1251"/>
      <c r="AJL86" s="1251"/>
      <c r="AJM86" s="1251"/>
      <c r="AJN86" s="1251"/>
      <c r="AJO86" s="1251"/>
      <c r="AJP86" s="1251"/>
      <c r="AJQ86" s="1251"/>
      <c r="AJR86" s="1251"/>
      <c r="AJS86" s="1251"/>
      <c r="AJT86" s="1251"/>
      <c r="AJU86" s="1251"/>
      <c r="AJV86" s="1251"/>
      <c r="AJW86" s="1251"/>
      <c r="AJX86" s="1251"/>
      <c r="AJY86" s="1251"/>
      <c r="AJZ86" s="1251"/>
      <c r="AKA86" s="1251"/>
      <c r="AKB86" s="1251"/>
      <c r="AKC86" s="1251"/>
      <c r="AKD86" s="1251"/>
      <c r="AKE86" s="1251"/>
      <c r="AKF86" s="1251"/>
      <c r="AKG86" s="1251"/>
      <c r="AKH86" s="1251"/>
      <c r="AKI86" s="1251"/>
      <c r="AKJ86" s="1251"/>
      <c r="AKK86" s="1251"/>
      <c r="AKL86" s="1251"/>
      <c r="AKM86" s="1251"/>
      <c r="AKN86" s="1251"/>
      <c r="AKO86" s="1251"/>
      <c r="AKP86" s="1251"/>
      <c r="AKQ86" s="1251"/>
      <c r="AKR86" s="1251"/>
      <c r="AKS86" s="1251"/>
      <c r="AKT86" s="1251"/>
      <c r="AKU86" s="1251"/>
      <c r="AKV86" s="1251"/>
      <c r="AKW86" s="1251"/>
      <c r="AKX86" s="1251"/>
      <c r="AKY86" s="1251"/>
      <c r="AKZ86" s="1251"/>
      <c r="ALA86" s="1251"/>
      <c r="ALB86" s="1251"/>
      <c r="ALC86" s="1251"/>
      <c r="ALD86" s="1251"/>
      <c r="ALE86" s="1251"/>
      <c r="ALF86" s="1251"/>
      <c r="ALG86" s="1251"/>
      <c r="ALH86" s="1251"/>
      <c r="ALI86" s="1251"/>
      <c r="ALJ86" s="1251"/>
      <c r="ALK86" s="1251"/>
      <c r="ALL86" s="1251"/>
      <c r="ALM86" s="1251"/>
      <c r="ALN86" s="1251"/>
      <c r="ALO86" s="1251"/>
      <c r="ALP86" s="1251"/>
      <c r="ALQ86" s="1251"/>
      <c r="ALR86" s="1251"/>
      <c r="ALS86" s="1251"/>
      <c r="ALT86" s="1251"/>
      <c r="ALU86" s="1251"/>
      <c r="ALV86" s="1251"/>
      <c r="ALW86" s="1251"/>
      <c r="ALX86" s="1251"/>
      <c r="ALY86" s="1251"/>
      <c r="ALZ86" s="1251"/>
      <c r="AMA86" s="1251"/>
      <c r="AMB86" s="1251"/>
      <c r="AMC86" s="1251"/>
      <c r="AMD86" s="1251"/>
      <c r="AME86" s="1251"/>
      <c r="AMF86" s="1251"/>
      <c r="AMG86" s="1251"/>
      <c r="AMH86" s="1251"/>
      <c r="AMI86" s="1251"/>
      <c r="AMJ86" s="1251"/>
      <c r="AMK86" s="1251"/>
      <c r="AML86" s="1251"/>
      <c r="AMM86" s="1251"/>
      <c r="AMN86" s="1251"/>
      <c r="AMO86" s="1251"/>
      <c r="AMP86" s="1251"/>
      <c r="AMQ86" s="1251"/>
      <c r="AMR86" s="1251"/>
      <c r="AMS86" s="1251"/>
      <c r="AMT86" s="1251"/>
      <c r="AMU86" s="1251"/>
      <c r="AMV86" s="1251"/>
      <c r="AMW86" s="1251"/>
      <c r="AMX86" s="1251"/>
      <c r="AMY86" s="1251"/>
      <c r="AMZ86" s="1251"/>
      <c r="ANA86" s="1251"/>
      <c r="ANB86" s="1251"/>
      <c r="ANC86" s="1251"/>
      <c r="AND86" s="1251"/>
      <c r="ANE86" s="1251"/>
      <c r="ANF86" s="1251"/>
      <c r="ANG86" s="1251"/>
      <c r="ANH86" s="1251"/>
      <c r="ANI86" s="1251"/>
      <c r="ANJ86" s="1251"/>
      <c r="ANK86" s="1251"/>
      <c r="ANL86" s="1251"/>
      <c r="ANM86" s="1251"/>
      <c r="ANN86" s="1251"/>
      <c r="ANO86" s="1251"/>
      <c r="ANP86" s="1251"/>
      <c r="ANQ86" s="1251"/>
      <c r="ANR86" s="1251"/>
      <c r="ANS86" s="1251"/>
      <c r="ANT86" s="1251"/>
      <c r="ANU86" s="1251"/>
      <c r="ANV86" s="1251"/>
      <c r="ANW86" s="1251"/>
      <c r="ANX86" s="1251"/>
      <c r="ANY86" s="1251"/>
      <c r="ANZ86" s="1251"/>
      <c r="AOA86" s="1251"/>
      <c r="AOB86" s="1251"/>
      <c r="AOC86" s="1251"/>
      <c r="AOD86" s="1251"/>
      <c r="AOE86" s="1251"/>
      <c r="AOF86" s="1251"/>
      <c r="AOG86" s="1251"/>
      <c r="AOH86" s="1251"/>
      <c r="AOI86" s="1251"/>
      <c r="AOJ86" s="1251"/>
      <c r="AOK86" s="1251"/>
      <c r="AOL86" s="1251"/>
      <c r="AOM86" s="1251"/>
      <c r="AON86" s="1251"/>
      <c r="AOO86" s="1251"/>
      <c r="AOP86" s="1251"/>
      <c r="AOQ86" s="1251"/>
      <c r="AOR86" s="1251"/>
      <c r="AOS86" s="1251"/>
      <c r="AOT86" s="1251"/>
      <c r="AOU86" s="1251"/>
      <c r="AOV86" s="1251"/>
      <c r="AOW86" s="1251"/>
      <c r="AOX86" s="1251"/>
      <c r="AOY86" s="1251"/>
      <c r="AOZ86" s="1251"/>
      <c r="APA86" s="1251"/>
      <c r="APB86" s="1251"/>
      <c r="APC86" s="1251"/>
      <c r="APD86" s="1251"/>
      <c r="APE86" s="1251"/>
      <c r="APF86" s="1251"/>
      <c r="APG86" s="1251"/>
      <c r="APH86" s="1251"/>
      <c r="API86" s="1251"/>
      <c r="APJ86" s="1251"/>
      <c r="APK86" s="1251"/>
      <c r="APL86" s="1251"/>
      <c r="APM86" s="1251"/>
      <c r="APN86" s="1251"/>
      <c r="APO86" s="1251"/>
      <c r="APP86" s="1251"/>
      <c r="APQ86" s="1251"/>
      <c r="APR86" s="1251"/>
      <c r="APS86" s="1251"/>
      <c r="APT86" s="1251"/>
      <c r="APU86" s="1251"/>
      <c r="APV86" s="1251"/>
      <c r="APW86" s="1251"/>
      <c r="APX86" s="1251"/>
      <c r="APY86" s="1251"/>
      <c r="APZ86" s="1251"/>
      <c r="AQA86" s="1251"/>
      <c r="AQB86" s="1251"/>
      <c r="AQC86" s="1251"/>
      <c r="AQD86" s="1251"/>
      <c r="AQE86" s="1251"/>
      <c r="AQF86" s="1251"/>
      <c r="AQG86" s="1251"/>
      <c r="AQH86" s="1251"/>
      <c r="AQI86" s="1251"/>
      <c r="AQJ86" s="1251"/>
      <c r="AQK86" s="1251"/>
      <c r="AQL86" s="1251"/>
      <c r="AQM86" s="1251"/>
      <c r="AQN86" s="1251"/>
      <c r="AQO86" s="1251"/>
      <c r="AQP86" s="1251"/>
      <c r="AQQ86" s="1251"/>
      <c r="AQR86" s="1251"/>
      <c r="AQS86" s="1251"/>
      <c r="AQT86" s="1251"/>
      <c r="AQU86" s="1251"/>
      <c r="AQV86" s="1251"/>
      <c r="AQW86" s="1251"/>
      <c r="AQX86" s="1251"/>
      <c r="AQY86" s="1251"/>
      <c r="AQZ86" s="1251"/>
      <c r="ARA86" s="1251"/>
      <c r="ARB86" s="1251"/>
      <c r="ARC86" s="1251"/>
      <c r="ARD86" s="1251"/>
      <c r="ARE86" s="1251"/>
      <c r="ARF86" s="1251"/>
      <c r="ARG86" s="1251"/>
      <c r="ARH86" s="1251"/>
      <c r="ARI86" s="1251"/>
      <c r="ARJ86" s="1251"/>
      <c r="ARK86" s="1251"/>
      <c r="ARL86" s="1251"/>
      <c r="ARM86" s="1251"/>
      <c r="ARN86" s="1251"/>
      <c r="ARO86" s="1251"/>
      <c r="ARP86" s="1251"/>
      <c r="ARQ86" s="1251"/>
      <c r="ARR86" s="1251"/>
      <c r="ARS86" s="1251"/>
      <c r="ART86" s="1251"/>
      <c r="ARU86" s="1251"/>
      <c r="ARV86" s="1251"/>
      <c r="ARW86" s="1251"/>
      <c r="ARX86" s="1251"/>
      <c r="ARY86" s="1251"/>
      <c r="ARZ86" s="1251"/>
      <c r="ASA86" s="1251"/>
      <c r="ASB86" s="1251"/>
      <c r="ASC86" s="1251"/>
      <c r="ASD86" s="1251"/>
      <c r="ASE86" s="1251"/>
      <c r="ASF86" s="1251"/>
      <c r="ASG86" s="1251"/>
      <c r="ASH86" s="1251"/>
      <c r="ASI86" s="1251"/>
      <c r="ASJ86" s="1251"/>
      <c r="ASK86" s="1251"/>
      <c r="ASL86" s="1251"/>
      <c r="ASM86" s="1251"/>
      <c r="ASN86" s="1251"/>
      <c r="ASO86" s="1251"/>
      <c r="ASP86" s="1251"/>
      <c r="ASQ86" s="1251"/>
      <c r="ASR86" s="1251"/>
      <c r="ASS86" s="1251"/>
      <c r="AST86" s="1251"/>
      <c r="ASU86" s="1251"/>
      <c r="ASV86" s="1251"/>
      <c r="ASW86" s="1251"/>
      <c r="ASX86" s="1251"/>
      <c r="ASY86" s="1251"/>
      <c r="ASZ86" s="1251"/>
      <c r="ATA86" s="1251"/>
      <c r="ATB86" s="1251"/>
      <c r="ATC86" s="1251"/>
      <c r="ATD86" s="1251"/>
      <c r="ATE86" s="1251"/>
      <c r="ATF86" s="1251"/>
      <c r="ATG86" s="1251"/>
      <c r="ATH86" s="1251"/>
      <c r="ATI86" s="1251"/>
      <c r="ATJ86" s="1251"/>
      <c r="ATK86" s="1251"/>
      <c r="ATL86" s="1251"/>
      <c r="ATM86" s="1251"/>
      <c r="ATN86" s="1251"/>
      <c r="ATO86" s="1251"/>
      <c r="ATP86" s="1251"/>
      <c r="ATQ86" s="1251"/>
      <c r="ATR86" s="1251"/>
      <c r="ATS86" s="1251"/>
      <c r="ATT86" s="1251"/>
      <c r="ATU86" s="1251"/>
      <c r="ATV86" s="1251"/>
      <c r="ATW86" s="1251"/>
      <c r="ATX86" s="1251"/>
      <c r="ATY86" s="1251"/>
      <c r="ATZ86" s="1251"/>
      <c r="AUA86" s="1251"/>
      <c r="AUB86" s="1251"/>
      <c r="AUC86" s="1251"/>
      <c r="AUD86" s="1251"/>
      <c r="AUE86" s="1251"/>
      <c r="AUF86" s="1251"/>
      <c r="AUG86" s="1251"/>
      <c r="AUH86" s="1251"/>
      <c r="AUI86" s="1251"/>
      <c r="AUJ86" s="1251"/>
      <c r="AUK86" s="1251"/>
      <c r="AUL86" s="1251"/>
      <c r="AUM86" s="1251"/>
      <c r="AUN86" s="1251"/>
      <c r="AUO86" s="1251"/>
      <c r="AUP86" s="1251"/>
      <c r="AUQ86" s="1251"/>
      <c r="AUR86" s="1251"/>
      <c r="AUS86" s="1251"/>
      <c r="AUT86" s="1251"/>
      <c r="AUU86" s="1251"/>
      <c r="AUV86" s="1251"/>
      <c r="AUW86" s="1251"/>
      <c r="AUX86" s="1251"/>
      <c r="AUY86" s="1251"/>
      <c r="AUZ86" s="1251"/>
      <c r="AVA86" s="1251"/>
      <c r="AVB86" s="1251"/>
      <c r="AVC86" s="1251"/>
      <c r="AVD86" s="1251"/>
      <c r="AVE86" s="1251"/>
      <c r="AVF86" s="1251"/>
      <c r="AVG86" s="1251"/>
      <c r="AVH86" s="1251"/>
      <c r="AVI86" s="1251"/>
      <c r="AVJ86" s="1251"/>
      <c r="AVK86" s="1251"/>
      <c r="AVL86" s="1251"/>
      <c r="AVM86" s="1251"/>
      <c r="AVN86" s="1251"/>
      <c r="AVO86" s="1251"/>
      <c r="AVP86" s="1251"/>
      <c r="AVQ86" s="1251"/>
      <c r="AVR86" s="1251"/>
      <c r="AVS86" s="1251"/>
      <c r="AVT86" s="1251"/>
      <c r="AVU86" s="1251"/>
      <c r="AVV86" s="1251"/>
      <c r="AVW86" s="1251"/>
      <c r="AVX86" s="1251"/>
      <c r="AVY86" s="1251"/>
      <c r="AVZ86" s="1251"/>
      <c r="AWA86" s="1251"/>
      <c r="AWB86" s="1251"/>
      <c r="AWC86" s="1251"/>
      <c r="AWD86" s="1251"/>
      <c r="AWE86" s="1251"/>
      <c r="AWF86" s="1251"/>
      <c r="AWG86" s="1251"/>
      <c r="AWH86" s="1251"/>
      <c r="AWI86" s="1251"/>
      <c r="AWJ86" s="1251"/>
      <c r="AWK86" s="1251"/>
      <c r="AWL86" s="1251"/>
      <c r="AWM86" s="1251"/>
      <c r="AWN86" s="1251"/>
      <c r="AWO86" s="1251"/>
      <c r="AWP86" s="1251"/>
      <c r="AWQ86" s="1251"/>
      <c r="AWR86" s="1251"/>
      <c r="AWS86" s="1251"/>
      <c r="AWT86" s="1251"/>
      <c r="AWU86" s="1251"/>
      <c r="AWV86" s="1251"/>
      <c r="AWW86" s="1251"/>
      <c r="AWX86" s="1251"/>
      <c r="AWY86" s="1251"/>
      <c r="AWZ86" s="1251"/>
      <c r="AXA86" s="1251"/>
      <c r="AXB86" s="1251"/>
      <c r="AXC86" s="1251"/>
      <c r="AXD86" s="1251"/>
      <c r="AXE86" s="1251"/>
      <c r="AXF86" s="1251"/>
      <c r="AXG86" s="1251"/>
      <c r="AXH86" s="1251"/>
      <c r="AXI86" s="1251"/>
      <c r="AXJ86" s="1251"/>
      <c r="AXK86" s="1251"/>
      <c r="AXL86" s="1251"/>
      <c r="AXM86" s="1251"/>
      <c r="AXN86" s="1251"/>
      <c r="AXO86" s="1251"/>
      <c r="AXP86" s="1251"/>
      <c r="AXQ86" s="1251"/>
      <c r="AXR86" s="1251"/>
      <c r="AXS86" s="1251"/>
      <c r="AXT86" s="1251"/>
      <c r="AXU86" s="1251"/>
      <c r="AXV86" s="1251"/>
      <c r="AXW86" s="1251"/>
      <c r="AXX86" s="1251"/>
      <c r="AXY86" s="1251"/>
      <c r="AXZ86" s="1251"/>
      <c r="AYA86" s="1251"/>
      <c r="AYB86" s="1251"/>
      <c r="AYC86" s="1251"/>
      <c r="AYD86" s="1251"/>
      <c r="AYE86" s="1251"/>
      <c r="AYF86" s="1251"/>
      <c r="AYG86" s="1251"/>
      <c r="AYH86" s="1251"/>
      <c r="AYI86" s="1251"/>
      <c r="AYJ86" s="1251"/>
      <c r="AYK86" s="1251"/>
      <c r="AYL86" s="1251"/>
      <c r="AYM86" s="1251"/>
      <c r="AYN86" s="1251"/>
      <c r="AYO86" s="1251"/>
      <c r="AYP86" s="1251"/>
      <c r="AYQ86" s="1251"/>
      <c r="AYR86" s="1251"/>
      <c r="AYS86" s="1251"/>
      <c r="AYT86" s="1251"/>
      <c r="AYU86" s="1251"/>
      <c r="AYV86" s="1251"/>
      <c r="AYW86" s="1251"/>
      <c r="AYX86" s="1251"/>
      <c r="AYY86" s="1251"/>
      <c r="AYZ86" s="1251"/>
      <c r="AZA86" s="1251"/>
      <c r="AZB86" s="1251"/>
      <c r="AZC86" s="1251"/>
      <c r="AZD86" s="1251"/>
      <c r="AZE86" s="1251"/>
      <c r="AZF86" s="1251"/>
      <c r="AZG86" s="1251"/>
      <c r="AZH86" s="1251"/>
      <c r="AZI86" s="1251"/>
      <c r="AZJ86" s="1251"/>
      <c r="AZK86" s="1251"/>
      <c r="AZL86" s="1251"/>
      <c r="AZM86" s="1251"/>
      <c r="AZN86" s="1251"/>
      <c r="AZO86" s="1251"/>
      <c r="AZP86" s="1251"/>
      <c r="AZQ86" s="1251"/>
      <c r="AZR86" s="1251"/>
      <c r="AZS86" s="1251"/>
      <c r="AZT86" s="1251"/>
      <c r="AZU86" s="1251"/>
      <c r="AZV86" s="1251"/>
      <c r="AZW86" s="1251"/>
      <c r="AZX86" s="1251"/>
      <c r="AZY86" s="1251"/>
      <c r="AZZ86" s="1251"/>
      <c r="BAA86" s="1251"/>
      <c r="BAB86" s="1251"/>
      <c r="BAC86" s="1251"/>
      <c r="BAD86" s="1251"/>
      <c r="BAE86" s="1251"/>
      <c r="BAF86" s="1251"/>
      <c r="BAG86" s="1251"/>
      <c r="BAH86" s="1251"/>
      <c r="BAI86" s="1251"/>
      <c r="BAJ86" s="1251"/>
      <c r="BAK86" s="1251"/>
      <c r="BAL86" s="1251"/>
      <c r="BAM86" s="1251"/>
      <c r="BAN86" s="1251"/>
      <c r="BAO86" s="1251"/>
      <c r="BAP86" s="1251"/>
      <c r="BAQ86" s="1251"/>
      <c r="BAR86" s="1251"/>
      <c r="BAS86" s="1251"/>
      <c r="BAT86" s="1251"/>
      <c r="BAU86" s="1251"/>
      <c r="BAV86" s="1251"/>
      <c r="BAW86" s="1251"/>
      <c r="BAX86" s="1251"/>
      <c r="BAY86" s="1251"/>
      <c r="BAZ86" s="1251"/>
      <c r="BBA86" s="1251"/>
      <c r="BBB86" s="1251"/>
      <c r="BBC86" s="1251"/>
      <c r="BBD86" s="1251"/>
      <c r="BBE86" s="1251"/>
      <c r="BBF86" s="1251"/>
      <c r="BBG86" s="1251"/>
      <c r="BBH86" s="1251"/>
      <c r="BBI86" s="1251"/>
      <c r="BBJ86" s="1251"/>
      <c r="BBK86" s="1251"/>
      <c r="BBL86" s="1251"/>
      <c r="BBM86" s="1251"/>
      <c r="BBN86" s="1251"/>
      <c r="BBO86" s="1251"/>
      <c r="BBP86" s="1251"/>
      <c r="BBQ86" s="1251"/>
      <c r="BBR86" s="1251"/>
      <c r="BBS86" s="1251"/>
      <c r="BBT86" s="1251"/>
      <c r="BBU86" s="1251"/>
      <c r="BBV86" s="1251"/>
      <c r="BBW86" s="1251"/>
      <c r="BBX86" s="1251"/>
      <c r="BBY86" s="1251"/>
      <c r="BBZ86" s="1251"/>
      <c r="BCA86" s="1251"/>
      <c r="BCB86" s="1251"/>
      <c r="BCC86" s="1251"/>
      <c r="BCD86" s="1251"/>
      <c r="BCE86" s="1251"/>
      <c r="BCF86" s="1251"/>
      <c r="BCG86" s="1251"/>
      <c r="BCH86" s="1251"/>
      <c r="BCI86" s="1251"/>
      <c r="BCJ86" s="1251"/>
      <c r="BCK86" s="1251"/>
      <c r="BCL86" s="1251"/>
      <c r="BCM86" s="1251"/>
      <c r="BCN86" s="1251"/>
      <c r="BCO86" s="1251"/>
      <c r="BCP86" s="1251"/>
      <c r="BCQ86" s="1251"/>
      <c r="BCR86" s="1251"/>
      <c r="BCS86" s="1251"/>
      <c r="BCT86" s="1251"/>
      <c r="BCU86" s="1251"/>
      <c r="BCV86" s="1251"/>
      <c r="BCW86" s="1251"/>
      <c r="BCX86" s="1251"/>
      <c r="BCY86" s="1251"/>
      <c r="BCZ86" s="1251"/>
      <c r="BDA86" s="1251"/>
      <c r="BDB86" s="1251"/>
      <c r="BDC86" s="1251"/>
      <c r="BDD86" s="1251"/>
      <c r="BDE86" s="1251"/>
      <c r="BDF86" s="1251"/>
      <c r="BDG86" s="1251"/>
      <c r="BDH86" s="1251"/>
      <c r="BDI86" s="1251"/>
      <c r="BDJ86" s="1251"/>
      <c r="BDK86" s="1251"/>
      <c r="BDL86" s="1251"/>
      <c r="BDM86" s="1251"/>
      <c r="BDN86" s="1251"/>
      <c r="BDO86" s="1251"/>
      <c r="BDP86" s="1251"/>
      <c r="BDQ86" s="1251"/>
      <c r="BDR86" s="1251"/>
      <c r="BDS86" s="1251"/>
      <c r="BDT86" s="1251"/>
      <c r="BDU86" s="1251"/>
      <c r="BDV86" s="1251"/>
      <c r="BDW86" s="1251"/>
      <c r="BDX86" s="1251"/>
      <c r="BDY86" s="1251"/>
      <c r="BDZ86" s="1251"/>
      <c r="BEA86" s="1251"/>
      <c r="BEB86" s="1251"/>
      <c r="BEC86" s="1251"/>
      <c r="BED86" s="1251"/>
      <c r="BEE86" s="1251"/>
      <c r="BEF86" s="1251"/>
      <c r="BEG86" s="1251"/>
      <c r="BEH86" s="1251"/>
      <c r="BEI86" s="1251"/>
      <c r="BEJ86" s="1251"/>
      <c r="BEK86" s="1251"/>
      <c r="BEL86" s="1251"/>
      <c r="BEM86" s="1251"/>
      <c r="BEN86" s="1251"/>
      <c r="BEO86" s="1251"/>
      <c r="BEP86" s="1251"/>
      <c r="BEQ86" s="1251"/>
      <c r="BER86" s="1251"/>
      <c r="BES86" s="1251"/>
      <c r="BET86" s="1251"/>
      <c r="BEU86" s="1251"/>
      <c r="BEV86" s="1251"/>
      <c r="BEW86" s="1251"/>
      <c r="BEX86" s="1251"/>
      <c r="BEY86" s="1251"/>
      <c r="BEZ86" s="1251"/>
      <c r="BFA86" s="1251"/>
      <c r="BFB86" s="1251"/>
      <c r="BFC86" s="1251"/>
      <c r="BFD86" s="1251"/>
      <c r="BFE86" s="1251"/>
      <c r="BFF86" s="1251"/>
      <c r="BFG86" s="1251"/>
      <c r="BFH86" s="1251"/>
      <c r="BFI86" s="1251"/>
      <c r="BFJ86" s="1251"/>
      <c r="BFK86" s="1251"/>
      <c r="BFL86" s="1251"/>
      <c r="BFM86" s="1251"/>
      <c r="BFN86" s="1251"/>
      <c r="BFO86" s="1251"/>
      <c r="BFP86" s="1251"/>
      <c r="BFQ86" s="1251"/>
      <c r="BFR86" s="1251"/>
      <c r="BFS86" s="1251"/>
      <c r="BFT86" s="1251"/>
      <c r="BFU86" s="1251"/>
      <c r="BFV86" s="1251"/>
      <c r="BFW86" s="1251"/>
      <c r="BFX86" s="1251"/>
      <c r="BFY86" s="1251"/>
      <c r="BFZ86" s="1251"/>
      <c r="BGA86" s="1251"/>
      <c r="BGB86" s="1251"/>
      <c r="BGC86" s="1251"/>
      <c r="BGD86" s="1251"/>
      <c r="BGE86" s="1251"/>
      <c r="BGF86" s="1251"/>
      <c r="BGG86" s="1251"/>
      <c r="BGH86" s="1251"/>
      <c r="BGI86" s="1251"/>
      <c r="BGJ86" s="1251"/>
      <c r="BGK86" s="1251"/>
      <c r="BGL86" s="1251"/>
      <c r="BGM86" s="1251"/>
      <c r="BGN86" s="1251"/>
      <c r="BGO86" s="1251"/>
      <c r="BGP86" s="1251"/>
      <c r="BGQ86" s="1251"/>
      <c r="BGR86" s="1251"/>
      <c r="BGS86" s="1251"/>
      <c r="BGT86" s="1251"/>
      <c r="BGU86" s="1251"/>
      <c r="BGV86" s="1251"/>
      <c r="BGW86" s="1251"/>
      <c r="BGX86" s="1251"/>
      <c r="BGY86" s="1251"/>
      <c r="BGZ86" s="1251"/>
      <c r="BHA86" s="1251"/>
      <c r="BHB86" s="1251"/>
      <c r="BHC86" s="1251"/>
      <c r="BHD86" s="1251"/>
      <c r="BHE86" s="1251"/>
      <c r="BHF86" s="1251"/>
      <c r="BHG86" s="1251"/>
      <c r="BHH86" s="1251"/>
      <c r="BHI86" s="1251"/>
      <c r="BHJ86" s="1251"/>
      <c r="BHK86" s="1251"/>
      <c r="BHL86" s="1251"/>
      <c r="BHM86" s="1251"/>
      <c r="BHN86" s="1251"/>
      <c r="BHO86" s="1251"/>
      <c r="BHP86" s="1251"/>
      <c r="BHQ86" s="1251"/>
      <c r="BHR86" s="1251"/>
      <c r="BHS86" s="1251"/>
      <c r="BHT86" s="1251"/>
      <c r="BHU86" s="1251"/>
      <c r="BHV86" s="1251"/>
      <c r="BHW86" s="1251"/>
      <c r="BHX86" s="1251"/>
      <c r="BHY86" s="1251"/>
      <c r="BHZ86" s="1251"/>
      <c r="BIA86" s="1251"/>
      <c r="BIB86" s="1251"/>
      <c r="BIC86" s="1251"/>
      <c r="BID86" s="1251"/>
      <c r="BIE86" s="1251"/>
      <c r="BIF86" s="1251"/>
      <c r="BIG86" s="1251"/>
      <c r="BIH86" s="1251"/>
      <c r="BII86" s="1251"/>
      <c r="BIJ86" s="1251"/>
      <c r="BIK86" s="1251"/>
      <c r="BIL86" s="1251"/>
      <c r="BIM86" s="1251"/>
      <c r="BIN86" s="1251"/>
      <c r="BIO86" s="1251"/>
      <c r="BIP86" s="1251"/>
      <c r="BIQ86" s="1251"/>
      <c r="BIR86" s="1251"/>
      <c r="BIS86" s="1251"/>
      <c r="BIT86" s="1251"/>
      <c r="BIU86" s="1251"/>
      <c r="BIV86" s="1251"/>
      <c r="BIW86" s="1251"/>
      <c r="BIX86" s="1251"/>
      <c r="BIY86" s="1251"/>
      <c r="BIZ86" s="1251"/>
      <c r="BJA86" s="1251"/>
      <c r="BJB86" s="1251"/>
      <c r="BJC86" s="1251"/>
      <c r="BJD86" s="1251"/>
      <c r="BJE86" s="1251"/>
      <c r="BJF86" s="1251"/>
      <c r="BJG86" s="1251"/>
      <c r="BJH86" s="1251"/>
      <c r="BJI86" s="1251"/>
      <c r="BJJ86" s="1251"/>
      <c r="BJK86" s="1251"/>
      <c r="BJL86" s="1251"/>
      <c r="BJM86" s="1251"/>
      <c r="BJN86" s="1251"/>
      <c r="BJO86" s="1251"/>
      <c r="BJP86" s="1251"/>
      <c r="BJQ86" s="1251"/>
      <c r="BJR86" s="1251"/>
      <c r="BJS86" s="1251"/>
      <c r="BJT86" s="1251"/>
      <c r="BJU86" s="1251"/>
      <c r="BJV86" s="1251"/>
      <c r="BJW86" s="1251"/>
      <c r="BJX86" s="1251"/>
      <c r="BJY86" s="1251"/>
      <c r="BJZ86" s="1251"/>
      <c r="BKA86" s="1251"/>
      <c r="BKB86" s="1251"/>
      <c r="BKC86" s="1251"/>
      <c r="BKD86" s="1251"/>
      <c r="BKE86" s="1251"/>
      <c r="BKF86" s="1251"/>
      <c r="BKG86" s="1251"/>
      <c r="BKH86" s="1251"/>
      <c r="BKI86" s="1251"/>
      <c r="BKJ86" s="1251"/>
      <c r="BKK86" s="1251"/>
      <c r="BKL86" s="1251"/>
      <c r="BKM86" s="1251"/>
      <c r="BKN86" s="1251"/>
      <c r="BKO86" s="1251"/>
      <c r="BKP86" s="1251"/>
      <c r="BKQ86" s="1251"/>
      <c r="BKR86" s="1251"/>
      <c r="BKS86" s="1251"/>
      <c r="BKT86" s="1251"/>
      <c r="BKU86" s="1251"/>
      <c r="BKV86" s="1251"/>
      <c r="BKW86" s="1251"/>
      <c r="BKX86" s="1251"/>
      <c r="BKY86" s="1251"/>
      <c r="BKZ86" s="1251"/>
      <c r="BLA86" s="1251"/>
      <c r="BLB86" s="1251"/>
      <c r="BLC86" s="1251"/>
      <c r="BLD86" s="1251"/>
      <c r="BLE86" s="1251"/>
      <c r="BLF86" s="1251"/>
      <c r="BLG86" s="1251"/>
      <c r="BLH86" s="1251"/>
      <c r="BLI86" s="1251"/>
      <c r="BLJ86" s="1251"/>
      <c r="BLK86" s="1251"/>
      <c r="BLL86" s="1251"/>
      <c r="BLM86" s="1251"/>
      <c r="BLN86" s="1251"/>
      <c r="BLO86" s="1251"/>
      <c r="BLP86" s="1251"/>
      <c r="BLQ86" s="1251"/>
      <c r="BLR86" s="1251"/>
      <c r="BLS86" s="1251"/>
      <c r="BLT86" s="1251"/>
      <c r="BLU86" s="1251"/>
      <c r="BLV86" s="1251"/>
      <c r="BLW86" s="1251"/>
      <c r="BLX86" s="1251"/>
      <c r="BLY86" s="1251"/>
      <c r="BLZ86" s="1251"/>
      <c r="BMA86" s="1251"/>
      <c r="BMB86" s="1251"/>
      <c r="BMC86" s="1251"/>
      <c r="BMD86" s="1251"/>
      <c r="BME86" s="1251"/>
      <c r="BMF86" s="1251"/>
      <c r="BMG86" s="1251"/>
      <c r="BMH86" s="1251"/>
      <c r="BMI86" s="1251"/>
      <c r="BMJ86" s="1251"/>
      <c r="BMK86" s="1251"/>
      <c r="BML86" s="1251"/>
      <c r="BMM86" s="1251"/>
      <c r="BMN86" s="1251"/>
      <c r="BMO86" s="1251"/>
      <c r="BMP86" s="1251"/>
      <c r="BMQ86" s="1251"/>
      <c r="BMR86" s="1251"/>
      <c r="BMS86" s="1251"/>
      <c r="BMT86" s="1251"/>
      <c r="BMU86" s="1251"/>
      <c r="BMV86" s="1251"/>
      <c r="BMW86" s="1251"/>
      <c r="BMX86" s="1251"/>
      <c r="BMY86" s="1251"/>
      <c r="BMZ86" s="1251"/>
      <c r="BNA86" s="1251"/>
      <c r="BNB86" s="1251"/>
      <c r="BNC86" s="1251"/>
      <c r="BND86" s="1251"/>
      <c r="BNE86" s="1251"/>
      <c r="BNF86" s="1251"/>
      <c r="BNG86" s="1251"/>
      <c r="BNH86" s="1251"/>
      <c r="BNI86" s="1251"/>
      <c r="BNJ86" s="1251"/>
      <c r="BNK86" s="1251"/>
      <c r="BNL86" s="1251"/>
      <c r="BNM86" s="1251"/>
      <c r="BNN86" s="1251"/>
      <c r="BNO86" s="1251"/>
      <c r="BNP86" s="1251"/>
      <c r="BNQ86" s="1251"/>
      <c r="BNR86" s="1251"/>
      <c r="BNS86" s="1251"/>
      <c r="BNT86" s="1251"/>
      <c r="BNU86" s="1251"/>
      <c r="BNV86" s="1251"/>
      <c r="BNW86" s="1251"/>
      <c r="BNX86" s="1251"/>
      <c r="BNY86" s="1251"/>
      <c r="BNZ86" s="1251"/>
      <c r="BOA86" s="1251"/>
      <c r="BOB86" s="1251"/>
      <c r="BOC86" s="1251"/>
      <c r="BOD86" s="1251"/>
      <c r="BOE86" s="1251"/>
      <c r="BOF86" s="1251"/>
      <c r="BOG86" s="1251"/>
      <c r="BOH86" s="1251"/>
      <c r="BOI86" s="1251"/>
      <c r="BOJ86" s="1251"/>
      <c r="BOK86" s="1251"/>
      <c r="BOL86" s="1251"/>
      <c r="BOM86" s="1251"/>
      <c r="BON86" s="1251"/>
      <c r="BOO86" s="1251"/>
      <c r="BOP86" s="1251"/>
      <c r="BOQ86" s="1251"/>
      <c r="BOR86" s="1251"/>
      <c r="BOS86" s="1251"/>
      <c r="BOT86" s="1251"/>
      <c r="BOU86" s="1251"/>
      <c r="BOV86" s="1251"/>
      <c r="BOW86" s="1251"/>
      <c r="BOX86" s="1251"/>
      <c r="BOY86" s="1251"/>
      <c r="BOZ86" s="1251"/>
      <c r="BPA86" s="1251"/>
      <c r="BPB86" s="1251"/>
      <c r="BPC86" s="1251"/>
      <c r="BPD86" s="1251"/>
      <c r="BPE86" s="1251"/>
      <c r="BPF86" s="1251"/>
      <c r="BPG86" s="1251"/>
      <c r="BPH86" s="1251"/>
      <c r="BPI86" s="1251"/>
      <c r="BPJ86" s="1251"/>
      <c r="BPK86" s="1251"/>
      <c r="BPL86" s="1251"/>
      <c r="BPM86" s="1251"/>
      <c r="BPN86" s="1251"/>
      <c r="BPO86" s="1251"/>
      <c r="BPP86" s="1251"/>
      <c r="BPQ86" s="1251"/>
      <c r="BPR86" s="1251"/>
      <c r="BPS86" s="1251"/>
      <c r="BPT86" s="1251"/>
      <c r="BPU86" s="1251"/>
      <c r="BPV86" s="1251"/>
      <c r="BPW86" s="1251"/>
      <c r="BPX86" s="1251"/>
      <c r="BPY86" s="1251"/>
      <c r="BPZ86" s="1251"/>
      <c r="BQA86" s="1251"/>
      <c r="BQB86" s="1251"/>
      <c r="BQC86" s="1251"/>
      <c r="BQD86" s="1251"/>
      <c r="BQE86" s="1251"/>
      <c r="BQF86" s="1251"/>
      <c r="BQG86" s="1251"/>
      <c r="BQH86" s="1251"/>
      <c r="BQI86" s="1251"/>
      <c r="BQJ86" s="1251"/>
      <c r="BQK86" s="1251"/>
      <c r="BQL86" s="1251"/>
      <c r="BQM86" s="1251"/>
      <c r="BQN86" s="1251"/>
      <c r="BQO86" s="1251"/>
      <c r="BQP86" s="1251"/>
      <c r="BQQ86" s="1251"/>
      <c r="BQR86" s="1251"/>
      <c r="BQS86" s="1251"/>
      <c r="BQT86" s="1251"/>
      <c r="BQU86" s="1251"/>
      <c r="BQV86" s="1251"/>
      <c r="BQW86" s="1251"/>
      <c r="BQX86" s="1251"/>
      <c r="BQY86" s="1251"/>
      <c r="BQZ86" s="1251"/>
      <c r="BRA86" s="1251"/>
      <c r="BRB86" s="1251"/>
      <c r="BRC86" s="1251"/>
      <c r="BRD86" s="1251"/>
      <c r="BRE86" s="1251"/>
      <c r="BRF86" s="1251"/>
      <c r="BRG86" s="1251"/>
      <c r="BRH86" s="1251"/>
      <c r="BRI86" s="1251"/>
      <c r="BRJ86" s="1251"/>
      <c r="BRK86" s="1251"/>
      <c r="BRL86" s="1251"/>
      <c r="BRM86" s="1251"/>
      <c r="BRN86" s="1251"/>
      <c r="BRO86" s="1251"/>
      <c r="BRP86" s="1251"/>
      <c r="BRQ86" s="1251"/>
      <c r="BRR86" s="1251"/>
      <c r="BRS86" s="1251"/>
      <c r="BRT86" s="1251"/>
      <c r="BRU86" s="1251"/>
      <c r="BRV86" s="1251"/>
      <c r="BRW86" s="1251"/>
      <c r="BRX86" s="1251"/>
      <c r="BRY86" s="1251"/>
      <c r="BRZ86" s="1251"/>
      <c r="BSA86" s="1251"/>
      <c r="BSB86" s="1251"/>
      <c r="BSC86" s="1251"/>
      <c r="BSD86" s="1251"/>
      <c r="BSE86" s="1251"/>
      <c r="BSF86" s="1251"/>
      <c r="BSG86" s="1251"/>
      <c r="BSH86" s="1251"/>
      <c r="BSI86" s="1251"/>
      <c r="BSJ86" s="1251"/>
      <c r="BSK86" s="1251"/>
      <c r="BSL86" s="1251"/>
      <c r="BSM86" s="1251"/>
      <c r="BSN86" s="1251"/>
      <c r="BSO86" s="1251"/>
      <c r="BSP86" s="1251"/>
      <c r="BSQ86" s="1251"/>
      <c r="BSR86" s="1251"/>
      <c r="BSS86" s="1251"/>
      <c r="BST86" s="1251"/>
      <c r="BSU86" s="1251"/>
      <c r="BSV86" s="1251"/>
      <c r="BSW86" s="1251"/>
      <c r="BSX86" s="1251"/>
      <c r="BSY86" s="1251"/>
      <c r="BSZ86" s="1251"/>
      <c r="BTA86" s="1251"/>
      <c r="BTB86" s="1251"/>
      <c r="BTC86" s="1251"/>
      <c r="BTD86" s="1251"/>
      <c r="BTE86" s="1251"/>
      <c r="BTF86" s="1251"/>
      <c r="BTG86" s="1251"/>
      <c r="BTH86" s="1251"/>
      <c r="BTI86" s="1251"/>
    </row>
    <row r="87" spans="1:1881" s="1261" customFormat="1" ht="72" hidden="1" customHeight="1" thickBot="1" x14ac:dyDescent="0.35">
      <c r="A87" s="1248">
        <v>23</v>
      </c>
      <c r="B87" s="593" t="s">
        <v>60</v>
      </c>
      <c r="C87" s="593" t="s">
        <v>152</v>
      </c>
      <c r="D87" s="24" t="s">
        <v>1376</v>
      </c>
      <c r="E87" s="1249" t="e">
        <f>HLOOKUP($D$2,'2020 Data(H)'!$C$1:$CZ$426,18,FALSE)</f>
        <v>#N/A</v>
      </c>
      <c r="F87" s="1263">
        <v>0</v>
      </c>
      <c r="G87" s="727">
        <f>IF(H87=0,,"Error: Total revenues less total expenditures do not equal total change in fund balance.  Account numbers 16-532+17-20+533+22+508-509-23=0  The amount of the formula is located in the cell to the right")</f>
        <v>0</v>
      </c>
      <c r="H87" s="730">
        <f>+F78-F80+F81-F82+F83+F86+F84-F85-F87</f>
        <v>0</v>
      </c>
      <c r="I87" s="760"/>
      <c r="J87" s="1252"/>
      <c r="K87" s="1251"/>
      <c r="L87" s="701"/>
      <c r="M87" s="1251"/>
      <c r="N87" s="1253"/>
      <c r="O87" s="1251"/>
      <c r="P87" s="1251"/>
      <c r="Q87" s="1251"/>
      <c r="R87" s="1251"/>
      <c r="S87" s="1251"/>
      <c r="T87" s="1251"/>
      <c r="U87" s="1251"/>
      <c r="V87" s="1251"/>
      <c r="W87" s="1251"/>
      <c r="X87" s="1251"/>
      <c r="Y87" s="1251"/>
      <c r="Z87" s="1248"/>
      <c r="AA87" s="1248"/>
      <c r="AB87" s="1248"/>
      <c r="AC87" s="1248"/>
      <c r="AD87" s="1248"/>
      <c r="AE87" s="1248"/>
      <c r="AF87" s="1248"/>
      <c r="AG87" s="1248"/>
      <c r="AH87" s="1248"/>
      <c r="AI87" s="1248"/>
      <c r="AJ87" s="1248"/>
      <c r="AK87" s="1248"/>
      <c r="AL87" s="1248"/>
      <c r="AM87" s="1248"/>
      <c r="AN87" s="1248"/>
      <c r="AO87" s="1248"/>
      <c r="AP87" s="1248"/>
      <c r="AQ87" s="1248"/>
      <c r="AR87" s="1248"/>
      <c r="AS87" s="1251"/>
      <c r="AT87" s="1251"/>
      <c r="AU87" s="1251"/>
      <c r="AV87" s="1251"/>
      <c r="AW87" s="1251"/>
      <c r="AX87" s="1251"/>
      <c r="AY87" s="1251"/>
      <c r="AZ87" s="1251"/>
      <c r="BA87" s="1251"/>
      <c r="BB87" s="1251"/>
      <c r="BC87" s="1251"/>
      <c r="BD87" s="1251"/>
      <c r="BE87" s="1251"/>
      <c r="BF87" s="1251"/>
      <c r="BG87" s="1251"/>
      <c r="BH87" s="1251"/>
      <c r="BI87" s="1251"/>
      <c r="BJ87" s="1251"/>
      <c r="BK87" s="1251"/>
      <c r="BL87" s="1251"/>
      <c r="BM87" s="1251"/>
      <c r="BN87" s="1251"/>
      <c r="BO87" s="1251"/>
      <c r="BP87" s="1251"/>
      <c r="BQ87" s="1251"/>
      <c r="BR87" s="1251"/>
      <c r="BS87" s="1251"/>
      <c r="BT87" s="1251"/>
      <c r="BU87" s="1251"/>
      <c r="BV87" s="1251"/>
      <c r="BW87" s="1251"/>
      <c r="BX87" s="1251"/>
      <c r="BY87" s="1251"/>
      <c r="BZ87" s="1251"/>
      <c r="CA87" s="1251"/>
      <c r="CB87" s="1251"/>
      <c r="CC87" s="1251"/>
      <c r="CD87" s="1251"/>
      <c r="CE87" s="1251"/>
      <c r="CF87" s="1251"/>
      <c r="CG87" s="1251"/>
      <c r="CH87" s="1251"/>
      <c r="CI87" s="1251"/>
      <c r="CJ87" s="1251"/>
      <c r="CK87" s="1251"/>
      <c r="CL87" s="1251"/>
      <c r="CM87" s="1251"/>
      <c r="CN87" s="1251"/>
      <c r="CO87" s="1251"/>
      <c r="CP87" s="1251"/>
      <c r="CQ87" s="1251"/>
      <c r="CR87" s="1251"/>
      <c r="CS87" s="1251"/>
      <c r="CT87" s="1251"/>
      <c r="CU87" s="1251"/>
      <c r="CV87" s="1251"/>
      <c r="CW87" s="1251"/>
      <c r="CX87" s="1251"/>
      <c r="CY87" s="1251"/>
      <c r="CZ87" s="1251"/>
      <c r="DA87" s="1251"/>
      <c r="DB87" s="1251"/>
      <c r="DC87" s="1251"/>
      <c r="DD87" s="1251"/>
      <c r="DE87" s="1251"/>
      <c r="DF87" s="1251"/>
      <c r="DG87" s="1251"/>
      <c r="DH87" s="1251"/>
      <c r="DI87" s="1251"/>
      <c r="DJ87" s="1251"/>
      <c r="DK87" s="1251"/>
      <c r="DL87" s="1251"/>
      <c r="DM87" s="1251"/>
      <c r="DN87" s="1251"/>
      <c r="DO87" s="1251"/>
      <c r="DP87" s="1251"/>
      <c r="DQ87" s="1251"/>
      <c r="DR87" s="1251"/>
      <c r="DS87" s="1251"/>
      <c r="DT87" s="1251"/>
      <c r="DU87" s="1251"/>
      <c r="DV87" s="1251"/>
      <c r="DW87" s="1251"/>
      <c r="DX87" s="1251"/>
      <c r="DY87" s="1251"/>
      <c r="DZ87" s="1251"/>
      <c r="EA87" s="1251"/>
      <c r="EB87" s="1251"/>
      <c r="EC87" s="1251"/>
      <c r="ED87" s="1251"/>
      <c r="EE87" s="1251"/>
      <c r="EF87" s="1251"/>
      <c r="EG87" s="1251"/>
      <c r="EH87" s="1251"/>
      <c r="EI87" s="1251"/>
      <c r="EJ87" s="1251"/>
      <c r="EK87" s="1251"/>
      <c r="EL87" s="1251"/>
      <c r="EM87" s="1251"/>
      <c r="EN87" s="1251"/>
      <c r="EO87" s="1251"/>
      <c r="EP87" s="1251"/>
      <c r="EQ87" s="1251"/>
      <c r="ER87" s="1251"/>
      <c r="ES87" s="1251"/>
      <c r="ET87" s="1251"/>
      <c r="EU87" s="1251"/>
      <c r="EV87" s="1251"/>
      <c r="EW87" s="1251"/>
      <c r="EX87" s="1251"/>
      <c r="EY87" s="1251"/>
      <c r="EZ87" s="1251"/>
      <c r="FA87" s="1251"/>
      <c r="FB87" s="1251"/>
      <c r="FC87" s="1251"/>
      <c r="FD87" s="1251"/>
      <c r="FE87" s="1251"/>
      <c r="FF87" s="1251"/>
      <c r="FG87" s="1251"/>
      <c r="FH87" s="1251"/>
      <c r="FI87" s="1251"/>
      <c r="FJ87" s="1251"/>
      <c r="FK87" s="1251"/>
      <c r="FL87" s="1251"/>
      <c r="FM87" s="1251"/>
      <c r="FN87" s="1251"/>
      <c r="FO87" s="1251"/>
      <c r="FP87" s="1251"/>
      <c r="FQ87" s="1251"/>
      <c r="FR87" s="1251"/>
      <c r="FS87" s="1251"/>
      <c r="FT87" s="1251"/>
      <c r="FU87" s="1251"/>
      <c r="FV87" s="1251"/>
      <c r="FW87" s="1251"/>
      <c r="FX87" s="1251"/>
      <c r="FY87" s="1251"/>
      <c r="FZ87" s="1251"/>
      <c r="GA87" s="1251"/>
      <c r="GB87" s="1251"/>
      <c r="GC87" s="1251"/>
      <c r="GD87" s="1251"/>
      <c r="GE87" s="1251"/>
      <c r="GF87" s="1251"/>
      <c r="GG87" s="1251"/>
      <c r="GH87" s="1251"/>
      <c r="GI87" s="1251"/>
      <c r="GJ87" s="1251"/>
      <c r="GK87" s="1251"/>
      <c r="GL87" s="1251"/>
      <c r="GM87" s="1251"/>
      <c r="GN87" s="1251"/>
      <c r="GO87" s="1251"/>
      <c r="GP87" s="1251"/>
      <c r="GQ87" s="1251"/>
      <c r="GR87" s="1251"/>
      <c r="GS87" s="1251"/>
      <c r="GT87" s="1251"/>
      <c r="GU87" s="1251"/>
      <c r="GV87" s="1251"/>
      <c r="GW87" s="1251"/>
      <c r="GX87" s="1251"/>
      <c r="GY87" s="1251"/>
      <c r="GZ87" s="1251"/>
      <c r="HA87" s="1251"/>
      <c r="HB87" s="1251"/>
      <c r="HC87" s="1251"/>
      <c r="HD87" s="1251"/>
      <c r="HE87" s="1251"/>
      <c r="HF87" s="1251"/>
      <c r="HG87" s="1251"/>
      <c r="HH87" s="1251"/>
      <c r="HI87" s="1251"/>
      <c r="HJ87" s="1251"/>
      <c r="HK87" s="1251"/>
      <c r="HL87" s="1251"/>
      <c r="HM87" s="1251"/>
      <c r="HN87" s="1251"/>
      <c r="HO87" s="1251"/>
      <c r="HP87" s="1251"/>
      <c r="HQ87" s="1251"/>
      <c r="HR87" s="1251"/>
      <c r="HS87" s="1251"/>
      <c r="HT87" s="1251"/>
      <c r="HU87" s="1251"/>
      <c r="HV87" s="1251"/>
      <c r="HW87" s="1251"/>
      <c r="HX87" s="1251"/>
      <c r="HY87" s="1251"/>
      <c r="HZ87" s="1251"/>
      <c r="IA87" s="1251"/>
      <c r="IB87" s="1251"/>
      <c r="IC87" s="1251"/>
      <c r="ID87" s="1251"/>
      <c r="IE87" s="1251"/>
      <c r="IF87" s="1251"/>
      <c r="IG87" s="1251"/>
      <c r="IH87" s="1251"/>
      <c r="II87" s="1251"/>
      <c r="IJ87" s="1251"/>
      <c r="IK87" s="1251"/>
      <c r="IL87" s="1251"/>
      <c r="IM87" s="1251"/>
      <c r="IN87" s="1251"/>
      <c r="IO87" s="1251"/>
      <c r="IP87" s="1251"/>
      <c r="IQ87" s="1251"/>
      <c r="IR87" s="1251"/>
      <c r="IS87" s="1251"/>
      <c r="IT87" s="1251"/>
      <c r="IU87" s="1251"/>
      <c r="IV87" s="1251"/>
      <c r="IW87" s="1251"/>
      <c r="IX87" s="1251"/>
      <c r="IY87" s="1251"/>
      <c r="IZ87" s="1251"/>
      <c r="JA87" s="1251"/>
      <c r="JB87" s="1251"/>
      <c r="JC87" s="1251"/>
      <c r="JD87" s="1251"/>
      <c r="JE87" s="1251"/>
      <c r="JF87" s="1251"/>
      <c r="JG87" s="1251"/>
      <c r="JH87" s="1251"/>
      <c r="JI87" s="1251"/>
      <c r="JJ87" s="1251"/>
      <c r="JK87" s="1251"/>
      <c r="JL87" s="1251"/>
      <c r="JM87" s="1251"/>
      <c r="JN87" s="1251"/>
      <c r="JO87" s="1251"/>
      <c r="JP87" s="1251"/>
      <c r="JQ87" s="1251"/>
      <c r="JR87" s="1251"/>
      <c r="JS87" s="1251"/>
      <c r="JT87" s="1251"/>
      <c r="JU87" s="1251"/>
      <c r="JV87" s="1251"/>
      <c r="JW87" s="1251"/>
      <c r="JX87" s="1251"/>
      <c r="JY87" s="1251"/>
      <c r="JZ87" s="1251"/>
      <c r="KA87" s="1251"/>
      <c r="KB87" s="1251"/>
      <c r="KC87" s="1251"/>
      <c r="KD87" s="1251"/>
      <c r="KE87" s="1251"/>
      <c r="KF87" s="1251"/>
      <c r="KG87" s="1251"/>
      <c r="KH87" s="1251"/>
      <c r="KI87" s="1251"/>
      <c r="KJ87" s="1251"/>
      <c r="KK87" s="1251"/>
      <c r="KL87" s="1251"/>
      <c r="KM87" s="1251"/>
      <c r="KN87" s="1251"/>
      <c r="KO87" s="1251"/>
      <c r="KP87" s="1251"/>
      <c r="KQ87" s="1251"/>
      <c r="KR87" s="1251"/>
      <c r="KS87" s="1251"/>
      <c r="KT87" s="1251"/>
      <c r="KU87" s="1251"/>
      <c r="KV87" s="1251"/>
      <c r="KW87" s="1251"/>
      <c r="KX87" s="1251"/>
      <c r="KY87" s="1251"/>
      <c r="KZ87" s="1251"/>
      <c r="LA87" s="1251"/>
      <c r="LB87" s="1251"/>
      <c r="LC87" s="1251"/>
      <c r="LD87" s="1251"/>
      <c r="LE87" s="1251"/>
      <c r="LF87" s="1251"/>
      <c r="LG87" s="1251"/>
      <c r="LH87" s="1251"/>
      <c r="LI87" s="1251"/>
      <c r="LJ87" s="1251"/>
      <c r="LK87" s="1251"/>
      <c r="LL87" s="1251"/>
      <c r="LM87" s="1251"/>
      <c r="LN87" s="1251"/>
      <c r="LO87" s="1251"/>
      <c r="LP87" s="1251"/>
      <c r="LQ87" s="1251"/>
      <c r="LR87" s="1251"/>
      <c r="LS87" s="1251"/>
      <c r="LT87" s="1251"/>
      <c r="LU87" s="1251"/>
      <c r="LV87" s="1251"/>
      <c r="LW87" s="1251"/>
      <c r="LX87" s="1251"/>
      <c r="LY87" s="1251"/>
      <c r="LZ87" s="1251"/>
      <c r="MA87" s="1251"/>
      <c r="MB87" s="1251"/>
      <c r="MC87" s="1251"/>
      <c r="MD87" s="1251"/>
      <c r="ME87" s="1251"/>
      <c r="MF87" s="1251"/>
      <c r="MG87" s="1251"/>
      <c r="MH87" s="1251"/>
      <c r="MI87" s="1251"/>
      <c r="MJ87" s="1251"/>
      <c r="MK87" s="1251"/>
      <c r="ML87" s="1251"/>
      <c r="MM87" s="1251"/>
      <c r="MN87" s="1251"/>
      <c r="MO87" s="1251"/>
      <c r="MP87" s="1251"/>
      <c r="MQ87" s="1251"/>
      <c r="MR87" s="1251"/>
      <c r="MS87" s="1251"/>
      <c r="MT87" s="1251"/>
      <c r="MU87" s="1251"/>
      <c r="MV87" s="1251"/>
      <c r="MW87" s="1251"/>
      <c r="MX87" s="1251"/>
      <c r="MY87" s="1251"/>
      <c r="MZ87" s="1251"/>
      <c r="NA87" s="1251"/>
      <c r="NB87" s="1251"/>
      <c r="NC87" s="1251"/>
      <c r="ND87" s="1251"/>
      <c r="NE87" s="1251"/>
      <c r="NF87" s="1251"/>
      <c r="NG87" s="1251"/>
      <c r="NH87" s="1251"/>
      <c r="NI87" s="1251"/>
      <c r="NJ87" s="1251"/>
      <c r="NK87" s="1251"/>
      <c r="NL87" s="1251"/>
      <c r="NM87" s="1251"/>
      <c r="NN87" s="1251"/>
      <c r="NO87" s="1251"/>
      <c r="NP87" s="1251"/>
      <c r="NQ87" s="1251"/>
      <c r="NR87" s="1251"/>
      <c r="NS87" s="1251"/>
      <c r="NT87" s="1251"/>
      <c r="NU87" s="1251"/>
      <c r="NV87" s="1251"/>
      <c r="NW87" s="1251"/>
      <c r="NX87" s="1251"/>
      <c r="NY87" s="1251"/>
      <c r="NZ87" s="1251"/>
      <c r="OA87" s="1251"/>
      <c r="OB87" s="1251"/>
      <c r="OC87" s="1251"/>
      <c r="OD87" s="1251"/>
      <c r="OE87" s="1251"/>
      <c r="OF87" s="1251"/>
      <c r="OG87" s="1251"/>
      <c r="OH87" s="1251"/>
      <c r="OI87" s="1251"/>
      <c r="OJ87" s="1251"/>
      <c r="OK87" s="1251"/>
      <c r="OL87" s="1251"/>
      <c r="OM87" s="1251"/>
      <c r="ON87" s="1251"/>
      <c r="OO87" s="1251"/>
      <c r="OP87" s="1251"/>
      <c r="OQ87" s="1251"/>
      <c r="OR87" s="1251"/>
      <c r="OS87" s="1251"/>
      <c r="OT87" s="1251"/>
      <c r="OU87" s="1251"/>
      <c r="OV87" s="1251"/>
      <c r="OW87" s="1251"/>
      <c r="OX87" s="1251"/>
      <c r="OY87" s="1251"/>
      <c r="OZ87" s="1251"/>
      <c r="PA87" s="1251"/>
      <c r="PB87" s="1251"/>
      <c r="PC87" s="1251"/>
      <c r="PD87" s="1251"/>
      <c r="PE87" s="1251"/>
      <c r="PF87" s="1251"/>
      <c r="PG87" s="1251"/>
      <c r="PH87" s="1251"/>
      <c r="PI87" s="1251"/>
      <c r="PJ87" s="1251"/>
      <c r="PK87" s="1251"/>
      <c r="PL87" s="1251"/>
      <c r="PM87" s="1251"/>
      <c r="PN87" s="1251"/>
      <c r="PO87" s="1251"/>
      <c r="PP87" s="1251"/>
      <c r="PQ87" s="1251"/>
      <c r="PR87" s="1251"/>
      <c r="PS87" s="1251"/>
      <c r="PT87" s="1251"/>
      <c r="PU87" s="1251"/>
      <c r="PV87" s="1251"/>
      <c r="PW87" s="1251"/>
      <c r="PX87" s="1251"/>
      <c r="PY87" s="1251"/>
      <c r="PZ87" s="1251"/>
      <c r="QA87" s="1251"/>
      <c r="QB87" s="1251"/>
      <c r="QC87" s="1251"/>
      <c r="QD87" s="1251"/>
      <c r="QE87" s="1251"/>
      <c r="QF87" s="1251"/>
      <c r="QG87" s="1251"/>
      <c r="QH87" s="1251"/>
      <c r="QI87" s="1251"/>
      <c r="QJ87" s="1251"/>
      <c r="QK87" s="1251"/>
      <c r="QL87" s="1251"/>
      <c r="QM87" s="1251"/>
      <c r="QN87" s="1251"/>
      <c r="QO87" s="1251"/>
      <c r="QP87" s="1251"/>
      <c r="QQ87" s="1251"/>
      <c r="QR87" s="1251"/>
      <c r="QS87" s="1251"/>
      <c r="QT87" s="1251"/>
      <c r="QU87" s="1251"/>
      <c r="QV87" s="1251"/>
      <c r="QW87" s="1251"/>
      <c r="QX87" s="1251"/>
      <c r="QY87" s="1251"/>
      <c r="QZ87" s="1251"/>
      <c r="RA87" s="1251"/>
      <c r="RB87" s="1251"/>
      <c r="RC87" s="1251"/>
      <c r="RD87" s="1251"/>
      <c r="RE87" s="1251"/>
      <c r="RF87" s="1251"/>
      <c r="RG87" s="1251"/>
      <c r="RH87" s="1251"/>
      <c r="RI87" s="1251"/>
      <c r="RJ87" s="1251"/>
      <c r="RK87" s="1251"/>
      <c r="RL87" s="1251"/>
      <c r="RM87" s="1251"/>
      <c r="RN87" s="1251"/>
      <c r="RO87" s="1251"/>
      <c r="RP87" s="1251"/>
      <c r="RQ87" s="1251"/>
      <c r="RR87" s="1251"/>
      <c r="RS87" s="1251"/>
      <c r="RT87" s="1251"/>
      <c r="RU87" s="1251"/>
      <c r="RV87" s="1251"/>
      <c r="RW87" s="1251"/>
      <c r="RX87" s="1251"/>
      <c r="RY87" s="1251"/>
      <c r="RZ87" s="1251"/>
      <c r="SA87" s="1251"/>
      <c r="SB87" s="1251"/>
      <c r="SC87" s="1251"/>
      <c r="SD87" s="1251"/>
      <c r="SE87" s="1251"/>
      <c r="SF87" s="1251"/>
      <c r="SG87" s="1251"/>
      <c r="SH87" s="1251"/>
      <c r="SI87" s="1251"/>
      <c r="SJ87" s="1251"/>
      <c r="SK87" s="1251"/>
      <c r="SL87" s="1251"/>
      <c r="SM87" s="1251"/>
      <c r="SN87" s="1251"/>
      <c r="SO87" s="1251"/>
      <c r="SP87" s="1251"/>
      <c r="SQ87" s="1251"/>
      <c r="SR87" s="1251"/>
      <c r="SS87" s="1251"/>
      <c r="ST87" s="1251"/>
      <c r="SU87" s="1251"/>
      <c r="SV87" s="1251"/>
      <c r="SW87" s="1251"/>
      <c r="SX87" s="1251"/>
      <c r="SY87" s="1251"/>
      <c r="SZ87" s="1251"/>
      <c r="TA87" s="1251"/>
      <c r="TB87" s="1251"/>
      <c r="TC87" s="1251"/>
      <c r="TD87" s="1251"/>
      <c r="TE87" s="1251"/>
      <c r="TF87" s="1251"/>
      <c r="TG87" s="1251"/>
      <c r="TH87" s="1251"/>
      <c r="TI87" s="1251"/>
      <c r="TJ87" s="1251"/>
      <c r="TK87" s="1251"/>
      <c r="TL87" s="1251"/>
      <c r="TM87" s="1251"/>
      <c r="TN87" s="1251"/>
      <c r="TO87" s="1251"/>
      <c r="TP87" s="1251"/>
      <c r="TQ87" s="1251"/>
      <c r="TR87" s="1251"/>
      <c r="TS87" s="1251"/>
      <c r="TT87" s="1251"/>
      <c r="TU87" s="1251"/>
      <c r="TV87" s="1251"/>
      <c r="TW87" s="1251"/>
      <c r="TX87" s="1251"/>
      <c r="TY87" s="1251"/>
      <c r="TZ87" s="1251"/>
      <c r="UA87" s="1251"/>
      <c r="UB87" s="1251"/>
      <c r="UC87" s="1251"/>
      <c r="UD87" s="1251"/>
      <c r="UE87" s="1251"/>
      <c r="UF87" s="1251"/>
      <c r="UG87" s="1251"/>
      <c r="UH87" s="1251"/>
      <c r="UI87" s="1251"/>
      <c r="UJ87" s="1251"/>
      <c r="UK87" s="1251"/>
      <c r="UL87" s="1251"/>
      <c r="UM87" s="1251"/>
      <c r="UN87" s="1251"/>
      <c r="UO87" s="1251"/>
      <c r="UP87" s="1251"/>
      <c r="UQ87" s="1251"/>
      <c r="UR87" s="1251"/>
      <c r="US87" s="1251"/>
      <c r="UT87" s="1251"/>
      <c r="UU87" s="1251"/>
      <c r="UV87" s="1251"/>
      <c r="UW87" s="1251"/>
      <c r="UX87" s="1251"/>
      <c r="UY87" s="1251"/>
      <c r="UZ87" s="1251"/>
      <c r="VA87" s="1251"/>
      <c r="VB87" s="1251"/>
      <c r="VC87" s="1251"/>
      <c r="VD87" s="1251"/>
      <c r="VE87" s="1251"/>
      <c r="VF87" s="1251"/>
      <c r="VG87" s="1251"/>
      <c r="VH87" s="1251"/>
      <c r="VI87" s="1251"/>
      <c r="VJ87" s="1251"/>
      <c r="VK87" s="1251"/>
      <c r="VL87" s="1251"/>
      <c r="VM87" s="1251"/>
      <c r="VN87" s="1251"/>
      <c r="VO87" s="1251"/>
      <c r="VP87" s="1251"/>
      <c r="VQ87" s="1251"/>
      <c r="VR87" s="1251"/>
      <c r="VS87" s="1251"/>
      <c r="VT87" s="1251"/>
      <c r="VU87" s="1251"/>
      <c r="VV87" s="1251"/>
      <c r="VW87" s="1251"/>
      <c r="VX87" s="1251"/>
      <c r="VY87" s="1251"/>
      <c r="VZ87" s="1251"/>
      <c r="WA87" s="1251"/>
      <c r="WB87" s="1251"/>
      <c r="WC87" s="1251"/>
      <c r="WD87" s="1251"/>
      <c r="WE87" s="1251"/>
      <c r="WF87" s="1251"/>
      <c r="WG87" s="1251"/>
      <c r="WH87" s="1251"/>
      <c r="WI87" s="1251"/>
      <c r="WJ87" s="1251"/>
      <c r="WK87" s="1251"/>
      <c r="WL87" s="1251"/>
      <c r="WM87" s="1251"/>
      <c r="WN87" s="1251"/>
      <c r="WO87" s="1251"/>
      <c r="WP87" s="1251"/>
      <c r="WQ87" s="1251"/>
      <c r="WR87" s="1251"/>
      <c r="WS87" s="1251"/>
      <c r="WT87" s="1251"/>
      <c r="WU87" s="1251"/>
      <c r="WV87" s="1251"/>
      <c r="WW87" s="1251"/>
      <c r="WX87" s="1251"/>
      <c r="WY87" s="1251"/>
      <c r="WZ87" s="1251"/>
      <c r="XA87" s="1251"/>
      <c r="XB87" s="1251"/>
      <c r="XC87" s="1251"/>
      <c r="XD87" s="1251"/>
      <c r="XE87" s="1251"/>
      <c r="XF87" s="1251"/>
      <c r="XG87" s="1251"/>
      <c r="XH87" s="1251"/>
      <c r="XI87" s="1251"/>
      <c r="XJ87" s="1251"/>
      <c r="XK87" s="1251"/>
      <c r="XL87" s="1251"/>
      <c r="XM87" s="1251"/>
      <c r="XN87" s="1251"/>
      <c r="XO87" s="1251"/>
      <c r="XP87" s="1251"/>
      <c r="XQ87" s="1251"/>
      <c r="XR87" s="1251"/>
      <c r="XS87" s="1251"/>
      <c r="XT87" s="1251"/>
      <c r="XU87" s="1251"/>
      <c r="XV87" s="1251"/>
      <c r="XW87" s="1251"/>
      <c r="XX87" s="1251"/>
      <c r="XY87" s="1251"/>
      <c r="XZ87" s="1251"/>
      <c r="YA87" s="1251"/>
      <c r="YB87" s="1251"/>
      <c r="YC87" s="1251"/>
      <c r="YD87" s="1251"/>
      <c r="YE87" s="1251"/>
      <c r="YF87" s="1251"/>
      <c r="YG87" s="1251"/>
      <c r="YH87" s="1251"/>
      <c r="YI87" s="1251"/>
      <c r="YJ87" s="1251"/>
      <c r="YK87" s="1251"/>
      <c r="YL87" s="1251"/>
      <c r="YM87" s="1251"/>
      <c r="YN87" s="1251"/>
      <c r="YO87" s="1251"/>
      <c r="YP87" s="1251"/>
      <c r="YQ87" s="1251"/>
      <c r="YR87" s="1251"/>
      <c r="YS87" s="1251"/>
      <c r="YT87" s="1251"/>
      <c r="YU87" s="1251"/>
      <c r="YV87" s="1251"/>
      <c r="YW87" s="1251"/>
      <c r="YX87" s="1251"/>
      <c r="YY87" s="1251"/>
      <c r="YZ87" s="1251"/>
      <c r="ZA87" s="1251"/>
      <c r="ZB87" s="1251"/>
      <c r="ZC87" s="1251"/>
      <c r="ZD87" s="1251"/>
      <c r="ZE87" s="1251"/>
      <c r="ZF87" s="1251"/>
      <c r="ZG87" s="1251"/>
      <c r="ZH87" s="1251"/>
      <c r="ZI87" s="1251"/>
      <c r="ZJ87" s="1251"/>
      <c r="ZK87" s="1251"/>
      <c r="ZL87" s="1251"/>
      <c r="ZM87" s="1251"/>
      <c r="ZN87" s="1251"/>
      <c r="ZO87" s="1251"/>
      <c r="ZP87" s="1251"/>
      <c r="ZQ87" s="1251"/>
      <c r="ZR87" s="1251"/>
      <c r="ZS87" s="1251"/>
      <c r="ZT87" s="1251"/>
      <c r="ZU87" s="1251"/>
      <c r="ZV87" s="1251"/>
      <c r="ZW87" s="1251"/>
      <c r="ZX87" s="1251"/>
      <c r="ZY87" s="1251"/>
      <c r="ZZ87" s="1251"/>
      <c r="AAA87" s="1251"/>
      <c r="AAB87" s="1251"/>
      <c r="AAC87" s="1251"/>
      <c r="AAD87" s="1251"/>
      <c r="AAE87" s="1251"/>
      <c r="AAF87" s="1251"/>
      <c r="AAG87" s="1251"/>
      <c r="AAH87" s="1251"/>
      <c r="AAI87" s="1251"/>
      <c r="AAJ87" s="1251"/>
      <c r="AAK87" s="1251"/>
      <c r="AAL87" s="1251"/>
      <c r="AAM87" s="1251"/>
      <c r="AAN87" s="1251"/>
      <c r="AAO87" s="1251"/>
      <c r="AAP87" s="1251"/>
      <c r="AAQ87" s="1251"/>
      <c r="AAR87" s="1251"/>
      <c r="AAS87" s="1251"/>
      <c r="AAT87" s="1251"/>
      <c r="AAU87" s="1251"/>
      <c r="AAV87" s="1251"/>
      <c r="AAW87" s="1251"/>
      <c r="AAX87" s="1251"/>
      <c r="AAY87" s="1251"/>
      <c r="AAZ87" s="1251"/>
      <c r="ABA87" s="1251"/>
      <c r="ABB87" s="1251"/>
      <c r="ABC87" s="1251"/>
      <c r="ABD87" s="1251"/>
      <c r="ABE87" s="1251"/>
      <c r="ABF87" s="1251"/>
      <c r="ABG87" s="1251"/>
      <c r="ABH87" s="1251"/>
      <c r="ABI87" s="1251"/>
      <c r="ABJ87" s="1251"/>
      <c r="ABK87" s="1251"/>
      <c r="ABL87" s="1251"/>
      <c r="ABM87" s="1251"/>
      <c r="ABN87" s="1251"/>
      <c r="ABO87" s="1251"/>
      <c r="ABP87" s="1251"/>
      <c r="ABQ87" s="1251"/>
      <c r="ABR87" s="1251"/>
      <c r="ABS87" s="1251"/>
      <c r="ABT87" s="1251"/>
      <c r="ABU87" s="1251"/>
      <c r="ABV87" s="1251"/>
      <c r="ABW87" s="1251"/>
      <c r="ABX87" s="1251"/>
      <c r="ABY87" s="1251"/>
      <c r="ABZ87" s="1251"/>
      <c r="ACA87" s="1251"/>
      <c r="ACB87" s="1251"/>
      <c r="ACC87" s="1251"/>
      <c r="ACD87" s="1251"/>
      <c r="ACE87" s="1251"/>
      <c r="ACF87" s="1251"/>
      <c r="ACG87" s="1251"/>
      <c r="ACH87" s="1251"/>
      <c r="ACI87" s="1251"/>
      <c r="ACJ87" s="1251"/>
      <c r="ACK87" s="1251"/>
      <c r="ACL87" s="1251"/>
      <c r="ACM87" s="1251"/>
      <c r="ACN87" s="1251"/>
      <c r="ACO87" s="1251"/>
      <c r="ACP87" s="1251"/>
      <c r="ACQ87" s="1251"/>
      <c r="ACR87" s="1251"/>
      <c r="ACS87" s="1251"/>
      <c r="ACT87" s="1251"/>
      <c r="ACU87" s="1251"/>
      <c r="ACV87" s="1251"/>
      <c r="ACW87" s="1251"/>
      <c r="ACX87" s="1251"/>
      <c r="ACY87" s="1251"/>
      <c r="ACZ87" s="1251"/>
      <c r="ADA87" s="1251"/>
      <c r="ADB87" s="1251"/>
      <c r="ADC87" s="1251"/>
      <c r="ADD87" s="1251"/>
      <c r="ADE87" s="1251"/>
      <c r="ADF87" s="1251"/>
      <c r="ADG87" s="1251"/>
      <c r="ADH87" s="1251"/>
      <c r="ADI87" s="1251"/>
      <c r="ADJ87" s="1251"/>
      <c r="ADK87" s="1251"/>
      <c r="ADL87" s="1251"/>
      <c r="ADM87" s="1251"/>
      <c r="ADN87" s="1251"/>
      <c r="ADO87" s="1251"/>
      <c r="ADP87" s="1251"/>
      <c r="ADQ87" s="1251"/>
      <c r="ADR87" s="1251"/>
      <c r="ADS87" s="1251"/>
      <c r="ADT87" s="1251"/>
      <c r="ADU87" s="1251"/>
      <c r="ADV87" s="1251"/>
      <c r="ADW87" s="1251"/>
      <c r="ADX87" s="1251"/>
      <c r="ADY87" s="1251"/>
      <c r="ADZ87" s="1251"/>
      <c r="AEA87" s="1251"/>
      <c r="AEB87" s="1251"/>
      <c r="AEC87" s="1251"/>
      <c r="AED87" s="1251"/>
      <c r="AEE87" s="1251"/>
      <c r="AEF87" s="1251"/>
      <c r="AEG87" s="1251"/>
      <c r="AEH87" s="1251"/>
      <c r="AEI87" s="1251"/>
      <c r="AEJ87" s="1251"/>
      <c r="AEK87" s="1251"/>
      <c r="AEL87" s="1251"/>
      <c r="AEM87" s="1251"/>
      <c r="AEN87" s="1251"/>
      <c r="AEO87" s="1251"/>
      <c r="AEP87" s="1251"/>
      <c r="AEQ87" s="1251"/>
      <c r="AER87" s="1251"/>
      <c r="AES87" s="1251"/>
      <c r="AET87" s="1251"/>
      <c r="AEU87" s="1251"/>
      <c r="AEV87" s="1251"/>
      <c r="AEW87" s="1251"/>
      <c r="AEX87" s="1251"/>
      <c r="AEY87" s="1251"/>
      <c r="AEZ87" s="1251"/>
      <c r="AFA87" s="1251"/>
      <c r="AFB87" s="1251"/>
      <c r="AFC87" s="1251"/>
      <c r="AFD87" s="1251"/>
      <c r="AFE87" s="1251"/>
      <c r="AFF87" s="1251"/>
      <c r="AFG87" s="1251"/>
      <c r="AFH87" s="1251"/>
      <c r="AFI87" s="1251"/>
      <c r="AFJ87" s="1251"/>
      <c r="AFK87" s="1251"/>
      <c r="AFL87" s="1251"/>
      <c r="AFM87" s="1251"/>
      <c r="AFN87" s="1251"/>
      <c r="AFO87" s="1251"/>
      <c r="AFP87" s="1251"/>
      <c r="AFQ87" s="1251"/>
      <c r="AFR87" s="1251"/>
      <c r="AFS87" s="1251"/>
      <c r="AFT87" s="1251"/>
      <c r="AFU87" s="1251"/>
      <c r="AFV87" s="1251"/>
      <c r="AFW87" s="1251"/>
      <c r="AFX87" s="1251"/>
      <c r="AFY87" s="1251"/>
      <c r="AFZ87" s="1251"/>
      <c r="AGA87" s="1251"/>
      <c r="AGB87" s="1251"/>
      <c r="AGC87" s="1251"/>
      <c r="AGD87" s="1251"/>
      <c r="AGE87" s="1251"/>
      <c r="AGF87" s="1251"/>
      <c r="AGG87" s="1251"/>
      <c r="AGH87" s="1251"/>
      <c r="AGI87" s="1251"/>
      <c r="AGJ87" s="1251"/>
      <c r="AGK87" s="1251"/>
      <c r="AGL87" s="1251"/>
      <c r="AGM87" s="1251"/>
      <c r="AGN87" s="1251"/>
      <c r="AGO87" s="1251"/>
      <c r="AGP87" s="1251"/>
      <c r="AGQ87" s="1251"/>
      <c r="AGR87" s="1251"/>
      <c r="AGS87" s="1251"/>
      <c r="AGT87" s="1251"/>
      <c r="AGU87" s="1251"/>
      <c r="AGV87" s="1251"/>
      <c r="AGW87" s="1251"/>
      <c r="AGX87" s="1251"/>
      <c r="AGY87" s="1251"/>
      <c r="AGZ87" s="1251"/>
      <c r="AHA87" s="1251"/>
      <c r="AHB87" s="1251"/>
      <c r="AHC87" s="1251"/>
      <c r="AHD87" s="1251"/>
      <c r="AHE87" s="1251"/>
      <c r="AHF87" s="1251"/>
      <c r="AHG87" s="1251"/>
      <c r="AHH87" s="1251"/>
      <c r="AHI87" s="1251"/>
      <c r="AHJ87" s="1251"/>
      <c r="AHK87" s="1251"/>
      <c r="AHL87" s="1251"/>
      <c r="AHM87" s="1251"/>
      <c r="AHN87" s="1251"/>
      <c r="AHO87" s="1251"/>
      <c r="AHP87" s="1251"/>
      <c r="AHQ87" s="1251"/>
      <c r="AHR87" s="1251"/>
      <c r="AHS87" s="1251"/>
      <c r="AHT87" s="1251"/>
      <c r="AHU87" s="1251"/>
      <c r="AHV87" s="1251"/>
      <c r="AHW87" s="1251"/>
      <c r="AHX87" s="1251"/>
      <c r="AHY87" s="1251"/>
      <c r="AHZ87" s="1251"/>
      <c r="AIA87" s="1251"/>
      <c r="AIB87" s="1251"/>
      <c r="AIC87" s="1251"/>
      <c r="AID87" s="1251"/>
      <c r="AIE87" s="1251"/>
      <c r="AIF87" s="1251"/>
      <c r="AIG87" s="1251"/>
      <c r="AIH87" s="1251"/>
      <c r="AII87" s="1251"/>
      <c r="AIJ87" s="1251"/>
      <c r="AIK87" s="1251"/>
      <c r="AIL87" s="1251"/>
      <c r="AIM87" s="1251"/>
      <c r="AIN87" s="1251"/>
      <c r="AIO87" s="1251"/>
      <c r="AIP87" s="1251"/>
      <c r="AIQ87" s="1251"/>
      <c r="AIR87" s="1251"/>
      <c r="AIS87" s="1251"/>
      <c r="AIT87" s="1251"/>
      <c r="AIU87" s="1251"/>
      <c r="AIV87" s="1251"/>
      <c r="AIW87" s="1251"/>
      <c r="AIX87" s="1251"/>
      <c r="AIY87" s="1251"/>
      <c r="AIZ87" s="1251"/>
      <c r="AJA87" s="1251"/>
      <c r="AJB87" s="1251"/>
      <c r="AJC87" s="1251"/>
      <c r="AJD87" s="1251"/>
      <c r="AJE87" s="1251"/>
      <c r="AJF87" s="1251"/>
      <c r="AJG87" s="1251"/>
      <c r="AJH87" s="1251"/>
      <c r="AJI87" s="1251"/>
      <c r="AJJ87" s="1251"/>
      <c r="AJK87" s="1251"/>
      <c r="AJL87" s="1251"/>
      <c r="AJM87" s="1251"/>
      <c r="AJN87" s="1251"/>
      <c r="AJO87" s="1251"/>
      <c r="AJP87" s="1251"/>
      <c r="AJQ87" s="1251"/>
      <c r="AJR87" s="1251"/>
      <c r="AJS87" s="1251"/>
      <c r="AJT87" s="1251"/>
      <c r="AJU87" s="1251"/>
      <c r="AJV87" s="1251"/>
      <c r="AJW87" s="1251"/>
      <c r="AJX87" s="1251"/>
      <c r="AJY87" s="1251"/>
      <c r="AJZ87" s="1251"/>
      <c r="AKA87" s="1251"/>
      <c r="AKB87" s="1251"/>
      <c r="AKC87" s="1251"/>
      <c r="AKD87" s="1251"/>
      <c r="AKE87" s="1251"/>
      <c r="AKF87" s="1251"/>
      <c r="AKG87" s="1251"/>
      <c r="AKH87" s="1251"/>
      <c r="AKI87" s="1251"/>
      <c r="AKJ87" s="1251"/>
      <c r="AKK87" s="1251"/>
      <c r="AKL87" s="1251"/>
      <c r="AKM87" s="1251"/>
      <c r="AKN87" s="1251"/>
      <c r="AKO87" s="1251"/>
      <c r="AKP87" s="1251"/>
      <c r="AKQ87" s="1251"/>
      <c r="AKR87" s="1251"/>
      <c r="AKS87" s="1251"/>
      <c r="AKT87" s="1251"/>
      <c r="AKU87" s="1251"/>
      <c r="AKV87" s="1251"/>
      <c r="AKW87" s="1251"/>
      <c r="AKX87" s="1251"/>
      <c r="AKY87" s="1251"/>
      <c r="AKZ87" s="1251"/>
      <c r="ALA87" s="1251"/>
      <c r="ALB87" s="1251"/>
      <c r="ALC87" s="1251"/>
      <c r="ALD87" s="1251"/>
      <c r="ALE87" s="1251"/>
      <c r="ALF87" s="1251"/>
      <c r="ALG87" s="1251"/>
      <c r="ALH87" s="1251"/>
      <c r="ALI87" s="1251"/>
      <c r="ALJ87" s="1251"/>
      <c r="ALK87" s="1251"/>
      <c r="ALL87" s="1251"/>
      <c r="ALM87" s="1251"/>
      <c r="ALN87" s="1251"/>
      <c r="ALO87" s="1251"/>
      <c r="ALP87" s="1251"/>
      <c r="ALQ87" s="1251"/>
      <c r="ALR87" s="1251"/>
      <c r="ALS87" s="1251"/>
      <c r="ALT87" s="1251"/>
      <c r="ALU87" s="1251"/>
      <c r="ALV87" s="1251"/>
      <c r="ALW87" s="1251"/>
      <c r="ALX87" s="1251"/>
      <c r="ALY87" s="1251"/>
      <c r="ALZ87" s="1251"/>
      <c r="AMA87" s="1251"/>
      <c r="AMB87" s="1251"/>
      <c r="AMC87" s="1251"/>
      <c r="AMD87" s="1251"/>
      <c r="AME87" s="1251"/>
      <c r="AMF87" s="1251"/>
      <c r="AMG87" s="1251"/>
      <c r="AMH87" s="1251"/>
      <c r="AMI87" s="1251"/>
      <c r="AMJ87" s="1251"/>
      <c r="AMK87" s="1251"/>
      <c r="AML87" s="1251"/>
      <c r="AMM87" s="1251"/>
      <c r="AMN87" s="1251"/>
      <c r="AMO87" s="1251"/>
      <c r="AMP87" s="1251"/>
      <c r="AMQ87" s="1251"/>
      <c r="AMR87" s="1251"/>
      <c r="AMS87" s="1251"/>
      <c r="AMT87" s="1251"/>
      <c r="AMU87" s="1251"/>
      <c r="AMV87" s="1251"/>
      <c r="AMW87" s="1251"/>
      <c r="AMX87" s="1251"/>
      <c r="AMY87" s="1251"/>
      <c r="AMZ87" s="1251"/>
      <c r="ANA87" s="1251"/>
      <c r="ANB87" s="1251"/>
      <c r="ANC87" s="1251"/>
      <c r="AND87" s="1251"/>
      <c r="ANE87" s="1251"/>
      <c r="ANF87" s="1251"/>
      <c r="ANG87" s="1251"/>
      <c r="ANH87" s="1251"/>
      <c r="ANI87" s="1251"/>
      <c r="ANJ87" s="1251"/>
      <c r="ANK87" s="1251"/>
      <c r="ANL87" s="1251"/>
      <c r="ANM87" s="1251"/>
      <c r="ANN87" s="1251"/>
      <c r="ANO87" s="1251"/>
      <c r="ANP87" s="1251"/>
      <c r="ANQ87" s="1251"/>
      <c r="ANR87" s="1251"/>
      <c r="ANS87" s="1251"/>
      <c r="ANT87" s="1251"/>
      <c r="ANU87" s="1251"/>
      <c r="ANV87" s="1251"/>
      <c r="ANW87" s="1251"/>
      <c r="ANX87" s="1251"/>
      <c r="ANY87" s="1251"/>
      <c r="ANZ87" s="1251"/>
      <c r="AOA87" s="1251"/>
      <c r="AOB87" s="1251"/>
      <c r="AOC87" s="1251"/>
      <c r="AOD87" s="1251"/>
      <c r="AOE87" s="1251"/>
      <c r="AOF87" s="1251"/>
      <c r="AOG87" s="1251"/>
      <c r="AOH87" s="1251"/>
      <c r="AOI87" s="1251"/>
      <c r="AOJ87" s="1251"/>
      <c r="AOK87" s="1251"/>
      <c r="AOL87" s="1251"/>
      <c r="AOM87" s="1251"/>
      <c r="AON87" s="1251"/>
      <c r="AOO87" s="1251"/>
      <c r="AOP87" s="1251"/>
      <c r="AOQ87" s="1251"/>
      <c r="AOR87" s="1251"/>
      <c r="AOS87" s="1251"/>
      <c r="AOT87" s="1251"/>
      <c r="AOU87" s="1251"/>
      <c r="AOV87" s="1251"/>
      <c r="AOW87" s="1251"/>
      <c r="AOX87" s="1251"/>
      <c r="AOY87" s="1251"/>
      <c r="AOZ87" s="1251"/>
      <c r="APA87" s="1251"/>
      <c r="APB87" s="1251"/>
      <c r="APC87" s="1251"/>
      <c r="APD87" s="1251"/>
      <c r="APE87" s="1251"/>
      <c r="APF87" s="1251"/>
      <c r="APG87" s="1251"/>
      <c r="APH87" s="1251"/>
      <c r="API87" s="1251"/>
      <c r="APJ87" s="1251"/>
      <c r="APK87" s="1251"/>
      <c r="APL87" s="1251"/>
      <c r="APM87" s="1251"/>
      <c r="APN87" s="1251"/>
      <c r="APO87" s="1251"/>
      <c r="APP87" s="1251"/>
      <c r="APQ87" s="1251"/>
      <c r="APR87" s="1251"/>
      <c r="APS87" s="1251"/>
      <c r="APT87" s="1251"/>
      <c r="APU87" s="1251"/>
      <c r="APV87" s="1251"/>
      <c r="APW87" s="1251"/>
      <c r="APX87" s="1251"/>
      <c r="APY87" s="1251"/>
      <c r="APZ87" s="1251"/>
      <c r="AQA87" s="1251"/>
      <c r="AQB87" s="1251"/>
      <c r="AQC87" s="1251"/>
      <c r="AQD87" s="1251"/>
      <c r="AQE87" s="1251"/>
      <c r="AQF87" s="1251"/>
      <c r="AQG87" s="1251"/>
      <c r="AQH87" s="1251"/>
      <c r="AQI87" s="1251"/>
      <c r="AQJ87" s="1251"/>
      <c r="AQK87" s="1251"/>
      <c r="AQL87" s="1251"/>
      <c r="AQM87" s="1251"/>
      <c r="AQN87" s="1251"/>
      <c r="AQO87" s="1251"/>
      <c r="AQP87" s="1251"/>
      <c r="AQQ87" s="1251"/>
      <c r="AQR87" s="1251"/>
      <c r="AQS87" s="1251"/>
      <c r="AQT87" s="1251"/>
      <c r="AQU87" s="1251"/>
      <c r="AQV87" s="1251"/>
      <c r="AQW87" s="1251"/>
      <c r="AQX87" s="1251"/>
      <c r="AQY87" s="1251"/>
      <c r="AQZ87" s="1251"/>
      <c r="ARA87" s="1251"/>
      <c r="ARB87" s="1251"/>
      <c r="ARC87" s="1251"/>
      <c r="ARD87" s="1251"/>
      <c r="ARE87" s="1251"/>
      <c r="ARF87" s="1251"/>
      <c r="ARG87" s="1251"/>
      <c r="ARH87" s="1251"/>
      <c r="ARI87" s="1251"/>
      <c r="ARJ87" s="1251"/>
      <c r="ARK87" s="1251"/>
      <c r="ARL87" s="1251"/>
      <c r="ARM87" s="1251"/>
      <c r="ARN87" s="1251"/>
      <c r="ARO87" s="1251"/>
      <c r="ARP87" s="1251"/>
      <c r="ARQ87" s="1251"/>
      <c r="ARR87" s="1251"/>
      <c r="ARS87" s="1251"/>
      <c r="ART87" s="1251"/>
      <c r="ARU87" s="1251"/>
      <c r="ARV87" s="1251"/>
      <c r="ARW87" s="1251"/>
      <c r="ARX87" s="1251"/>
      <c r="ARY87" s="1251"/>
      <c r="ARZ87" s="1251"/>
      <c r="ASA87" s="1251"/>
      <c r="ASB87" s="1251"/>
      <c r="ASC87" s="1251"/>
      <c r="ASD87" s="1251"/>
      <c r="ASE87" s="1251"/>
      <c r="ASF87" s="1251"/>
      <c r="ASG87" s="1251"/>
      <c r="ASH87" s="1251"/>
      <c r="ASI87" s="1251"/>
      <c r="ASJ87" s="1251"/>
      <c r="ASK87" s="1251"/>
      <c r="ASL87" s="1251"/>
      <c r="ASM87" s="1251"/>
      <c r="ASN87" s="1251"/>
      <c r="ASO87" s="1251"/>
      <c r="ASP87" s="1251"/>
      <c r="ASQ87" s="1251"/>
      <c r="ASR87" s="1251"/>
      <c r="ASS87" s="1251"/>
      <c r="AST87" s="1251"/>
      <c r="ASU87" s="1251"/>
      <c r="ASV87" s="1251"/>
      <c r="ASW87" s="1251"/>
      <c r="ASX87" s="1251"/>
      <c r="ASY87" s="1251"/>
      <c r="ASZ87" s="1251"/>
      <c r="ATA87" s="1251"/>
      <c r="ATB87" s="1251"/>
      <c r="ATC87" s="1251"/>
      <c r="ATD87" s="1251"/>
      <c r="ATE87" s="1251"/>
      <c r="ATF87" s="1251"/>
      <c r="ATG87" s="1251"/>
      <c r="ATH87" s="1251"/>
      <c r="ATI87" s="1251"/>
      <c r="ATJ87" s="1251"/>
      <c r="ATK87" s="1251"/>
      <c r="ATL87" s="1251"/>
      <c r="ATM87" s="1251"/>
      <c r="ATN87" s="1251"/>
      <c r="ATO87" s="1251"/>
      <c r="ATP87" s="1251"/>
      <c r="ATQ87" s="1251"/>
      <c r="ATR87" s="1251"/>
      <c r="ATS87" s="1251"/>
      <c r="ATT87" s="1251"/>
      <c r="ATU87" s="1251"/>
      <c r="ATV87" s="1251"/>
      <c r="ATW87" s="1251"/>
      <c r="ATX87" s="1251"/>
      <c r="ATY87" s="1251"/>
      <c r="ATZ87" s="1251"/>
      <c r="AUA87" s="1251"/>
      <c r="AUB87" s="1251"/>
      <c r="AUC87" s="1251"/>
      <c r="AUD87" s="1251"/>
      <c r="AUE87" s="1251"/>
      <c r="AUF87" s="1251"/>
      <c r="AUG87" s="1251"/>
      <c r="AUH87" s="1251"/>
      <c r="AUI87" s="1251"/>
      <c r="AUJ87" s="1251"/>
      <c r="AUK87" s="1251"/>
      <c r="AUL87" s="1251"/>
      <c r="AUM87" s="1251"/>
      <c r="AUN87" s="1251"/>
      <c r="AUO87" s="1251"/>
      <c r="AUP87" s="1251"/>
      <c r="AUQ87" s="1251"/>
      <c r="AUR87" s="1251"/>
      <c r="AUS87" s="1251"/>
      <c r="AUT87" s="1251"/>
      <c r="AUU87" s="1251"/>
      <c r="AUV87" s="1251"/>
      <c r="AUW87" s="1251"/>
      <c r="AUX87" s="1251"/>
      <c r="AUY87" s="1251"/>
      <c r="AUZ87" s="1251"/>
      <c r="AVA87" s="1251"/>
      <c r="AVB87" s="1251"/>
      <c r="AVC87" s="1251"/>
      <c r="AVD87" s="1251"/>
      <c r="AVE87" s="1251"/>
      <c r="AVF87" s="1251"/>
      <c r="AVG87" s="1251"/>
      <c r="AVH87" s="1251"/>
      <c r="AVI87" s="1251"/>
      <c r="AVJ87" s="1251"/>
      <c r="AVK87" s="1251"/>
      <c r="AVL87" s="1251"/>
      <c r="AVM87" s="1251"/>
      <c r="AVN87" s="1251"/>
      <c r="AVO87" s="1251"/>
      <c r="AVP87" s="1251"/>
      <c r="AVQ87" s="1251"/>
      <c r="AVR87" s="1251"/>
      <c r="AVS87" s="1251"/>
      <c r="AVT87" s="1251"/>
      <c r="AVU87" s="1251"/>
      <c r="AVV87" s="1251"/>
      <c r="AVW87" s="1251"/>
      <c r="AVX87" s="1251"/>
      <c r="AVY87" s="1251"/>
      <c r="AVZ87" s="1251"/>
      <c r="AWA87" s="1251"/>
      <c r="AWB87" s="1251"/>
      <c r="AWC87" s="1251"/>
      <c r="AWD87" s="1251"/>
      <c r="AWE87" s="1251"/>
      <c r="AWF87" s="1251"/>
      <c r="AWG87" s="1251"/>
      <c r="AWH87" s="1251"/>
      <c r="AWI87" s="1251"/>
      <c r="AWJ87" s="1251"/>
      <c r="AWK87" s="1251"/>
      <c r="AWL87" s="1251"/>
      <c r="AWM87" s="1251"/>
      <c r="AWN87" s="1251"/>
      <c r="AWO87" s="1251"/>
      <c r="AWP87" s="1251"/>
      <c r="AWQ87" s="1251"/>
      <c r="AWR87" s="1251"/>
      <c r="AWS87" s="1251"/>
      <c r="AWT87" s="1251"/>
      <c r="AWU87" s="1251"/>
      <c r="AWV87" s="1251"/>
      <c r="AWW87" s="1251"/>
      <c r="AWX87" s="1251"/>
      <c r="AWY87" s="1251"/>
      <c r="AWZ87" s="1251"/>
      <c r="AXA87" s="1251"/>
      <c r="AXB87" s="1251"/>
      <c r="AXC87" s="1251"/>
      <c r="AXD87" s="1251"/>
      <c r="AXE87" s="1251"/>
      <c r="AXF87" s="1251"/>
      <c r="AXG87" s="1251"/>
      <c r="AXH87" s="1251"/>
      <c r="AXI87" s="1251"/>
      <c r="AXJ87" s="1251"/>
      <c r="AXK87" s="1251"/>
      <c r="AXL87" s="1251"/>
      <c r="AXM87" s="1251"/>
      <c r="AXN87" s="1251"/>
      <c r="AXO87" s="1251"/>
      <c r="AXP87" s="1251"/>
      <c r="AXQ87" s="1251"/>
      <c r="AXR87" s="1251"/>
      <c r="AXS87" s="1251"/>
      <c r="AXT87" s="1251"/>
      <c r="AXU87" s="1251"/>
      <c r="AXV87" s="1251"/>
      <c r="AXW87" s="1251"/>
      <c r="AXX87" s="1251"/>
      <c r="AXY87" s="1251"/>
      <c r="AXZ87" s="1251"/>
      <c r="AYA87" s="1251"/>
      <c r="AYB87" s="1251"/>
      <c r="AYC87" s="1251"/>
      <c r="AYD87" s="1251"/>
      <c r="AYE87" s="1251"/>
      <c r="AYF87" s="1251"/>
      <c r="AYG87" s="1251"/>
      <c r="AYH87" s="1251"/>
      <c r="AYI87" s="1251"/>
      <c r="AYJ87" s="1251"/>
      <c r="AYK87" s="1251"/>
      <c r="AYL87" s="1251"/>
      <c r="AYM87" s="1251"/>
      <c r="AYN87" s="1251"/>
      <c r="AYO87" s="1251"/>
      <c r="AYP87" s="1251"/>
      <c r="AYQ87" s="1251"/>
      <c r="AYR87" s="1251"/>
      <c r="AYS87" s="1251"/>
      <c r="AYT87" s="1251"/>
      <c r="AYU87" s="1251"/>
      <c r="AYV87" s="1251"/>
      <c r="AYW87" s="1251"/>
      <c r="AYX87" s="1251"/>
      <c r="AYY87" s="1251"/>
      <c r="AYZ87" s="1251"/>
      <c r="AZA87" s="1251"/>
      <c r="AZB87" s="1251"/>
      <c r="AZC87" s="1251"/>
      <c r="AZD87" s="1251"/>
      <c r="AZE87" s="1251"/>
      <c r="AZF87" s="1251"/>
      <c r="AZG87" s="1251"/>
      <c r="AZH87" s="1251"/>
      <c r="AZI87" s="1251"/>
      <c r="AZJ87" s="1251"/>
      <c r="AZK87" s="1251"/>
      <c r="AZL87" s="1251"/>
      <c r="AZM87" s="1251"/>
      <c r="AZN87" s="1251"/>
      <c r="AZO87" s="1251"/>
      <c r="AZP87" s="1251"/>
      <c r="AZQ87" s="1251"/>
      <c r="AZR87" s="1251"/>
      <c r="AZS87" s="1251"/>
      <c r="AZT87" s="1251"/>
      <c r="AZU87" s="1251"/>
      <c r="AZV87" s="1251"/>
      <c r="AZW87" s="1251"/>
      <c r="AZX87" s="1251"/>
      <c r="AZY87" s="1251"/>
      <c r="AZZ87" s="1251"/>
      <c r="BAA87" s="1251"/>
      <c r="BAB87" s="1251"/>
      <c r="BAC87" s="1251"/>
      <c r="BAD87" s="1251"/>
      <c r="BAE87" s="1251"/>
      <c r="BAF87" s="1251"/>
      <c r="BAG87" s="1251"/>
      <c r="BAH87" s="1251"/>
      <c r="BAI87" s="1251"/>
      <c r="BAJ87" s="1251"/>
      <c r="BAK87" s="1251"/>
      <c r="BAL87" s="1251"/>
      <c r="BAM87" s="1251"/>
      <c r="BAN87" s="1251"/>
      <c r="BAO87" s="1251"/>
      <c r="BAP87" s="1251"/>
      <c r="BAQ87" s="1251"/>
      <c r="BAR87" s="1251"/>
      <c r="BAS87" s="1251"/>
      <c r="BAT87" s="1251"/>
      <c r="BAU87" s="1251"/>
      <c r="BAV87" s="1251"/>
      <c r="BAW87" s="1251"/>
      <c r="BAX87" s="1251"/>
      <c r="BAY87" s="1251"/>
      <c r="BAZ87" s="1251"/>
      <c r="BBA87" s="1251"/>
      <c r="BBB87" s="1251"/>
      <c r="BBC87" s="1251"/>
      <c r="BBD87" s="1251"/>
      <c r="BBE87" s="1251"/>
      <c r="BBF87" s="1251"/>
      <c r="BBG87" s="1251"/>
      <c r="BBH87" s="1251"/>
      <c r="BBI87" s="1251"/>
      <c r="BBJ87" s="1251"/>
      <c r="BBK87" s="1251"/>
      <c r="BBL87" s="1251"/>
      <c r="BBM87" s="1251"/>
      <c r="BBN87" s="1251"/>
      <c r="BBO87" s="1251"/>
      <c r="BBP87" s="1251"/>
      <c r="BBQ87" s="1251"/>
      <c r="BBR87" s="1251"/>
      <c r="BBS87" s="1251"/>
      <c r="BBT87" s="1251"/>
      <c r="BBU87" s="1251"/>
      <c r="BBV87" s="1251"/>
      <c r="BBW87" s="1251"/>
      <c r="BBX87" s="1251"/>
      <c r="BBY87" s="1251"/>
      <c r="BBZ87" s="1251"/>
      <c r="BCA87" s="1251"/>
      <c r="BCB87" s="1251"/>
      <c r="BCC87" s="1251"/>
      <c r="BCD87" s="1251"/>
      <c r="BCE87" s="1251"/>
      <c r="BCF87" s="1251"/>
      <c r="BCG87" s="1251"/>
      <c r="BCH87" s="1251"/>
      <c r="BCI87" s="1251"/>
      <c r="BCJ87" s="1251"/>
      <c r="BCK87" s="1251"/>
      <c r="BCL87" s="1251"/>
      <c r="BCM87" s="1251"/>
      <c r="BCN87" s="1251"/>
      <c r="BCO87" s="1251"/>
      <c r="BCP87" s="1251"/>
      <c r="BCQ87" s="1251"/>
      <c r="BCR87" s="1251"/>
      <c r="BCS87" s="1251"/>
      <c r="BCT87" s="1251"/>
      <c r="BCU87" s="1251"/>
      <c r="BCV87" s="1251"/>
      <c r="BCW87" s="1251"/>
      <c r="BCX87" s="1251"/>
      <c r="BCY87" s="1251"/>
      <c r="BCZ87" s="1251"/>
      <c r="BDA87" s="1251"/>
      <c r="BDB87" s="1251"/>
      <c r="BDC87" s="1251"/>
      <c r="BDD87" s="1251"/>
      <c r="BDE87" s="1251"/>
      <c r="BDF87" s="1251"/>
      <c r="BDG87" s="1251"/>
      <c r="BDH87" s="1251"/>
      <c r="BDI87" s="1251"/>
      <c r="BDJ87" s="1251"/>
      <c r="BDK87" s="1251"/>
      <c r="BDL87" s="1251"/>
      <c r="BDM87" s="1251"/>
      <c r="BDN87" s="1251"/>
      <c r="BDO87" s="1251"/>
      <c r="BDP87" s="1251"/>
      <c r="BDQ87" s="1251"/>
      <c r="BDR87" s="1251"/>
      <c r="BDS87" s="1251"/>
      <c r="BDT87" s="1251"/>
      <c r="BDU87" s="1251"/>
      <c r="BDV87" s="1251"/>
      <c r="BDW87" s="1251"/>
      <c r="BDX87" s="1251"/>
      <c r="BDY87" s="1251"/>
      <c r="BDZ87" s="1251"/>
      <c r="BEA87" s="1251"/>
      <c r="BEB87" s="1251"/>
      <c r="BEC87" s="1251"/>
      <c r="BED87" s="1251"/>
      <c r="BEE87" s="1251"/>
      <c r="BEF87" s="1251"/>
      <c r="BEG87" s="1251"/>
      <c r="BEH87" s="1251"/>
      <c r="BEI87" s="1251"/>
      <c r="BEJ87" s="1251"/>
      <c r="BEK87" s="1251"/>
      <c r="BEL87" s="1251"/>
      <c r="BEM87" s="1251"/>
      <c r="BEN87" s="1251"/>
      <c r="BEO87" s="1251"/>
      <c r="BEP87" s="1251"/>
      <c r="BEQ87" s="1251"/>
      <c r="BER87" s="1251"/>
      <c r="BES87" s="1251"/>
      <c r="BET87" s="1251"/>
      <c r="BEU87" s="1251"/>
      <c r="BEV87" s="1251"/>
      <c r="BEW87" s="1251"/>
      <c r="BEX87" s="1251"/>
      <c r="BEY87" s="1251"/>
      <c r="BEZ87" s="1251"/>
      <c r="BFA87" s="1251"/>
      <c r="BFB87" s="1251"/>
      <c r="BFC87" s="1251"/>
      <c r="BFD87" s="1251"/>
      <c r="BFE87" s="1251"/>
      <c r="BFF87" s="1251"/>
      <c r="BFG87" s="1251"/>
      <c r="BFH87" s="1251"/>
      <c r="BFI87" s="1251"/>
      <c r="BFJ87" s="1251"/>
      <c r="BFK87" s="1251"/>
      <c r="BFL87" s="1251"/>
      <c r="BFM87" s="1251"/>
      <c r="BFN87" s="1251"/>
      <c r="BFO87" s="1251"/>
      <c r="BFP87" s="1251"/>
      <c r="BFQ87" s="1251"/>
      <c r="BFR87" s="1251"/>
      <c r="BFS87" s="1251"/>
      <c r="BFT87" s="1251"/>
      <c r="BFU87" s="1251"/>
      <c r="BFV87" s="1251"/>
      <c r="BFW87" s="1251"/>
      <c r="BFX87" s="1251"/>
      <c r="BFY87" s="1251"/>
      <c r="BFZ87" s="1251"/>
      <c r="BGA87" s="1251"/>
      <c r="BGB87" s="1251"/>
      <c r="BGC87" s="1251"/>
      <c r="BGD87" s="1251"/>
      <c r="BGE87" s="1251"/>
      <c r="BGF87" s="1251"/>
      <c r="BGG87" s="1251"/>
      <c r="BGH87" s="1251"/>
      <c r="BGI87" s="1251"/>
      <c r="BGJ87" s="1251"/>
      <c r="BGK87" s="1251"/>
      <c r="BGL87" s="1251"/>
      <c r="BGM87" s="1251"/>
      <c r="BGN87" s="1251"/>
      <c r="BGO87" s="1251"/>
      <c r="BGP87" s="1251"/>
      <c r="BGQ87" s="1251"/>
      <c r="BGR87" s="1251"/>
      <c r="BGS87" s="1251"/>
      <c r="BGT87" s="1251"/>
      <c r="BGU87" s="1251"/>
      <c r="BGV87" s="1251"/>
      <c r="BGW87" s="1251"/>
      <c r="BGX87" s="1251"/>
      <c r="BGY87" s="1251"/>
      <c r="BGZ87" s="1251"/>
      <c r="BHA87" s="1251"/>
      <c r="BHB87" s="1251"/>
      <c r="BHC87" s="1251"/>
      <c r="BHD87" s="1251"/>
      <c r="BHE87" s="1251"/>
      <c r="BHF87" s="1251"/>
      <c r="BHG87" s="1251"/>
      <c r="BHH87" s="1251"/>
      <c r="BHI87" s="1251"/>
      <c r="BHJ87" s="1251"/>
      <c r="BHK87" s="1251"/>
      <c r="BHL87" s="1251"/>
      <c r="BHM87" s="1251"/>
      <c r="BHN87" s="1251"/>
      <c r="BHO87" s="1251"/>
      <c r="BHP87" s="1251"/>
      <c r="BHQ87" s="1251"/>
      <c r="BHR87" s="1251"/>
      <c r="BHS87" s="1251"/>
      <c r="BHT87" s="1251"/>
      <c r="BHU87" s="1251"/>
      <c r="BHV87" s="1251"/>
      <c r="BHW87" s="1251"/>
      <c r="BHX87" s="1251"/>
      <c r="BHY87" s="1251"/>
      <c r="BHZ87" s="1251"/>
      <c r="BIA87" s="1251"/>
      <c r="BIB87" s="1251"/>
      <c r="BIC87" s="1251"/>
      <c r="BID87" s="1251"/>
      <c r="BIE87" s="1251"/>
      <c r="BIF87" s="1251"/>
      <c r="BIG87" s="1251"/>
      <c r="BIH87" s="1251"/>
      <c r="BII87" s="1251"/>
      <c r="BIJ87" s="1251"/>
      <c r="BIK87" s="1251"/>
      <c r="BIL87" s="1251"/>
      <c r="BIM87" s="1251"/>
      <c r="BIN87" s="1251"/>
      <c r="BIO87" s="1251"/>
      <c r="BIP87" s="1251"/>
      <c r="BIQ87" s="1251"/>
      <c r="BIR87" s="1251"/>
      <c r="BIS87" s="1251"/>
      <c r="BIT87" s="1251"/>
      <c r="BIU87" s="1251"/>
      <c r="BIV87" s="1251"/>
      <c r="BIW87" s="1251"/>
      <c r="BIX87" s="1251"/>
      <c r="BIY87" s="1251"/>
      <c r="BIZ87" s="1251"/>
      <c r="BJA87" s="1251"/>
      <c r="BJB87" s="1251"/>
      <c r="BJC87" s="1251"/>
      <c r="BJD87" s="1251"/>
      <c r="BJE87" s="1251"/>
      <c r="BJF87" s="1251"/>
      <c r="BJG87" s="1251"/>
      <c r="BJH87" s="1251"/>
      <c r="BJI87" s="1251"/>
      <c r="BJJ87" s="1251"/>
      <c r="BJK87" s="1251"/>
      <c r="BJL87" s="1251"/>
      <c r="BJM87" s="1251"/>
      <c r="BJN87" s="1251"/>
      <c r="BJO87" s="1251"/>
      <c r="BJP87" s="1251"/>
      <c r="BJQ87" s="1251"/>
      <c r="BJR87" s="1251"/>
      <c r="BJS87" s="1251"/>
      <c r="BJT87" s="1251"/>
      <c r="BJU87" s="1251"/>
      <c r="BJV87" s="1251"/>
      <c r="BJW87" s="1251"/>
      <c r="BJX87" s="1251"/>
      <c r="BJY87" s="1251"/>
      <c r="BJZ87" s="1251"/>
      <c r="BKA87" s="1251"/>
      <c r="BKB87" s="1251"/>
      <c r="BKC87" s="1251"/>
      <c r="BKD87" s="1251"/>
      <c r="BKE87" s="1251"/>
      <c r="BKF87" s="1251"/>
      <c r="BKG87" s="1251"/>
      <c r="BKH87" s="1251"/>
      <c r="BKI87" s="1251"/>
      <c r="BKJ87" s="1251"/>
      <c r="BKK87" s="1251"/>
      <c r="BKL87" s="1251"/>
      <c r="BKM87" s="1251"/>
      <c r="BKN87" s="1251"/>
      <c r="BKO87" s="1251"/>
      <c r="BKP87" s="1251"/>
      <c r="BKQ87" s="1251"/>
      <c r="BKR87" s="1251"/>
      <c r="BKS87" s="1251"/>
      <c r="BKT87" s="1251"/>
      <c r="BKU87" s="1251"/>
      <c r="BKV87" s="1251"/>
      <c r="BKW87" s="1251"/>
      <c r="BKX87" s="1251"/>
      <c r="BKY87" s="1251"/>
      <c r="BKZ87" s="1251"/>
      <c r="BLA87" s="1251"/>
      <c r="BLB87" s="1251"/>
      <c r="BLC87" s="1251"/>
      <c r="BLD87" s="1251"/>
      <c r="BLE87" s="1251"/>
      <c r="BLF87" s="1251"/>
      <c r="BLG87" s="1251"/>
      <c r="BLH87" s="1251"/>
      <c r="BLI87" s="1251"/>
      <c r="BLJ87" s="1251"/>
      <c r="BLK87" s="1251"/>
      <c r="BLL87" s="1251"/>
      <c r="BLM87" s="1251"/>
      <c r="BLN87" s="1251"/>
      <c r="BLO87" s="1251"/>
      <c r="BLP87" s="1251"/>
      <c r="BLQ87" s="1251"/>
      <c r="BLR87" s="1251"/>
      <c r="BLS87" s="1251"/>
      <c r="BLT87" s="1251"/>
      <c r="BLU87" s="1251"/>
      <c r="BLV87" s="1251"/>
      <c r="BLW87" s="1251"/>
      <c r="BLX87" s="1251"/>
      <c r="BLY87" s="1251"/>
      <c r="BLZ87" s="1251"/>
      <c r="BMA87" s="1251"/>
      <c r="BMB87" s="1251"/>
      <c r="BMC87" s="1251"/>
      <c r="BMD87" s="1251"/>
      <c r="BME87" s="1251"/>
      <c r="BMF87" s="1251"/>
      <c r="BMG87" s="1251"/>
      <c r="BMH87" s="1251"/>
      <c r="BMI87" s="1251"/>
      <c r="BMJ87" s="1251"/>
      <c r="BMK87" s="1251"/>
      <c r="BML87" s="1251"/>
      <c r="BMM87" s="1251"/>
      <c r="BMN87" s="1251"/>
      <c r="BMO87" s="1251"/>
      <c r="BMP87" s="1251"/>
      <c r="BMQ87" s="1251"/>
      <c r="BMR87" s="1251"/>
      <c r="BMS87" s="1251"/>
      <c r="BMT87" s="1251"/>
      <c r="BMU87" s="1251"/>
      <c r="BMV87" s="1251"/>
      <c r="BMW87" s="1251"/>
      <c r="BMX87" s="1251"/>
      <c r="BMY87" s="1251"/>
      <c r="BMZ87" s="1251"/>
      <c r="BNA87" s="1251"/>
      <c r="BNB87" s="1251"/>
      <c r="BNC87" s="1251"/>
      <c r="BND87" s="1251"/>
      <c r="BNE87" s="1251"/>
      <c r="BNF87" s="1251"/>
      <c r="BNG87" s="1251"/>
      <c r="BNH87" s="1251"/>
      <c r="BNI87" s="1251"/>
      <c r="BNJ87" s="1251"/>
      <c r="BNK87" s="1251"/>
      <c r="BNL87" s="1251"/>
      <c r="BNM87" s="1251"/>
      <c r="BNN87" s="1251"/>
      <c r="BNO87" s="1251"/>
      <c r="BNP87" s="1251"/>
      <c r="BNQ87" s="1251"/>
      <c r="BNR87" s="1251"/>
      <c r="BNS87" s="1251"/>
      <c r="BNT87" s="1251"/>
      <c r="BNU87" s="1251"/>
      <c r="BNV87" s="1251"/>
      <c r="BNW87" s="1251"/>
      <c r="BNX87" s="1251"/>
      <c r="BNY87" s="1251"/>
      <c r="BNZ87" s="1251"/>
      <c r="BOA87" s="1251"/>
      <c r="BOB87" s="1251"/>
      <c r="BOC87" s="1251"/>
      <c r="BOD87" s="1251"/>
      <c r="BOE87" s="1251"/>
      <c r="BOF87" s="1251"/>
      <c r="BOG87" s="1251"/>
      <c r="BOH87" s="1251"/>
      <c r="BOI87" s="1251"/>
      <c r="BOJ87" s="1251"/>
      <c r="BOK87" s="1251"/>
      <c r="BOL87" s="1251"/>
      <c r="BOM87" s="1251"/>
      <c r="BON87" s="1251"/>
      <c r="BOO87" s="1251"/>
      <c r="BOP87" s="1251"/>
      <c r="BOQ87" s="1251"/>
      <c r="BOR87" s="1251"/>
      <c r="BOS87" s="1251"/>
      <c r="BOT87" s="1251"/>
      <c r="BOU87" s="1251"/>
      <c r="BOV87" s="1251"/>
      <c r="BOW87" s="1251"/>
      <c r="BOX87" s="1251"/>
      <c r="BOY87" s="1251"/>
      <c r="BOZ87" s="1251"/>
      <c r="BPA87" s="1251"/>
      <c r="BPB87" s="1251"/>
      <c r="BPC87" s="1251"/>
      <c r="BPD87" s="1251"/>
      <c r="BPE87" s="1251"/>
      <c r="BPF87" s="1251"/>
      <c r="BPG87" s="1251"/>
      <c r="BPH87" s="1251"/>
      <c r="BPI87" s="1251"/>
      <c r="BPJ87" s="1251"/>
      <c r="BPK87" s="1251"/>
      <c r="BPL87" s="1251"/>
      <c r="BPM87" s="1251"/>
      <c r="BPN87" s="1251"/>
      <c r="BPO87" s="1251"/>
      <c r="BPP87" s="1251"/>
      <c r="BPQ87" s="1251"/>
      <c r="BPR87" s="1251"/>
      <c r="BPS87" s="1251"/>
      <c r="BPT87" s="1251"/>
      <c r="BPU87" s="1251"/>
      <c r="BPV87" s="1251"/>
      <c r="BPW87" s="1251"/>
      <c r="BPX87" s="1251"/>
      <c r="BPY87" s="1251"/>
      <c r="BPZ87" s="1251"/>
      <c r="BQA87" s="1251"/>
      <c r="BQB87" s="1251"/>
      <c r="BQC87" s="1251"/>
      <c r="BQD87" s="1251"/>
      <c r="BQE87" s="1251"/>
      <c r="BQF87" s="1251"/>
      <c r="BQG87" s="1251"/>
      <c r="BQH87" s="1251"/>
      <c r="BQI87" s="1251"/>
      <c r="BQJ87" s="1251"/>
      <c r="BQK87" s="1251"/>
      <c r="BQL87" s="1251"/>
      <c r="BQM87" s="1251"/>
      <c r="BQN87" s="1251"/>
      <c r="BQO87" s="1251"/>
      <c r="BQP87" s="1251"/>
      <c r="BQQ87" s="1251"/>
      <c r="BQR87" s="1251"/>
      <c r="BQS87" s="1251"/>
      <c r="BQT87" s="1251"/>
      <c r="BQU87" s="1251"/>
      <c r="BQV87" s="1251"/>
      <c r="BQW87" s="1251"/>
      <c r="BQX87" s="1251"/>
      <c r="BQY87" s="1251"/>
      <c r="BQZ87" s="1251"/>
      <c r="BRA87" s="1251"/>
      <c r="BRB87" s="1251"/>
      <c r="BRC87" s="1251"/>
      <c r="BRD87" s="1251"/>
      <c r="BRE87" s="1251"/>
      <c r="BRF87" s="1251"/>
      <c r="BRG87" s="1251"/>
      <c r="BRH87" s="1251"/>
      <c r="BRI87" s="1251"/>
      <c r="BRJ87" s="1251"/>
      <c r="BRK87" s="1251"/>
      <c r="BRL87" s="1251"/>
      <c r="BRM87" s="1251"/>
      <c r="BRN87" s="1251"/>
      <c r="BRO87" s="1251"/>
      <c r="BRP87" s="1251"/>
      <c r="BRQ87" s="1251"/>
      <c r="BRR87" s="1251"/>
      <c r="BRS87" s="1251"/>
      <c r="BRT87" s="1251"/>
      <c r="BRU87" s="1251"/>
      <c r="BRV87" s="1251"/>
      <c r="BRW87" s="1251"/>
      <c r="BRX87" s="1251"/>
      <c r="BRY87" s="1251"/>
      <c r="BRZ87" s="1251"/>
      <c r="BSA87" s="1251"/>
      <c r="BSB87" s="1251"/>
      <c r="BSC87" s="1251"/>
      <c r="BSD87" s="1251"/>
      <c r="BSE87" s="1251"/>
      <c r="BSF87" s="1251"/>
      <c r="BSG87" s="1251"/>
      <c r="BSH87" s="1251"/>
      <c r="BSI87" s="1251"/>
      <c r="BSJ87" s="1251"/>
      <c r="BSK87" s="1251"/>
      <c r="BSL87" s="1251"/>
      <c r="BSM87" s="1251"/>
      <c r="BSN87" s="1251"/>
      <c r="BSO87" s="1251"/>
      <c r="BSP87" s="1251"/>
      <c r="BSQ87" s="1251"/>
      <c r="BSR87" s="1251"/>
      <c r="BSS87" s="1251"/>
      <c r="BST87" s="1251"/>
      <c r="BSU87" s="1251"/>
      <c r="BSV87" s="1251"/>
      <c r="BSW87" s="1251"/>
      <c r="BSX87" s="1251"/>
      <c r="BSY87" s="1251"/>
      <c r="BSZ87" s="1251"/>
      <c r="BTA87" s="1251"/>
      <c r="BTB87" s="1251"/>
      <c r="BTC87" s="1251"/>
      <c r="BTD87" s="1251"/>
      <c r="BTE87" s="1251"/>
      <c r="BTF87" s="1251"/>
      <c r="BTG87" s="1251"/>
      <c r="BTH87" s="1251"/>
      <c r="BTI87" s="1251"/>
    </row>
    <row r="88" spans="1:1881" s="1261" customFormat="1" ht="194.25" hidden="1" customHeight="1" thickBot="1" x14ac:dyDescent="0.35">
      <c r="A88" s="1248">
        <v>590</v>
      </c>
      <c r="B88" s="593" t="s">
        <v>567</v>
      </c>
      <c r="C88" s="593"/>
      <c r="D88" s="24" t="s">
        <v>1486</v>
      </c>
      <c r="E88" s="1268"/>
      <c r="F88" s="1263"/>
      <c r="G88" s="737"/>
      <c r="H88" s="730"/>
      <c r="I88" s="760"/>
      <c r="J88" s="1251"/>
      <c r="K88" s="1269"/>
      <c r="L88" s="701"/>
      <c r="M88" s="1251"/>
      <c r="N88" s="1253"/>
      <c r="O88" s="1251"/>
      <c r="P88" s="1251"/>
      <c r="Q88" s="1251"/>
      <c r="R88" s="1251"/>
      <c r="S88" s="1251"/>
      <c r="T88" s="1251"/>
      <c r="U88" s="1251"/>
      <c r="V88" s="1251"/>
      <c r="W88" s="1251"/>
      <c r="X88" s="1251"/>
      <c r="Y88" s="1251"/>
      <c r="Z88" s="1248"/>
      <c r="AA88" s="1248"/>
      <c r="AB88" s="1248"/>
      <c r="AC88" s="1248"/>
      <c r="AD88" s="1248"/>
      <c r="AE88" s="1248"/>
      <c r="AF88" s="1248"/>
      <c r="AG88" s="1248"/>
      <c r="AH88" s="1248"/>
      <c r="AI88" s="1248"/>
      <c r="AJ88" s="1248"/>
      <c r="AK88" s="1248"/>
      <c r="AL88" s="1248"/>
      <c r="AM88" s="1248"/>
      <c r="AN88" s="1248"/>
      <c r="AO88" s="1248"/>
      <c r="AP88" s="1248"/>
      <c r="AQ88" s="1248"/>
      <c r="AR88" s="1248"/>
      <c r="AS88" s="1251"/>
      <c r="AT88" s="1251"/>
      <c r="AU88" s="1251"/>
      <c r="AV88" s="1251"/>
      <c r="AW88" s="1251"/>
      <c r="AX88" s="1251"/>
      <c r="AY88" s="1251"/>
      <c r="AZ88" s="1251"/>
      <c r="BA88" s="1251"/>
      <c r="BB88" s="1251"/>
      <c r="BC88" s="1251"/>
      <c r="BD88" s="1251"/>
      <c r="BE88" s="1251"/>
      <c r="BF88" s="1251"/>
      <c r="BG88" s="1251"/>
      <c r="BH88" s="1251"/>
      <c r="BI88" s="1251"/>
      <c r="BJ88" s="1251"/>
      <c r="BK88" s="1251"/>
      <c r="BL88" s="1251"/>
      <c r="BM88" s="1251"/>
      <c r="BN88" s="1251"/>
      <c r="BO88" s="1251"/>
      <c r="BP88" s="1251"/>
      <c r="BQ88" s="1251"/>
      <c r="BR88" s="1251"/>
      <c r="BS88" s="1251"/>
      <c r="BT88" s="1251"/>
      <c r="BU88" s="1251"/>
      <c r="BV88" s="1251"/>
      <c r="BW88" s="1251"/>
      <c r="BX88" s="1251"/>
      <c r="BY88" s="1251"/>
      <c r="BZ88" s="1251"/>
      <c r="CA88" s="1251"/>
      <c r="CB88" s="1251"/>
      <c r="CC88" s="1251"/>
      <c r="CD88" s="1251"/>
      <c r="CE88" s="1251"/>
      <c r="CF88" s="1251"/>
      <c r="CG88" s="1251"/>
      <c r="CH88" s="1251"/>
      <c r="CI88" s="1251"/>
      <c r="CJ88" s="1251"/>
      <c r="CK88" s="1251"/>
      <c r="CL88" s="1251"/>
      <c r="CM88" s="1251"/>
      <c r="CN88" s="1251"/>
      <c r="CO88" s="1251"/>
      <c r="CP88" s="1251"/>
      <c r="CQ88" s="1251"/>
      <c r="CR88" s="1251"/>
      <c r="CS88" s="1251"/>
      <c r="CT88" s="1251"/>
      <c r="CU88" s="1251"/>
      <c r="CV88" s="1251"/>
      <c r="CW88" s="1251"/>
      <c r="CX88" s="1251"/>
      <c r="CY88" s="1251"/>
      <c r="CZ88" s="1251"/>
      <c r="DA88" s="1251"/>
      <c r="DB88" s="1251"/>
      <c r="DC88" s="1251"/>
      <c r="DD88" s="1251"/>
      <c r="DE88" s="1251"/>
      <c r="DF88" s="1251"/>
      <c r="DG88" s="1251"/>
      <c r="DH88" s="1251"/>
      <c r="DI88" s="1251"/>
      <c r="DJ88" s="1251"/>
      <c r="DK88" s="1251"/>
      <c r="DL88" s="1251"/>
      <c r="DM88" s="1251"/>
      <c r="DN88" s="1251"/>
      <c r="DO88" s="1251"/>
      <c r="DP88" s="1251"/>
      <c r="DQ88" s="1251"/>
      <c r="DR88" s="1251"/>
      <c r="DS88" s="1251"/>
      <c r="DT88" s="1251"/>
      <c r="DU88" s="1251"/>
      <c r="DV88" s="1251"/>
      <c r="DW88" s="1251"/>
      <c r="DX88" s="1251"/>
      <c r="DY88" s="1251"/>
      <c r="DZ88" s="1251"/>
      <c r="EA88" s="1251"/>
      <c r="EB88" s="1251"/>
      <c r="EC88" s="1251"/>
      <c r="ED88" s="1251"/>
      <c r="EE88" s="1251"/>
      <c r="EF88" s="1251"/>
      <c r="EG88" s="1251"/>
      <c r="EH88" s="1251"/>
      <c r="EI88" s="1251"/>
      <c r="EJ88" s="1251"/>
      <c r="EK88" s="1251"/>
      <c r="EL88" s="1251"/>
      <c r="EM88" s="1251"/>
      <c r="EN88" s="1251"/>
      <c r="EO88" s="1251"/>
      <c r="EP88" s="1251"/>
      <c r="EQ88" s="1251"/>
      <c r="ER88" s="1251"/>
      <c r="ES88" s="1251"/>
      <c r="ET88" s="1251"/>
      <c r="EU88" s="1251"/>
      <c r="EV88" s="1251"/>
      <c r="EW88" s="1251"/>
      <c r="EX88" s="1251"/>
      <c r="EY88" s="1251"/>
      <c r="EZ88" s="1251"/>
      <c r="FA88" s="1251"/>
      <c r="FB88" s="1251"/>
      <c r="FC88" s="1251"/>
      <c r="FD88" s="1251"/>
      <c r="FE88" s="1251"/>
      <c r="FF88" s="1251"/>
      <c r="FG88" s="1251"/>
      <c r="FH88" s="1251"/>
      <c r="FI88" s="1251"/>
      <c r="FJ88" s="1251"/>
      <c r="FK88" s="1251"/>
      <c r="FL88" s="1251"/>
      <c r="FM88" s="1251"/>
      <c r="FN88" s="1251"/>
      <c r="FO88" s="1251"/>
      <c r="FP88" s="1251"/>
      <c r="FQ88" s="1251"/>
      <c r="FR88" s="1251"/>
      <c r="FS88" s="1251"/>
      <c r="FT88" s="1251"/>
      <c r="FU88" s="1251"/>
      <c r="FV88" s="1251"/>
      <c r="FW88" s="1251"/>
      <c r="FX88" s="1251"/>
      <c r="FY88" s="1251"/>
      <c r="FZ88" s="1251"/>
      <c r="GA88" s="1251"/>
      <c r="GB88" s="1251"/>
      <c r="GC88" s="1251"/>
      <c r="GD88" s="1251"/>
      <c r="GE88" s="1251"/>
      <c r="GF88" s="1251"/>
      <c r="GG88" s="1251"/>
      <c r="GH88" s="1251"/>
      <c r="GI88" s="1251"/>
      <c r="GJ88" s="1251"/>
      <c r="GK88" s="1251"/>
      <c r="GL88" s="1251"/>
      <c r="GM88" s="1251"/>
      <c r="GN88" s="1251"/>
      <c r="GO88" s="1251"/>
      <c r="GP88" s="1251"/>
      <c r="GQ88" s="1251"/>
      <c r="GR88" s="1251"/>
      <c r="GS88" s="1251"/>
      <c r="GT88" s="1251"/>
      <c r="GU88" s="1251"/>
      <c r="GV88" s="1251"/>
      <c r="GW88" s="1251"/>
      <c r="GX88" s="1251"/>
      <c r="GY88" s="1251"/>
      <c r="GZ88" s="1251"/>
      <c r="HA88" s="1251"/>
      <c r="HB88" s="1251"/>
      <c r="HC88" s="1251"/>
      <c r="HD88" s="1251"/>
      <c r="HE88" s="1251"/>
      <c r="HF88" s="1251"/>
      <c r="HG88" s="1251"/>
      <c r="HH88" s="1251"/>
      <c r="HI88" s="1251"/>
      <c r="HJ88" s="1251"/>
      <c r="HK88" s="1251"/>
      <c r="HL88" s="1251"/>
      <c r="HM88" s="1251"/>
      <c r="HN88" s="1251"/>
      <c r="HO88" s="1251"/>
      <c r="HP88" s="1251"/>
      <c r="HQ88" s="1251"/>
      <c r="HR88" s="1251"/>
      <c r="HS88" s="1251"/>
      <c r="HT88" s="1251"/>
      <c r="HU88" s="1251"/>
      <c r="HV88" s="1251"/>
      <c r="HW88" s="1251"/>
      <c r="HX88" s="1251"/>
      <c r="HY88" s="1251"/>
      <c r="HZ88" s="1251"/>
      <c r="IA88" s="1251"/>
      <c r="IB88" s="1251"/>
      <c r="IC88" s="1251"/>
      <c r="ID88" s="1251"/>
      <c r="IE88" s="1251"/>
      <c r="IF88" s="1251"/>
      <c r="IG88" s="1251"/>
      <c r="IH88" s="1251"/>
      <c r="II88" s="1251"/>
      <c r="IJ88" s="1251"/>
      <c r="IK88" s="1251"/>
      <c r="IL88" s="1251"/>
      <c r="IM88" s="1251"/>
      <c r="IN88" s="1251"/>
      <c r="IO88" s="1251"/>
      <c r="IP88" s="1251"/>
      <c r="IQ88" s="1251"/>
      <c r="IR88" s="1251"/>
      <c r="IS88" s="1251"/>
      <c r="IT88" s="1251"/>
      <c r="IU88" s="1251"/>
      <c r="IV88" s="1251"/>
      <c r="IW88" s="1251"/>
      <c r="IX88" s="1251"/>
      <c r="IY88" s="1251"/>
      <c r="IZ88" s="1251"/>
      <c r="JA88" s="1251"/>
      <c r="JB88" s="1251"/>
      <c r="JC88" s="1251"/>
      <c r="JD88" s="1251"/>
      <c r="JE88" s="1251"/>
      <c r="JF88" s="1251"/>
      <c r="JG88" s="1251"/>
      <c r="JH88" s="1251"/>
      <c r="JI88" s="1251"/>
      <c r="JJ88" s="1251"/>
      <c r="JK88" s="1251"/>
      <c r="JL88" s="1251"/>
      <c r="JM88" s="1251"/>
      <c r="JN88" s="1251"/>
      <c r="JO88" s="1251"/>
      <c r="JP88" s="1251"/>
      <c r="JQ88" s="1251"/>
      <c r="JR88" s="1251"/>
      <c r="JS88" s="1251"/>
      <c r="JT88" s="1251"/>
      <c r="JU88" s="1251"/>
      <c r="JV88" s="1251"/>
      <c r="JW88" s="1251"/>
      <c r="JX88" s="1251"/>
      <c r="JY88" s="1251"/>
      <c r="JZ88" s="1251"/>
      <c r="KA88" s="1251"/>
      <c r="KB88" s="1251"/>
      <c r="KC88" s="1251"/>
      <c r="KD88" s="1251"/>
      <c r="KE88" s="1251"/>
      <c r="KF88" s="1251"/>
      <c r="KG88" s="1251"/>
      <c r="KH88" s="1251"/>
      <c r="KI88" s="1251"/>
      <c r="KJ88" s="1251"/>
      <c r="KK88" s="1251"/>
      <c r="KL88" s="1251"/>
      <c r="KM88" s="1251"/>
      <c r="KN88" s="1251"/>
      <c r="KO88" s="1251"/>
      <c r="KP88" s="1251"/>
      <c r="KQ88" s="1251"/>
      <c r="KR88" s="1251"/>
      <c r="KS88" s="1251"/>
      <c r="KT88" s="1251"/>
      <c r="KU88" s="1251"/>
      <c r="KV88" s="1251"/>
      <c r="KW88" s="1251"/>
      <c r="KX88" s="1251"/>
      <c r="KY88" s="1251"/>
      <c r="KZ88" s="1251"/>
      <c r="LA88" s="1251"/>
      <c r="LB88" s="1251"/>
      <c r="LC88" s="1251"/>
      <c r="LD88" s="1251"/>
      <c r="LE88" s="1251"/>
      <c r="LF88" s="1251"/>
      <c r="LG88" s="1251"/>
      <c r="LH88" s="1251"/>
      <c r="LI88" s="1251"/>
      <c r="LJ88" s="1251"/>
      <c r="LK88" s="1251"/>
      <c r="LL88" s="1251"/>
      <c r="LM88" s="1251"/>
      <c r="LN88" s="1251"/>
      <c r="LO88" s="1251"/>
      <c r="LP88" s="1251"/>
      <c r="LQ88" s="1251"/>
      <c r="LR88" s="1251"/>
      <c r="LS88" s="1251"/>
      <c r="LT88" s="1251"/>
      <c r="LU88" s="1251"/>
      <c r="LV88" s="1251"/>
      <c r="LW88" s="1251"/>
      <c r="LX88" s="1251"/>
      <c r="LY88" s="1251"/>
      <c r="LZ88" s="1251"/>
      <c r="MA88" s="1251"/>
      <c r="MB88" s="1251"/>
      <c r="MC88" s="1251"/>
      <c r="MD88" s="1251"/>
      <c r="ME88" s="1251"/>
      <c r="MF88" s="1251"/>
      <c r="MG88" s="1251"/>
      <c r="MH88" s="1251"/>
      <c r="MI88" s="1251"/>
      <c r="MJ88" s="1251"/>
      <c r="MK88" s="1251"/>
      <c r="ML88" s="1251"/>
      <c r="MM88" s="1251"/>
      <c r="MN88" s="1251"/>
      <c r="MO88" s="1251"/>
      <c r="MP88" s="1251"/>
      <c r="MQ88" s="1251"/>
      <c r="MR88" s="1251"/>
      <c r="MS88" s="1251"/>
      <c r="MT88" s="1251"/>
      <c r="MU88" s="1251"/>
      <c r="MV88" s="1251"/>
      <c r="MW88" s="1251"/>
      <c r="MX88" s="1251"/>
      <c r="MY88" s="1251"/>
      <c r="MZ88" s="1251"/>
      <c r="NA88" s="1251"/>
      <c r="NB88" s="1251"/>
      <c r="NC88" s="1251"/>
      <c r="ND88" s="1251"/>
      <c r="NE88" s="1251"/>
      <c r="NF88" s="1251"/>
      <c r="NG88" s="1251"/>
      <c r="NH88" s="1251"/>
      <c r="NI88" s="1251"/>
      <c r="NJ88" s="1251"/>
      <c r="NK88" s="1251"/>
      <c r="NL88" s="1251"/>
      <c r="NM88" s="1251"/>
      <c r="NN88" s="1251"/>
      <c r="NO88" s="1251"/>
      <c r="NP88" s="1251"/>
      <c r="NQ88" s="1251"/>
      <c r="NR88" s="1251"/>
      <c r="NS88" s="1251"/>
      <c r="NT88" s="1251"/>
      <c r="NU88" s="1251"/>
      <c r="NV88" s="1251"/>
      <c r="NW88" s="1251"/>
      <c r="NX88" s="1251"/>
      <c r="NY88" s="1251"/>
      <c r="NZ88" s="1251"/>
      <c r="OA88" s="1251"/>
      <c r="OB88" s="1251"/>
      <c r="OC88" s="1251"/>
      <c r="OD88" s="1251"/>
      <c r="OE88" s="1251"/>
      <c r="OF88" s="1251"/>
      <c r="OG88" s="1251"/>
      <c r="OH88" s="1251"/>
      <c r="OI88" s="1251"/>
      <c r="OJ88" s="1251"/>
      <c r="OK88" s="1251"/>
      <c r="OL88" s="1251"/>
      <c r="OM88" s="1251"/>
      <c r="ON88" s="1251"/>
      <c r="OO88" s="1251"/>
      <c r="OP88" s="1251"/>
      <c r="OQ88" s="1251"/>
      <c r="OR88" s="1251"/>
      <c r="OS88" s="1251"/>
      <c r="OT88" s="1251"/>
      <c r="OU88" s="1251"/>
      <c r="OV88" s="1251"/>
      <c r="OW88" s="1251"/>
      <c r="OX88" s="1251"/>
      <c r="OY88" s="1251"/>
      <c r="OZ88" s="1251"/>
      <c r="PA88" s="1251"/>
      <c r="PB88" s="1251"/>
      <c r="PC88" s="1251"/>
      <c r="PD88" s="1251"/>
      <c r="PE88" s="1251"/>
      <c r="PF88" s="1251"/>
      <c r="PG88" s="1251"/>
      <c r="PH88" s="1251"/>
      <c r="PI88" s="1251"/>
      <c r="PJ88" s="1251"/>
      <c r="PK88" s="1251"/>
      <c r="PL88" s="1251"/>
      <c r="PM88" s="1251"/>
      <c r="PN88" s="1251"/>
      <c r="PO88" s="1251"/>
      <c r="PP88" s="1251"/>
      <c r="PQ88" s="1251"/>
      <c r="PR88" s="1251"/>
      <c r="PS88" s="1251"/>
      <c r="PT88" s="1251"/>
      <c r="PU88" s="1251"/>
      <c r="PV88" s="1251"/>
      <c r="PW88" s="1251"/>
      <c r="PX88" s="1251"/>
      <c r="PY88" s="1251"/>
      <c r="PZ88" s="1251"/>
      <c r="QA88" s="1251"/>
      <c r="QB88" s="1251"/>
      <c r="QC88" s="1251"/>
      <c r="QD88" s="1251"/>
      <c r="QE88" s="1251"/>
      <c r="QF88" s="1251"/>
      <c r="QG88" s="1251"/>
      <c r="QH88" s="1251"/>
      <c r="QI88" s="1251"/>
      <c r="QJ88" s="1251"/>
      <c r="QK88" s="1251"/>
      <c r="QL88" s="1251"/>
      <c r="QM88" s="1251"/>
      <c r="QN88" s="1251"/>
      <c r="QO88" s="1251"/>
      <c r="QP88" s="1251"/>
      <c r="QQ88" s="1251"/>
      <c r="QR88" s="1251"/>
      <c r="QS88" s="1251"/>
      <c r="QT88" s="1251"/>
      <c r="QU88" s="1251"/>
      <c r="QV88" s="1251"/>
      <c r="QW88" s="1251"/>
      <c r="QX88" s="1251"/>
      <c r="QY88" s="1251"/>
      <c r="QZ88" s="1251"/>
      <c r="RA88" s="1251"/>
      <c r="RB88" s="1251"/>
      <c r="RC88" s="1251"/>
      <c r="RD88" s="1251"/>
      <c r="RE88" s="1251"/>
      <c r="RF88" s="1251"/>
      <c r="RG88" s="1251"/>
      <c r="RH88" s="1251"/>
      <c r="RI88" s="1251"/>
      <c r="RJ88" s="1251"/>
      <c r="RK88" s="1251"/>
      <c r="RL88" s="1251"/>
      <c r="RM88" s="1251"/>
      <c r="RN88" s="1251"/>
      <c r="RO88" s="1251"/>
      <c r="RP88" s="1251"/>
      <c r="RQ88" s="1251"/>
      <c r="RR88" s="1251"/>
      <c r="RS88" s="1251"/>
      <c r="RT88" s="1251"/>
      <c r="RU88" s="1251"/>
      <c r="RV88" s="1251"/>
      <c r="RW88" s="1251"/>
      <c r="RX88" s="1251"/>
      <c r="RY88" s="1251"/>
      <c r="RZ88" s="1251"/>
      <c r="SA88" s="1251"/>
      <c r="SB88" s="1251"/>
      <c r="SC88" s="1251"/>
      <c r="SD88" s="1251"/>
      <c r="SE88" s="1251"/>
      <c r="SF88" s="1251"/>
      <c r="SG88" s="1251"/>
      <c r="SH88" s="1251"/>
      <c r="SI88" s="1251"/>
      <c r="SJ88" s="1251"/>
      <c r="SK88" s="1251"/>
      <c r="SL88" s="1251"/>
      <c r="SM88" s="1251"/>
      <c r="SN88" s="1251"/>
      <c r="SO88" s="1251"/>
      <c r="SP88" s="1251"/>
      <c r="SQ88" s="1251"/>
      <c r="SR88" s="1251"/>
      <c r="SS88" s="1251"/>
      <c r="ST88" s="1251"/>
      <c r="SU88" s="1251"/>
      <c r="SV88" s="1251"/>
      <c r="SW88" s="1251"/>
      <c r="SX88" s="1251"/>
      <c r="SY88" s="1251"/>
      <c r="SZ88" s="1251"/>
      <c r="TA88" s="1251"/>
      <c r="TB88" s="1251"/>
      <c r="TC88" s="1251"/>
      <c r="TD88" s="1251"/>
      <c r="TE88" s="1251"/>
      <c r="TF88" s="1251"/>
      <c r="TG88" s="1251"/>
      <c r="TH88" s="1251"/>
      <c r="TI88" s="1251"/>
      <c r="TJ88" s="1251"/>
      <c r="TK88" s="1251"/>
      <c r="TL88" s="1251"/>
      <c r="TM88" s="1251"/>
      <c r="TN88" s="1251"/>
      <c r="TO88" s="1251"/>
      <c r="TP88" s="1251"/>
      <c r="TQ88" s="1251"/>
      <c r="TR88" s="1251"/>
      <c r="TS88" s="1251"/>
      <c r="TT88" s="1251"/>
      <c r="TU88" s="1251"/>
      <c r="TV88" s="1251"/>
      <c r="TW88" s="1251"/>
      <c r="TX88" s="1251"/>
      <c r="TY88" s="1251"/>
      <c r="TZ88" s="1251"/>
      <c r="UA88" s="1251"/>
      <c r="UB88" s="1251"/>
      <c r="UC88" s="1251"/>
      <c r="UD88" s="1251"/>
      <c r="UE88" s="1251"/>
      <c r="UF88" s="1251"/>
      <c r="UG88" s="1251"/>
      <c r="UH88" s="1251"/>
      <c r="UI88" s="1251"/>
      <c r="UJ88" s="1251"/>
      <c r="UK88" s="1251"/>
      <c r="UL88" s="1251"/>
      <c r="UM88" s="1251"/>
      <c r="UN88" s="1251"/>
      <c r="UO88" s="1251"/>
      <c r="UP88" s="1251"/>
      <c r="UQ88" s="1251"/>
      <c r="UR88" s="1251"/>
      <c r="US88" s="1251"/>
      <c r="UT88" s="1251"/>
      <c r="UU88" s="1251"/>
      <c r="UV88" s="1251"/>
      <c r="UW88" s="1251"/>
      <c r="UX88" s="1251"/>
      <c r="UY88" s="1251"/>
      <c r="UZ88" s="1251"/>
      <c r="VA88" s="1251"/>
      <c r="VB88" s="1251"/>
      <c r="VC88" s="1251"/>
      <c r="VD88" s="1251"/>
      <c r="VE88" s="1251"/>
      <c r="VF88" s="1251"/>
      <c r="VG88" s="1251"/>
      <c r="VH88" s="1251"/>
      <c r="VI88" s="1251"/>
      <c r="VJ88" s="1251"/>
      <c r="VK88" s="1251"/>
      <c r="VL88" s="1251"/>
      <c r="VM88" s="1251"/>
      <c r="VN88" s="1251"/>
      <c r="VO88" s="1251"/>
      <c r="VP88" s="1251"/>
      <c r="VQ88" s="1251"/>
      <c r="VR88" s="1251"/>
      <c r="VS88" s="1251"/>
      <c r="VT88" s="1251"/>
      <c r="VU88" s="1251"/>
      <c r="VV88" s="1251"/>
      <c r="VW88" s="1251"/>
      <c r="VX88" s="1251"/>
      <c r="VY88" s="1251"/>
      <c r="VZ88" s="1251"/>
      <c r="WA88" s="1251"/>
      <c r="WB88" s="1251"/>
      <c r="WC88" s="1251"/>
      <c r="WD88" s="1251"/>
      <c r="WE88" s="1251"/>
      <c r="WF88" s="1251"/>
      <c r="WG88" s="1251"/>
      <c r="WH88" s="1251"/>
      <c r="WI88" s="1251"/>
      <c r="WJ88" s="1251"/>
      <c r="WK88" s="1251"/>
      <c r="WL88" s="1251"/>
      <c r="WM88" s="1251"/>
      <c r="WN88" s="1251"/>
      <c r="WO88" s="1251"/>
      <c r="WP88" s="1251"/>
      <c r="WQ88" s="1251"/>
      <c r="WR88" s="1251"/>
      <c r="WS88" s="1251"/>
      <c r="WT88" s="1251"/>
      <c r="WU88" s="1251"/>
      <c r="WV88" s="1251"/>
      <c r="WW88" s="1251"/>
      <c r="WX88" s="1251"/>
      <c r="WY88" s="1251"/>
      <c r="WZ88" s="1251"/>
      <c r="XA88" s="1251"/>
      <c r="XB88" s="1251"/>
      <c r="XC88" s="1251"/>
      <c r="XD88" s="1251"/>
      <c r="XE88" s="1251"/>
      <c r="XF88" s="1251"/>
      <c r="XG88" s="1251"/>
      <c r="XH88" s="1251"/>
      <c r="XI88" s="1251"/>
      <c r="XJ88" s="1251"/>
      <c r="XK88" s="1251"/>
      <c r="XL88" s="1251"/>
      <c r="XM88" s="1251"/>
      <c r="XN88" s="1251"/>
      <c r="XO88" s="1251"/>
      <c r="XP88" s="1251"/>
      <c r="XQ88" s="1251"/>
      <c r="XR88" s="1251"/>
      <c r="XS88" s="1251"/>
      <c r="XT88" s="1251"/>
      <c r="XU88" s="1251"/>
      <c r="XV88" s="1251"/>
      <c r="XW88" s="1251"/>
      <c r="XX88" s="1251"/>
      <c r="XY88" s="1251"/>
      <c r="XZ88" s="1251"/>
      <c r="YA88" s="1251"/>
      <c r="YB88" s="1251"/>
      <c r="YC88" s="1251"/>
      <c r="YD88" s="1251"/>
      <c r="YE88" s="1251"/>
      <c r="YF88" s="1251"/>
      <c r="YG88" s="1251"/>
      <c r="YH88" s="1251"/>
      <c r="YI88" s="1251"/>
      <c r="YJ88" s="1251"/>
      <c r="YK88" s="1251"/>
      <c r="YL88" s="1251"/>
      <c r="YM88" s="1251"/>
      <c r="YN88" s="1251"/>
      <c r="YO88" s="1251"/>
      <c r="YP88" s="1251"/>
      <c r="YQ88" s="1251"/>
      <c r="YR88" s="1251"/>
      <c r="YS88" s="1251"/>
      <c r="YT88" s="1251"/>
      <c r="YU88" s="1251"/>
      <c r="YV88" s="1251"/>
      <c r="YW88" s="1251"/>
      <c r="YX88" s="1251"/>
      <c r="YY88" s="1251"/>
      <c r="YZ88" s="1251"/>
      <c r="ZA88" s="1251"/>
      <c r="ZB88" s="1251"/>
      <c r="ZC88" s="1251"/>
      <c r="ZD88" s="1251"/>
      <c r="ZE88" s="1251"/>
      <c r="ZF88" s="1251"/>
      <c r="ZG88" s="1251"/>
      <c r="ZH88" s="1251"/>
      <c r="ZI88" s="1251"/>
      <c r="ZJ88" s="1251"/>
      <c r="ZK88" s="1251"/>
      <c r="ZL88" s="1251"/>
      <c r="ZM88" s="1251"/>
      <c r="ZN88" s="1251"/>
      <c r="ZO88" s="1251"/>
      <c r="ZP88" s="1251"/>
      <c r="ZQ88" s="1251"/>
      <c r="ZR88" s="1251"/>
      <c r="ZS88" s="1251"/>
      <c r="ZT88" s="1251"/>
      <c r="ZU88" s="1251"/>
      <c r="ZV88" s="1251"/>
      <c r="ZW88" s="1251"/>
      <c r="ZX88" s="1251"/>
      <c r="ZY88" s="1251"/>
      <c r="ZZ88" s="1251"/>
      <c r="AAA88" s="1251"/>
      <c r="AAB88" s="1251"/>
      <c r="AAC88" s="1251"/>
      <c r="AAD88" s="1251"/>
      <c r="AAE88" s="1251"/>
      <c r="AAF88" s="1251"/>
      <c r="AAG88" s="1251"/>
      <c r="AAH88" s="1251"/>
      <c r="AAI88" s="1251"/>
      <c r="AAJ88" s="1251"/>
      <c r="AAK88" s="1251"/>
      <c r="AAL88" s="1251"/>
      <c r="AAM88" s="1251"/>
      <c r="AAN88" s="1251"/>
      <c r="AAO88" s="1251"/>
      <c r="AAP88" s="1251"/>
      <c r="AAQ88" s="1251"/>
      <c r="AAR88" s="1251"/>
      <c r="AAS88" s="1251"/>
      <c r="AAT88" s="1251"/>
      <c r="AAU88" s="1251"/>
      <c r="AAV88" s="1251"/>
      <c r="AAW88" s="1251"/>
      <c r="AAX88" s="1251"/>
      <c r="AAY88" s="1251"/>
      <c r="AAZ88" s="1251"/>
      <c r="ABA88" s="1251"/>
      <c r="ABB88" s="1251"/>
      <c r="ABC88" s="1251"/>
      <c r="ABD88" s="1251"/>
      <c r="ABE88" s="1251"/>
      <c r="ABF88" s="1251"/>
      <c r="ABG88" s="1251"/>
      <c r="ABH88" s="1251"/>
      <c r="ABI88" s="1251"/>
      <c r="ABJ88" s="1251"/>
      <c r="ABK88" s="1251"/>
      <c r="ABL88" s="1251"/>
      <c r="ABM88" s="1251"/>
      <c r="ABN88" s="1251"/>
      <c r="ABO88" s="1251"/>
      <c r="ABP88" s="1251"/>
      <c r="ABQ88" s="1251"/>
      <c r="ABR88" s="1251"/>
      <c r="ABS88" s="1251"/>
      <c r="ABT88" s="1251"/>
      <c r="ABU88" s="1251"/>
      <c r="ABV88" s="1251"/>
      <c r="ABW88" s="1251"/>
      <c r="ABX88" s="1251"/>
      <c r="ABY88" s="1251"/>
      <c r="ABZ88" s="1251"/>
      <c r="ACA88" s="1251"/>
      <c r="ACB88" s="1251"/>
      <c r="ACC88" s="1251"/>
      <c r="ACD88" s="1251"/>
      <c r="ACE88" s="1251"/>
      <c r="ACF88" s="1251"/>
      <c r="ACG88" s="1251"/>
      <c r="ACH88" s="1251"/>
      <c r="ACI88" s="1251"/>
      <c r="ACJ88" s="1251"/>
      <c r="ACK88" s="1251"/>
      <c r="ACL88" s="1251"/>
      <c r="ACM88" s="1251"/>
      <c r="ACN88" s="1251"/>
      <c r="ACO88" s="1251"/>
      <c r="ACP88" s="1251"/>
      <c r="ACQ88" s="1251"/>
      <c r="ACR88" s="1251"/>
      <c r="ACS88" s="1251"/>
      <c r="ACT88" s="1251"/>
      <c r="ACU88" s="1251"/>
      <c r="ACV88" s="1251"/>
      <c r="ACW88" s="1251"/>
      <c r="ACX88" s="1251"/>
      <c r="ACY88" s="1251"/>
      <c r="ACZ88" s="1251"/>
      <c r="ADA88" s="1251"/>
      <c r="ADB88" s="1251"/>
      <c r="ADC88" s="1251"/>
      <c r="ADD88" s="1251"/>
      <c r="ADE88" s="1251"/>
      <c r="ADF88" s="1251"/>
      <c r="ADG88" s="1251"/>
      <c r="ADH88" s="1251"/>
      <c r="ADI88" s="1251"/>
      <c r="ADJ88" s="1251"/>
      <c r="ADK88" s="1251"/>
      <c r="ADL88" s="1251"/>
      <c r="ADM88" s="1251"/>
      <c r="ADN88" s="1251"/>
      <c r="ADO88" s="1251"/>
      <c r="ADP88" s="1251"/>
      <c r="ADQ88" s="1251"/>
      <c r="ADR88" s="1251"/>
      <c r="ADS88" s="1251"/>
      <c r="ADT88" s="1251"/>
      <c r="ADU88" s="1251"/>
      <c r="ADV88" s="1251"/>
      <c r="ADW88" s="1251"/>
      <c r="ADX88" s="1251"/>
      <c r="ADY88" s="1251"/>
      <c r="ADZ88" s="1251"/>
      <c r="AEA88" s="1251"/>
      <c r="AEB88" s="1251"/>
      <c r="AEC88" s="1251"/>
      <c r="AED88" s="1251"/>
      <c r="AEE88" s="1251"/>
      <c r="AEF88" s="1251"/>
      <c r="AEG88" s="1251"/>
      <c r="AEH88" s="1251"/>
      <c r="AEI88" s="1251"/>
      <c r="AEJ88" s="1251"/>
      <c r="AEK88" s="1251"/>
      <c r="AEL88" s="1251"/>
      <c r="AEM88" s="1251"/>
      <c r="AEN88" s="1251"/>
      <c r="AEO88" s="1251"/>
      <c r="AEP88" s="1251"/>
      <c r="AEQ88" s="1251"/>
      <c r="AER88" s="1251"/>
      <c r="AES88" s="1251"/>
      <c r="AET88" s="1251"/>
      <c r="AEU88" s="1251"/>
      <c r="AEV88" s="1251"/>
      <c r="AEW88" s="1251"/>
      <c r="AEX88" s="1251"/>
      <c r="AEY88" s="1251"/>
      <c r="AEZ88" s="1251"/>
      <c r="AFA88" s="1251"/>
      <c r="AFB88" s="1251"/>
      <c r="AFC88" s="1251"/>
      <c r="AFD88" s="1251"/>
      <c r="AFE88" s="1251"/>
      <c r="AFF88" s="1251"/>
      <c r="AFG88" s="1251"/>
      <c r="AFH88" s="1251"/>
      <c r="AFI88" s="1251"/>
      <c r="AFJ88" s="1251"/>
      <c r="AFK88" s="1251"/>
      <c r="AFL88" s="1251"/>
      <c r="AFM88" s="1251"/>
      <c r="AFN88" s="1251"/>
      <c r="AFO88" s="1251"/>
      <c r="AFP88" s="1251"/>
      <c r="AFQ88" s="1251"/>
      <c r="AFR88" s="1251"/>
      <c r="AFS88" s="1251"/>
      <c r="AFT88" s="1251"/>
      <c r="AFU88" s="1251"/>
      <c r="AFV88" s="1251"/>
      <c r="AFW88" s="1251"/>
      <c r="AFX88" s="1251"/>
      <c r="AFY88" s="1251"/>
      <c r="AFZ88" s="1251"/>
      <c r="AGA88" s="1251"/>
      <c r="AGB88" s="1251"/>
      <c r="AGC88" s="1251"/>
      <c r="AGD88" s="1251"/>
      <c r="AGE88" s="1251"/>
      <c r="AGF88" s="1251"/>
      <c r="AGG88" s="1251"/>
      <c r="AGH88" s="1251"/>
      <c r="AGI88" s="1251"/>
      <c r="AGJ88" s="1251"/>
      <c r="AGK88" s="1251"/>
      <c r="AGL88" s="1251"/>
      <c r="AGM88" s="1251"/>
      <c r="AGN88" s="1251"/>
      <c r="AGO88" s="1251"/>
      <c r="AGP88" s="1251"/>
      <c r="AGQ88" s="1251"/>
      <c r="AGR88" s="1251"/>
      <c r="AGS88" s="1251"/>
      <c r="AGT88" s="1251"/>
      <c r="AGU88" s="1251"/>
      <c r="AGV88" s="1251"/>
      <c r="AGW88" s="1251"/>
      <c r="AGX88" s="1251"/>
      <c r="AGY88" s="1251"/>
      <c r="AGZ88" s="1251"/>
      <c r="AHA88" s="1251"/>
      <c r="AHB88" s="1251"/>
      <c r="AHC88" s="1251"/>
      <c r="AHD88" s="1251"/>
      <c r="AHE88" s="1251"/>
      <c r="AHF88" s="1251"/>
      <c r="AHG88" s="1251"/>
      <c r="AHH88" s="1251"/>
      <c r="AHI88" s="1251"/>
      <c r="AHJ88" s="1251"/>
      <c r="AHK88" s="1251"/>
      <c r="AHL88" s="1251"/>
      <c r="AHM88" s="1251"/>
      <c r="AHN88" s="1251"/>
      <c r="AHO88" s="1251"/>
      <c r="AHP88" s="1251"/>
      <c r="AHQ88" s="1251"/>
      <c r="AHR88" s="1251"/>
      <c r="AHS88" s="1251"/>
      <c r="AHT88" s="1251"/>
      <c r="AHU88" s="1251"/>
      <c r="AHV88" s="1251"/>
      <c r="AHW88" s="1251"/>
      <c r="AHX88" s="1251"/>
      <c r="AHY88" s="1251"/>
      <c r="AHZ88" s="1251"/>
      <c r="AIA88" s="1251"/>
      <c r="AIB88" s="1251"/>
      <c r="AIC88" s="1251"/>
      <c r="AID88" s="1251"/>
      <c r="AIE88" s="1251"/>
      <c r="AIF88" s="1251"/>
      <c r="AIG88" s="1251"/>
      <c r="AIH88" s="1251"/>
      <c r="AII88" s="1251"/>
      <c r="AIJ88" s="1251"/>
      <c r="AIK88" s="1251"/>
      <c r="AIL88" s="1251"/>
      <c r="AIM88" s="1251"/>
      <c r="AIN88" s="1251"/>
      <c r="AIO88" s="1251"/>
      <c r="AIP88" s="1251"/>
      <c r="AIQ88" s="1251"/>
      <c r="AIR88" s="1251"/>
      <c r="AIS88" s="1251"/>
      <c r="AIT88" s="1251"/>
      <c r="AIU88" s="1251"/>
      <c r="AIV88" s="1251"/>
      <c r="AIW88" s="1251"/>
      <c r="AIX88" s="1251"/>
      <c r="AIY88" s="1251"/>
      <c r="AIZ88" s="1251"/>
      <c r="AJA88" s="1251"/>
      <c r="AJB88" s="1251"/>
      <c r="AJC88" s="1251"/>
      <c r="AJD88" s="1251"/>
      <c r="AJE88" s="1251"/>
      <c r="AJF88" s="1251"/>
      <c r="AJG88" s="1251"/>
      <c r="AJH88" s="1251"/>
      <c r="AJI88" s="1251"/>
      <c r="AJJ88" s="1251"/>
      <c r="AJK88" s="1251"/>
      <c r="AJL88" s="1251"/>
      <c r="AJM88" s="1251"/>
      <c r="AJN88" s="1251"/>
      <c r="AJO88" s="1251"/>
      <c r="AJP88" s="1251"/>
      <c r="AJQ88" s="1251"/>
      <c r="AJR88" s="1251"/>
      <c r="AJS88" s="1251"/>
      <c r="AJT88" s="1251"/>
      <c r="AJU88" s="1251"/>
      <c r="AJV88" s="1251"/>
      <c r="AJW88" s="1251"/>
      <c r="AJX88" s="1251"/>
      <c r="AJY88" s="1251"/>
      <c r="AJZ88" s="1251"/>
      <c r="AKA88" s="1251"/>
      <c r="AKB88" s="1251"/>
      <c r="AKC88" s="1251"/>
      <c r="AKD88" s="1251"/>
      <c r="AKE88" s="1251"/>
      <c r="AKF88" s="1251"/>
      <c r="AKG88" s="1251"/>
      <c r="AKH88" s="1251"/>
      <c r="AKI88" s="1251"/>
      <c r="AKJ88" s="1251"/>
      <c r="AKK88" s="1251"/>
      <c r="AKL88" s="1251"/>
      <c r="AKM88" s="1251"/>
      <c r="AKN88" s="1251"/>
      <c r="AKO88" s="1251"/>
      <c r="AKP88" s="1251"/>
      <c r="AKQ88" s="1251"/>
      <c r="AKR88" s="1251"/>
      <c r="AKS88" s="1251"/>
      <c r="AKT88" s="1251"/>
      <c r="AKU88" s="1251"/>
      <c r="AKV88" s="1251"/>
      <c r="AKW88" s="1251"/>
      <c r="AKX88" s="1251"/>
      <c r="AKY88" s="1251"/>
      <c r="AKZ88" s="1251"/>
      <c r="ALA88" s="1251"/>
      <c r="ALB88" s="1251"/>
      <c r="ALC88" s="1251"/>
      <c r="ALD88" s="1251"/>
      <c r="ALE88" s="1251"/>
      <c r="ALF88" s="1251"/>
      <c r="ALG88" s="1251"/>
      <c r="ALH88" s="1251"/>
      <c r="ALI88" s="1251"/>
      <c r="ALJ88" s="1251"/>
      <c r="ALK88" s="1251"/>
      <c r="ALL88" s="1251"/>
      <c r="ALM88" s="1251"/>
      <c r="ALN88" s="1251"/>
      <c r="ALO88" s="1251"/>
      <c r="ALP88" s="1251"/>
      <c r="ALQ88" s="1251"/>
      <c r="ALR88" s="1251"/>
      <c r="ALS88" s="1251"/>
      <c r="ALT88" s="1251"/>
      <c r="ALU88" s="1251"/>
      <c r="ALV88" s="1251"/>
      <c r="ALW88" s="1251"/>
      <c r="ALX88" s="1251"/>
      <c r="ALY88" s="1251"/>
      <c r="ALZ88" s="1251"/>
      <c r="AMA88" s="1251"/>
      <c r="AMB88" s="1251"/>
      <c r="AMC88" s="1251"/>
      <c r="AMD88" s="1251"/>
      <c r="AME88" s="1251"/>
      <c r="AMF88" s="1251"/>
      <c r="AMG88" s="1251"/>
      <c r="AMH88" s="1251"/>
      <c r="AMI88" s="1251"/>
      <c r="AMJ88" s="1251"/>
      <c r="AMK88" s="1251"/>
      <c r="AML88" s="1251"/>
      <c r="AMM88" s="1251"/>
      <c r="AMN88" s="1251"/>
      <c r="AMO88" s="1251"/>
      <c r="AMP88" s="1251"/>
      <c r="AMQ88" s="1251"/>
      <c r="AMR88" s="1251"/>
      <c r="AMS88" s="1251"/>
      <c r="AMT88" s="1251"/>
      <c r="AMU88" s="1251"/>
      <c r="AMV88" s="1251"/>
      <c r="AMW88" s="1251"/>
      <c r="AMX88" s="1251"/>
      <c r="AMY88" s="1251"/>
      <c r="AMZ88" s="1251"/>
      <c r="ANA88" s="1251"/>
      <c r="ANB88" s="1251"/>
      <c r="ANC88" s="1251"/>
      <c r="AND88" s="1251"/>
      <c r="ANE88" s="1251"/>
      <c r="ANF88" s="1251"/>
      <c r="ANG88" s="1251"/>
      <c r="ANH88" s="1251"/>
      <c r="ANI88" s="1251"/>
      <c r="ANJ88" s="1251"/>
      <c r="ANK88" s="1251"/>
      <c r="ANL88" s="1251"/>
      <c r="ANM88" s="1251"/>
      <c r="ANN88" s="1251"/>
      <c r="ANO88" s="1251"/>
      <c r="ANP88" s="1251"/>
      <c r="ANQ88" s="1251"/>
      <c r="ANR88" s="1251"/>
      <c r="ANS88" s="1251"/>
      <c r="ANT88" s="1251"/>
      <c r="ANU88" s="1251"/>
      <c r="ANV88" s="1251"/>
      <c r="ANW88" s="1251"/>
      <c r="ANX88" s="1251"/>
      <c r="ANY88" s="1251"/>
      <c r="ANZ88" s="1251"/>
      <c r="AOA88" s="1251"/>
      <c r="AOB88" s="1251"/>
      <c r="AOC88" s="1251"/>
      <c r="AOD88" s="1251"/>
      <c r="AOE88" s="1251"/>
      <c r="AOF88" s="1251"/>
      <c r="AOG88" s="1251"/>
      <c r="AOH88" s="1251"/>
      <c r="AOI88" s="1251"/>
      <c r="AOJ88" s="1251"/>
      <c r="AOK88" s="1251"/>
      <c r="AOL88" s="1251"/>
      <c r="AOM88" s="1251"/>
      <c r="AON88" s="1251"/>
      <c r="AOO88" s="1251"/>
      <c r="AOP88" s="1251"/>
      <c r="AOQ88" s="1251"/>
      <c r="AOR88" s="1251"/>
      <c r="AOS88" s="1251"/>
      <c r="AOT88" s="1251"/>
      <c r="AOU88" s="1251"/>
      <c r="AOV88" s="1251"/>
      <c r="AOW88" s="1251"/>
      <c r="AOX88" s="1251"/>
      <c r="AOY88" s="1251"/>
      <c r="AOZ88" s="1251"/>
      <c r="APA88" s="1251"/>
      <c r="APB88" s="1251"/>
      <c r="APC88" s="1251"/>
      <c r="APD88" s="1251"/>
      <c r="APE88" s="1251"/>
      <c r="APF88" s="1251"/>
      <c r="APG88" s="1251"/>
      <c r="APH88" s="1251"/>
      <c r="API88" s="1251"/>
      <c r="APJ88" s="1251"/>
      <c r="APK88" s="1251"/>
      <c r="APL88" s="1251"/>
      <c r="APM88" s="1251"/>
      <c r="APN88" s="1251"/>
      <c r="APO88" s="1251"/>
      <c r="APP88" s="1251"/>
      <c r="APQ88" s="1251"/>
      <c r="APR88" s="1251"/>
      <c r="APS88" s="1251"/>
      <c r="APT88" s="1251"/>
      <c r="APU88" s="1251"/>
      <c r="APV88" s="1251"/>
      <c r="APW88" s="1251"/>
      <c r="APX88" s="1251"/>
      <c r="APY88" s="1251"/>
      <c r="APZ88" s="1251"/>
      <c r="AQA88" s="1251"/>
      <c r="AQB88" s="1251"/>
      <c r="AQC88" s="1251"/>
      <c r="AQD88" s="1251"/>
      <c r="AQE88" s="1251"/>
      <c r="AQF88" s="1251"/>
      <c r="AQG88" s="1251"/>
      <c r="AQH88" s="1251"/>
      <c r="AQI88" s="1251"/>
      <c r="AQJ88" s="1251"/>
      <c r="AQK88" s="1251"/>
      <c r="AQL88" s="1251"/>
      <c r="AQM88" s="1251"/>
      <c r="AQN88" s="1251"/>
      <c r="AQO88" s="1251"/>
      <c r="AQP88" s="1251"/>
      <c r="AQQ88" s="1251"/>
      <c r="AQR88" s="1251"/>
      <c r="AQS88" s="1251"/>
      <c r="AQT88" s="1251"/>
      <c r="AQU88" s="1251"/>
      <c r="AQV88" s="1251"/>
      <c r="AQW88" s="1251"/>
      <c r="AQX88" s="1251"/>
      <c r="AQY88" s="1251"/>
      <c r="AQZ88" s="1251"/>
      <c r="ARA88" s="1251"/>
      <c r="ARB88" s="1251"/>
      <c r="ARC88" s="1251"/>
      <c r="ARD88" s="1251"/>
      <c r="ARE88" s="1251"/>
      <c r="ARF88" s="1251"/>
      <c r="ARG88" s="1251"/>
      <c r="ARH88" s="1251"/>
      <c r="ARI88" s="1251"/>
      <c r="ARJ88" s="1251"/>
      <c r="ARK88" s="1251"/>
      <c r="ARL88" s="1251"/>
      <c r="ARM88" s="1251"/>
      <c r="ARN88" s="1251"/>
      <c r="ARO88" s="1251"/>
      <c r="ARP88" s="1251"/>
      <c r="ARQ88" s="1251"/>
      <c r="ARR88" s="1251"/>
      <c r="ARS88" s="1251"/>
      <c r="ART88" s="1251"/>
      <c r="ARU88" s="1251"/>
      <c r="ARV88" s="1251"/>
      <c r="ARW88" s="1251"/>
      <c r="ARX88" s="1251"/>
      <c r="ARY88" s="1251"/>
      <c r="ARZ88" s="1251"/>
      <c r="ASA88" s="1251"/>
      <c r="ASB88" s="1251"/>
      <c r="ASC88" s="1251"/>
      <c r="ASD88" s="1251"/>
      <c r="ASE88" s="1251"/>
      <c r="ASF88" s="1251"/>
      <c r="ASG88" s="1251"/>
      <c r="ASH88" s="1251"/>
      <c r="ASI88" s="1251"/>
      <c r="ASJ88" s="1251"/>
      <c r="ASK88" s="1251"/>
      <c r="ASL88" s="1251"/>
      <c r="ASM88" s="1251"/>
      <c r="ASN88" s="1251"/>
      <c r="ASO88" s="1251"/>
      <c r="ASP88" s="1251"/>
      <c r="ASQ88" s="1251"/>
      <c r="ASR88" s="1251"/>
      <c r="ASS88" s="1251"/>
      <c r="AST88" s="1251"/>
      <c r="ASU88" s="1251"/>
      <c r="ASV88" s="1251"/>
      <c r="ASW88" s="1251"/>
      <c r="ASX88" s="1251"/>
      <c r="ASY88" s="1251"/>
      <c r="ASZ88" s="1251"/>
      <c r="ATA88" s="1251"/>
      <c r="ATB88" s="1251"/>
      <c r="ATC88" s="1251"/>
      <c r="ATD88" s="1251"/>
      <c r="ATE88" s="1251"/>
      <c r="ATF88" s="1251"/>
      <c r="ATG88" s="1251"/>
      <c r="ATH88" s="1251"/>
      <c r="ATI88" s="1251"/>
      <c r="ATJ88" s="1251"/>
      <c r="ATK88" s="1251"/>
      <c r="ATL88" s="1251"/>
      <c r="ATM88" s="1251"/>
      <c r="ATN88" s="1251"/>
      <c r="ATO88" s="1251"/>
      <c r="ATP88" s="1251"/>
      <c r="ATQ88" s="1251"/>
      <c r="ATR88" s="1251"/>
      <c r="ATS88" s="1251"/>
      <c r="ATT88" s="1251"/>
      <c r="ATU88" s="1251"/>
      <c r="ATV88" s="1251"/>
      <c r="ATW88" s="1251"/>
      <c r="ATX88" s="1251"/>
      <c r="ATY88" s="1251"/>
      <c r="ATZ88" s="1251"/>
      <c r="AUA88" s="1251"/>
      <c r="AUB88" s="1251"/>
      <c r="AUC88" s="1251"/>
      <c r="AUD88" s="1251"/>
      <c r="AUE88" s="1251"/>
      <c r="AUF88" s="1251"/>
      <c r="AUG88" s="1251"/>
      <c r="AUH88" s="1251"/>
      <c r="AUI88" s="1251"/>
      <c r="AUJ88" s="1251"/>
      <c r="AUK88" s="1251"/>
      <c r="AUL88" s="1251"/>
      <c r="AUM88" s="1251"/>
      <c r="AUN88" s="1251"/>
      <c r="AUO88" s="1251"/>
      <c r="AUP88" s="1251"/>
      <c r="AUQ88" s="1251"/>
      <c r="AUR88" s="1251"/>
      <c r="AUS88" s="1251"/>
      <c r="AUT88" s="1251"/>
      <c r="AUU88" s="1251"/>
      <c r="AUV88" s="1251"/>
      <c r="AUW88" s="1251"/>
      <c r="AUX88" s="1251"/>
      <c r="AUY88" s="1251"/>
      <c r="AUZ88" s="1251"/>
      <c r="AVA88" s="1251"/>
      <c r="AVB88" s="1251"/>
      <c r="AVC88" s="1251"/>
      <c r="AVD88" s="1251"/>
      <c r="AVE88" s="1251"/>
      <c r="AVF88" s="1251"/>
      <c r="AVG88" s="1251"/>
      <c r="AVH88" s="1251"/>
      <c r="AVI88" s="1251"/>
      <c r="AVJ88" s="1251"/>
      <c r="AVK88" s="1251"/>
      <c r="AVL88" s="1251"/>
      <c r="AVM88" s="1251"/>
      <c r="AVN88" s="1251"/>
      <c r="AVO88" s="1251"/>
      <c r="AVP88" s="1251"/>
      <c r="AVQ88" s="1251"/>
      <c r="AVR88" s="1251"/>
      <c r="AVS88" s="1251"/>
      <c r="AVT88" s="1251"/>
      <c r="AVU88" s="1251"/>
      <c r="AVV88" s="1251"/>
      <c r="AVW88" s="1251"/>
      <c r="AVX88" s="1251"/>
      <c r="AVY88" s="1251"/>
      <c r="AVZ88" s="1251"/>
      <c r="AWA88" s="1251"/>
      <c r="AWB88" s="1251"/>
      <c r="AWC88" s="1251"/>
      <c r="AWD88" s="1251"/>
      <c r="AWE88" s="1251"/>
      <c r="AWF88" s="1251"/>
      <c r="AWG88" s="1251"/>
      <c r="AWH88" s="1251"/>
      <c r="AWI88" s="1251"/>
      <c r="AWJ88" s="1251"/>
      <c r="AWK88" s="1251"/>
      <c r="AWL88" s="1251"/>
      <c r="AWM88" s="1251"/>
      <c r="AWN88" s="1251"/>
      <c r="AWO88" s="1251"/>
      <c r="AWP88" s="1251"/>
      <c r="AWQ88" s="1251"/>
      <c r="AWR88" s="1251"/>
      <c r="AWS88" s="1251"/>
      <c r="AWT88" s="1251"/>
      <c r="AWU88" s="1251"/>
      <c r="AWV88" s="1251"/>
      <c r="AWW88" s="1251"/>
      <c r="AWX88" s="1251"/>
      <c r="AWY88" s="1251"/>
      <c r="AWZ88" s="1251"/>
      <c r="AXA88" s="1251"/>
      <c r="AXB88" s="1251"/>
      <c r="AXC88" s="1251"/>
      <c r="AXD88" s="1251"/>
      <c r="AXE88" s="1251"/>
      <c r="AXF88" s="1251"/>
      <c r="AXG88" s="1251"/>
      <c r="AXH88" s="1251"/>
      <c r="AXI88" s="1251"/>
      <c r="AXJ88" s="1251"/>
      <c r="AXK88" s="1251"/>
      <c r="AXL88" s="1251"/>
      <c r="AXM88" s="1251"/>
      <c r="AXN88" s="1251"/>
      <c r="AXO88" s="1251"/>
      <c r="AXP88" s="1251"/>
      <c r="AXQ88" s="1251"/>
      <c r="AXR88" s="1251"/>
      <c r="AXS88" s="1251"/>
      <c r="AXT88" s="1251"/>
      <c r="AXU88" s="1251"/>
      <c r="AXV88" s="1251"/>
      <c r="AXW88" s="1251"/>
      <c r="AXX88" s="1251"/>
      <c r="AXY88" s="1251"/>
      <c r="AXZ88" s="1251"/>
      <c r="AYA88" s="1251"/>
      <c r="AYB88" s="1251"/>
      <c r="AYC88" s="1251"/>
      <c r="AYD88" s="1251"/>
      <c r="AYE88" s="1251"/>
      <c r="AYF88" s="1251"/>
      <c r="AYG88" s="1251"/>
      <c r="AYH88" s="1251"/>
      <c r="AYI88" s="1251"/>
      <c r="AYJ88" s="1251"/>
      <c r="AYK88" s="1251"/>
      <c r="AYL88" s="1251"/>
      <c r="AYM88" s="1251"/>
      <c r="AYN88" s="1251"/>
      <c r="AYO88" s="1251"/>
      <c r="AYP88" s="1251"/>
      <c r="AYQ88" s="1251"/>
      <c r="AYR88" s="1251"/>
      <c r="AYS88" s="1251"/>
      <c r="AYT88" s="1251"/>
      <c r="AYU88" s="1251"/>
      <c r="AYV88" s="1251"/>
      <c r="AYW88" s="1251"/>
      <c r="AYX88" s="1251"/>
      <c r="AYY88" s="1251"/>
      <c r="AYZ88" s="1251"/>
      <c r="AZA88" s="1251"/>
      <c r="AZB88" s="1251"/>
      <c r="AZC88" s="1251"/>
      <c r="AZD88" s="1251"/>
      <c r="AZE88" s="1251"/>
      <c r="AZF88" s="1251"/>
      <c r="AZG88" s="1251"/>
      <c r="AZH88" s="1251"/>
      <c r="AZI88" s="1251"/>
      <c r="AZJ88" s="1251"/>
      <c r="AZK88" s="1251"/>
      <c r="AZL88" s="1251"/>
      <c r="AZM88" s="1251"/>
      <c r="AZN88" s="1251"/>
      <c r="AZO88" s="1251"/>
      <c r="AZP88" s="1251"/>
      <c r="AZQ88" s="1251"/>
      <c r="AZR88" s="1251"/>
      <c r="AZS88" s="1251"/>
      <c r="AZT88" s="1251"/>
      <c r="AZU88" s="1251"/>
      <c r="AZV88" s="1251"/>
      <c r="AZW88" s="1251"/>
      <c r="AZX88" s="1251"/>
      <c r="AZY88" s="1251"/>
      <c r="AZZ88" s="1251"/>
      <c r="BAA88" s="1251"/>
      <c r="BAB88" s="1251"/>
      <c r="BAC88" s="1251"/>
      <c r="BAD88" s="1251"/>
      <c r="BAE88" s="1251"/>
      <c r="BAF88" s="1251"/>
      <c r="BAG88" s="1251"/>
      <c r="BAH88" s="1251"/>
      <c r="BAI88" s="1251"/>
      <c r="BAJ88" s="1251"/>
      <c r="BAK88" s="1251"/>
      <c r="BAL88" s="1251"/>
      <c r="BAM88" s="1251"/>
      <c r="BAN88" s="1251"/>
      <c r="BAO88" s="1251"/>
      <c r="BAP88" s="1251"/>
      <c r="BAQ88" s="1251"/>
      <c r="BAR88" s="1251"/>
      <c r="BAS88" s="1251"/>
      <c r="BAT88" s="1251"/>
      <c r="BAU88" s="1251"/>
      <c r="BAV88" s="1251"/>
      <c r="BAW88" s="1251"/>
      <c r="BAX88" s="1251"/>
      <c r="BAY88" s="1251"/>
      <c r="BAZ88" s="1251"/>
      <c r="BBA88" s="1251"/>
      <c r="BBB88" s="1251"/>
      <c r="BBC88" s="1251"/>
      <c r="BBD88" s="1251"/>
      <c r="BBE88" s="1251"/>
      <c r="BBF88" s="1251"/>
      <c r="BBG88" s="1251"/>
      <c r="BBH88" s="1251"/>
      <c r="BBI88" s="1251"/>
      <c r="BBJ88" s="1251"/>
      <c r="BBK88" s="1251"/>
      <c r="BBL88" s="1251"/>
      <c r="BBM88" s="1251"/>
      <c r="BBN88" s="1251"/>
      <c r="BBO88" s="1251"/>
      <c r="BBP88" s="1251"/>
      <c r="BBQ88" s="1251"/>
      <c r="BBR88" s="1251"/>
      <c r="BBS88" s="1251"/>
      <c r="BBT88" s="1251"/>
      <c r="BBU88" s="1251"/>
      <c r="BBV88" s="1251"/>
      <c r="BBW88" s="1251"/>
      <c r="BBX88" s="1251"/>
      <c r="BBY88" s="1251"/>
      <c r="BBZ88" s="1251"/>
      <c r="BCA88" s="1251"/>
      <c r="BCB88" s="1251"/>
      <c r="BCC88" s="1251"/>
      <c r="BCD88" s="1251"/>
      <c r="BCE88" s="1251"/>
      <c r="BCF88" s="1251"/>
      <c r="BCG88" s="1251"/>
      <c r="BCH88" s="1251"/>
      <c r="BCI88" s="1251"/>
      <c r="BCJ88" s="1251"/>
      <c r="BCK88" s="1251"/>
      <c r="BCL88" s="1251"/>
      <c r="BCM88" s="1251"/>
      <c r="BCN88" s="1251"/>
      <c r="BCO88" s="1251"/>
      <c r="BCP88" s="1251"/>
      <c r="BCQ88" s="1251"/>
      <c r="BCR88" s="1251"/>
      <c r="BCS88" s="1251"/>
      <c r="BCT88" s="1251"/>
      <c r="BCU88" s="1251"/>
      <c r="BCV88" s="1251"/>
      <c r="BCW88" s="1251"/>
      <c r="BCX88" s="1251"/>
      <c r="BCY88" s="1251"/>
      <c r="BCZ88" s="1251"/>
      <c r="BDA88" s="1251"/>
      <c r="BDB88" s="1251"/>
      <c r="BDC88" s="1251"/>
      <c r="BDD88" s="1251"/>
      <c r="BDE88" s="1251"/>
      <c r="BDF88" s="1251"/>
      <c r="BDG88" s="1251"/>
      <c r="BDH88" s="1251"/>
      <c r="BDI88" s="1251"/>
      <c r="BDJ88" s="1251"/>
      <c r="BDK88" s="1251"/>
      <c r="BDL88" s="1251"/>
      <c r="BDM88" s="1251"/>
      <c r="BDN88" s="1251"/>
      <c r="BDO88" s="1251"/>
      <c r="BDP88" s="1251"/>
      <c r="BDQ88" s="1251"/>
      <c r="BDR88" s="1251"/>
      <c r="BDS88" s="1251"/>
      <c r="BDT88" s="1251"/>
      <c r="BDU88" s="1251"/>
      <c r="BDV88" s="1251"/>
      <c r="BDW88" s="1251"/>
      <c r="BDX88" s="1251"/>
      <c r="BDY88" s="1251"/>
      <c r="BDZ88" s="1251"/>
      <c r="BEA88" s="1251"/>
      <c r="BEB88" s="1251"/>
      <c r="BEC88" s="1251"/>
      <c r="BED88" s="1251"/>
      <c r="BEE88" s="1251"/>
      <c r="BEF88" s="1251"/>
      <c r="BEG88" s="1251"/>
      <c r="BEH88" s="1251"/>
      <c r="BEI88" s="1251"/>
      <c r="BEJ88" s="1251"/>
      <c r="BEK88" s="1251"/>
      <c r="BEL88" s="1251"/>
      <c r="BEM88" s="1251"/>
      <c r="BEN88" s="1251"/>
      <c r="BEO88" s="1251"/>
      <c r="BEP88" s="1251"/>
      <c r="BEQ88" s="1251"/>
      <c r="BER88" s="1251"/>
      <c r="BES88" s="1251"/>
      <c r="BET88" s="1251"/>
      <c r="BEU88" s="1251"/>
      <c r="BEV88" s="1251"/>
      <c r="BEW88" s="1251"/>
      <c r="BEX88" s="1251"/>
      <c r="BEY88" s="1251"/>
      <c r="BEZ88" s="1251"/>
      <c r="BFA88" s="1251"/>
      <c r="BFB88" s="1251"/>
      <c r="BFC88" s="1251"/>
      <c r="BFD88" s="1251"/>
      <c r="BFE88" s="1251"/>
      <c r="BFF88" s="1251"/>
      <c r="BFG88" s="1251"/>
      <c r="BFH88" s="1251"/>
      <c r="BFI88" s="1251"/>
      <c r="BFJ88" s="1251"/>
      <c r="BFK88" s="1251"/>
      <c r="BFL88" s="1251"/>
      <c r="BFM88" s="1251"/>
      <c r="BFN88" s="1251"/>
      <c r="BFO88" s="1251"/>
      <c r="BFP88" s="1251"/>
      <c r="BFQ88" s="1251"/>
      <c r="BFR88" s="1251"/>
      <c r="BFS88" s="1251"/>
      <c r="BFT88" s="1251"/>
      <c r="BFU88" s="1251"/>
      <c r="BFV88" s="1251"/>
      <c r="BFW88" s="1251"/>
      <c r="BFX88" s="1251"/>
      <c r="BFY88" s="1251"/>
      <c r="BFZ88" s="1251"/>
      <c r="BGA88" s="1251"/>
      <c r="BGB88" s="1251"/>
      <c r="BGC88" s="1251"/>
      <c r="BGD88" s="1251"/>
      <c r="BGE88" s="1251"/>
      <c r="BGF88" s="1251"/>
      <c r="BGG88" s="1251"/>
      <c r="BGH88" s="1251"/>
      <c r="BGI88" s="1251"/>
      <c r="BGJ88" s="1251"/>
      <c r="BGK88" s="1251"/>
      <c r="BGL88" s="1251"/>
      <c r="BGM88" s="1251"/>
      <c r="BGN88" s="1251"/>
      <c r="BGO88" s="1251"/>
      <c r="BGP88" s="1251"/>
      <c r="BGQ88" s="1251"/>
      <c r="BGR88" s="1251"/>
      <c r="BGS88" s="1251"/>
      <c r="BGT88" s="1251"/>
      <c r="BGU88" s="1251"/>
      <c r="BGV88" s="1251"/>
      <c r="BGW88" s="1251"/>
      <c r="BGX88" s="1251"/>
      <c r="BGY88" s="1251"/>
      <c r="BGZ88" s="1251"/>
      <c r="BHA88" s="1251"/>
      <c r="BHB88" s="1251"/>
      <c r="BHC88" s="1251"/>
      <c r="BHD88" s="1251"/>
      <c r="BHE88" s="1251"/>
      <c r="BHF88" s="1251"/>
      <c r="BHG88" s="1251"/>
      <c r="BHH88" s="1251"/>
      <c r="BHI88" s="1251"/>
      <c r="BHJ88" s="1251"/>
      <c r="BHK88" s="1251"/>
      <c r="BHL88" s="1251"/>
      <c r="BHM88" s="1251"/>
      <c r="BHN88" s="1251"/>
      <c r="BHO88" s="1251"/>
      <c r="BHP88" s="1251"/>
      <c r="BHQ88" s="1251"/>
      <c r="BHR88" s="1251"/>
      <c r="BHS88" s="1251"/>
      <c r="BHT88" s="1251"/>
      <c r="BHU88" s="1251"/>
      <c r="BHV88" s="1251"/>
      <c r="BHW88" s="1251"/>
      <c r="BHX88" s="1251"/>
      <c r="BHY88" s="1251"/>
      <c r="BHZ88" s="1251"/>
      <c r="BIA88" s="1251"/>
      <c r="BIB88" s="1251"/>
      <c r="BIC88" s="1251"/>
      <c r="BID88" s="1251"/>
      <c r="BIE88" s="1251"/>
      <c r="BIF88" s="1251"/>
      <c r="BIG88" s="1251"/>
      <c r="BIH88" s="1251"/>
      <c r="BII88" s="1251"/>
      <c r="BIJ88" s="1251"/>
      <c r="BIK88" s="1251"/>
      <c r="BIL88" s="1251"/>
      <c r="BIM88" s="1251"/>
      <c r="BIN88" s="1251"/>
      <c r="BIO88" s="1251"/>
      <c r="BIP88" s="1251"/>
      <c r="BIQ88" s="1251"/>
      <c r="BIR88" s="1251"/>
      <c r="BIS88" s="1251"/>
      <c r="BIT88" s="1251"/>
      <c r="BIU88" s="1251"/>
      <c r="BIV88" s="1251"/>
      <c r="BIW88" s="1251"/>
      <c r="BIX88" s="1251"/>
      <c r="BIY88" s="1251"/>
      <c r="BIZ88" s="1251"/>
      <c r="BJA88" s="1251"/>
      <c r="BJB88" s="1251"/>
      <c r="BJC88" s="1251"/>
      <c r="BJD88" s="1251"/>
      <c r="BJE88" s="1251"/>
      <c r="BJF88" s="1251"/>
      <c r="BJG88" s="1251"/>
      <c r="BJH88" s="1251"/>
      <c r="BJI88" s="1251"/>
      <c r="BJJ88" s="1251"/>
      <c r="BJK88" s="1251"/>
      <c r="BJL88" s="1251"/>
      <c r="BJM88" s="1251"/>
      <c r="BJN88" s="1251"/>
      <c r="BJO88" s="1251"/>
      <c r="BJP88" s="1251"/>
      <c r="BJQ88" s="1251"/>
      <c r="BJR88" s="1251"/>
      <c r="BJS88" s="1251"/>
      <c r="BJT88" s="1251"/>
      <c r="BJU88" s="1251"/>
      <c r="BJV88" s="1251"/>
      <c r="BJW88" s="1251"/>
      <c r="BJX88" s="1251"/>
      <c r="BJY88" s="1251"/>
      <c r="BJZ88" s="1251"/>
      <c r="BKA88" s="1251"/>
      <c r="BKB88" s="1251"/>
      <c r="BKC88" s="1251"/>
      <c r="BKD88" s="1251"/>
      <c r="BKE88" s="1251"/>
      <c r="BKF88" s="1251"/>
      <c r="BKG88" s="1251"/>
      <c r="BKH88" s="1251"/>
      <c r="BKI88" s="1251"/>
      <c r="BKJ88" s="1251"/>
      <c r="BKK88" s="1251"/>
      <c r="BKL88" s="1251"/>
      <c r="BKM88" s="1251"/>
      <c r="BKN88" s="1251"/>
      <c r="BKO88" s="1251"/>
      <c r="BKP88" s="1251"/>
      <c r="BKQ88" s="1251"/>
      <c r="BKR88" s="1251"/>
      <c r="BKS88" s="1251"/>
      <c r="BKT88" s="1251"/>
      <c r="BKU88" s="1251"/>
      <c r="BKV88" s="1251"/>
      <c r="BKW88" s="1251"/>
      <c r="BKX88" s="1251"/>
      <c r="BKY88" s="1251"/>
      <c r="BKZ88" s="1251"/>
      <c r="BLA88" s="1251"/>
      <c r="BLB88" s="1251"/>
      <c r="BLC88" s="1251"/>
      <c r="BLD88" s="1251"/>
      <c r="BLE88" s="1251"/>
      <c r="BLF88" s="1251"/>
      <c r="BLG88" s="1251"/>
      <c r="BLH88" s="1251"/>
      <c r="BLI88" s="1251"/>
      <c r="BLJ88" s="1251"/>
      <c r="BLK88" s="1251"/>
      <c r="BLL88" s="1251"/>
      <c r="BLM88" s="1251"/>
      <c r="BLN88" s="1251"/>
      <c r="BLO88" s="1251"/>
      <c r="BLP88" s="1251"/>
      <c r="BLQ88" s="1251"/>
      <c r="BLR88" s="1251"/>
      <c r="BLS88" s="1251"/>
      <c r="BLT88" s="1251"/>
      <c r="BLU88" s="1251"/>
      <c r="BLV88" s="1251"/>
      <c r="BLW88" s="1251"/>
      <c r="BLX88" s="1251"/>
      <c r="BLY88" s="1251"/>
      <c r="BLZ88" s="1251"/>
      <c r="BMA88" s="1251"/>
      <c r="BMB88" s="1251"/>
      <c r="BMC88" s="1251"/>
      <c r="BMD88" s="1251"/>
      <c r="BME88" s="1251"/>
      <c r="BMF88" s="1251"/>
      <c r="BMG88" s="1251"/>
      <c r="BMH88" s="1251"/>
      <c r="BMI88" s="1251"/>
      <c r="BMJ88" s="1251"/>
      <c r="BMK88" s="1251"/>
      <c r="BML88" s="1251"/>
      <c r="BMM88" s="1251"/>
      <c r="BMN88" s="1251"/>
      <c r="BMO88" s="1251"/>
      <c r="BMP88" s="1251"/>
      <c r="BMQ88" s="1251"/>
      <c r="BMR88" s="1251"/>
      <c r="BMS88" s="1251"/>
      <c r="BMT88" s="1251"/>
      <c r="BMU88" s="1251"/>
      <c r="BMV88" s="1251"/>
      <c r="BMW88" s="1251"/>
      <c r="BMX88" s="1251"/>
      <c r="BMY88" s="1251"/>
      <c r="BMZ88" s="1251"/>
      <c r="BNA88" s="1251"/>
      <c r="BNB88" s="1251"/>
      <c r="BNC88" s="1251"/>
      <c r="BND88" s="1251"/>
      <c r="BNE88" s="1251"/>
      <c r="BNF88" s="1251"/>
      <c r="BNG88" s="1251"/>
      <c r="BNH88" s="1251"/>
      <c r="BNI88" s="1251"/>
      <c r="BNJ88" s="1251"/>
      <c r="BNK88" s="1251"/>
      <c r="BNL88" s="1251"/>
      <c r="BNM88" s="1251"/>
      <c r="BNN88" s="1251"/>
      <c r="BNO88" s="1251"/>
      <c r="BNP88" s="1251"/>
      <c r="BNQ88" s="1251"/>
      <c r="BNR88" s="1251"/>
      <c r="BNS88" s="1251"/>
      <c r="BNT88" s="1251"/>
      <c r="BNU88" s="1251"/>
      <c r="BNV88" s="1251"/>
      <c r="BNW88" s="1251"/>
      <c r="BNX88" s="1251"/>
      <c r="BNY88" s="1251"/>
      <c r="BNZ88" s="1251"/>
      <c r="BOA88" s="1251"/>
      <c r="BOB88" s="1251"/>
      <c r="BOC88" s="1251"/>
      <c r="BOD88" s="1251"/>
      <c r="BOE88" s="1251"/>
      <c r="BOF88" s="1251"/>
      <c r="BOG88" s="1251"/>
      <c r="BOH88" s="1251"/>
      <c r="BOI88" s="1251"/>
      <c r="BOJ88" s="1251"/>
      <c r="BOK88" s="1251"/>
      <c r="BOL88" s="1251"/>
      <c r="BOM88" s="1251"/>
      <c r="BON88" s="1251"/>
      <c r="BOO88" s="1251"/>
      <c r="BOP88" s="1251"/>
      <c r="BOQ88" s="1251"/>
      <c r="BOR88" s="1251"/>
      <c r="BOS88" s="1251"/>
      <c r="BOT88" s="1251"/>
      <c r="BOU88" s="1251"/>
      <c r="BOV88" s="1251"/>
      <c r="BOW88" s="1251"/>
      <c r="BOX88" s="1251"/>
      <c r="BOY88" s="1251"/>
      <c r="BOZ88" s="1251"/>
      <c r="BPA88" s="1251"/>
      <c r="BPB88" s="1251"/>
      <c r="BPC88" s="1251"/>
      <c r="BPD88" s="1251"/>
      <c r="BPE88" s="1251"/>
      <c r="BPF88" s="1251"/>
      <c r="BPG88" s="1251"/>
      <c r="BPH88" s="1251"/>
      <c r="BPI88" s="1251"/>
      <c r="BPJ88" s="1251"/>
      <c r="BPK88" s="1251"/>
      <c r="BPL88" s="1251"/>
      <c r="BPM88" s="1251"/>
      <c r="BPN88" s="1251"/>
      <c r="BPO88" s="1251"/>
      <c r="BPP88" s="1251"/>
      <c r="BPQ88" s="1251"/>
      <c r="BPR88" s="1251"/>
      <c r="BPS88" s="1251"/>
      <c r="BPT88" s="1251"/>
      <c r="BPU88" s="1251"/>
      <c r="BPV88" s="1251"/>
      <c r="BPW88" s="1251"/>
      <c r="BPX88" s="1251"/>
      <c r="BPY88" s="1251"/>
      <c r="BPZ88" s="1251"/>
      <c r="BQA88" s="1251"/>
      <c r="BQB88" s="1251"/>
      <c r="BQC88" s="1251"/>
      <c r="BQD88" s="1251"/>
      <c r="BQE88" s="1251"/>
      <c r="BQF88" s="1251"/>
      <c r="BQG88" s="1251"/>
      <c r="BQH88" s="1251"/>
      <c r="BQI88" s="1251"/>
      <c r="BQJ88" s="1251"/>
      <c r="BQK88" s="1251"/>
      <c r="BQL88" s="1251"/>
      <c r="BQM88" s="1251"/>
      <c r="BQN88" s="1251"/>
      <c r="BQO88" s="1251"/>
      <c r="BQP88" s="1251"/>
      <c r="BQQ88" s="1251"/>
      <c r="BQR88" s="1251"/>
      <c r="BQS88" s="1251"/>
      <c r="BQT88" s="1251"/>
      <c r="BQU88" s="1251"/>
      <c r="BQV88" s="1251"/>
      <c r="BQW88" s="1251"/>
      <c r="BQX88" s="1251"/>
      <c r="BQY88" s="1251"/>
      <c r="BQZ88" s="1251"/>
      <c r="BRA88" s="1251"/>
      <c r="BRB88" s="1251"/>
      <c r="BRC88" s="1251"/>
      <c r="BRD88" s="1251"/>
      <c r="BRE88" s="1251"/>
      <c r="BRF88" s="1251"/>
      <c r="BRG88" s="1251"/>
      <c r="BRH88" s="1251"/>
      <c r="BRI88" s="1251"/>
      <c r="BRJ88" s="1251"/>
      <c r="BRK88" s="1251"/>
      <c r="BRL88" s="1251"/>
      <c r="BRM88" s="1251"/>
      <c r="BRN88" s="1251"/>
      <c r="BRO88" s="1251"/>
      <c r="BRP88" s="1251"/>
      <c r="BRQ88" s="1251"/>
      <c r="BRR88" s="1251"/>
      <c r="BRS88" s="1251"/>
      <c r="BRT88" s="1251"/>
      <c r="BRU88" s="1251"/>
      <c r="BRV88" s="1251"/>
      <c r="BRW88" s="1251"/>
      <c r="BRX88" s="1251"/>
      <c r="BRY88" s="1251"/>
      <c r="BRZ88" s="1251"/>
      <c r="BSA88" s="1251"/>
      <c r="BSB88" s="1251"/>
      <c r="BSC88" s="1251"/>
      <c r="BSD88" s="1251"/>
      <c r="BSE88" s="1251"/>
      <c r="BSF88" s="1251"/>
      <c r="BSG88" s="1251"/>
      <c r="BSH88" s="1251"/>
      <c r="BSI88" s="1251"/>
      <c r="BSJ88" s="1251"/>
      <c r="BSK88" s="1251"/>
      <c r="BSL88" s="1251"/>
      <c r="BSM88" s="1251"/>
      <c r="BSN88" s="1251"/>
      <c r="BSO88" s="1251"/>
      <c r="BSP88" s="1251"/>
      <c r="BSQ88" s="1251"/>
      <c r="BSR88" s="1251"/>
      <c r="BSS88" s="1251"/>
      <c r="BST88" s="1251"/>
      <c r="BSU88" s="1251"/>
      <c r="BSV88" s="1251"/>
      <c r="BSW88" s="1251"/>
      <c r="BSX88" s="1251"/>
      <c r="BSY88" s="1251"/>
      <c r="BSZ88" s="1251"/>
      <c r="BTA88" s="1251"/>
      <c r="BTB88" s="1251"/>
      <c r="BTC88" s="1251"/>
      <c r="BTD88" s="1251"/>
      <c r="BTE88" s="1251"/>
      <c r="BTF88" s="1251"/>
      <c r="BTG88" s="1251"/>
      <c r="BTH88" s="1251"/>
      <c r="BTI88" s="1251"/>
    </row>
    <row r="89" spans="1:1881" s="1261" customFormat="1" ht="115.5" hidden="1" customHeight="1" thickBot="1" x14ac:dyDescent="0.35">
      <c r="A89" s="1248">
        <v>507</v>
      </c>
      <c r="B89" s="593" t="s">
        <v>60</v>
      </c>
      <c r="C89" s="593" t="s">
        <v>152</v>
      </c>
      <c r="D89" s="24" t="s">
        <v>1377</v>
      </c>
      <c r="E89" s="1249" t="e">
        <f>HLOOKUP($D$2,'2020 Data(H)'!$C$1:$CZ$426,157,FALSE)</f>
        <v>#N/A</v>
      </c>
      <c r="F89" s="1263">
        <v>0</v>
      </c>
      <c r="G89" s="727" t="e">
        <f>IF(F72-F87-F89=E72,,"Error: Beginning Balance does not agree with our records.  (Acct# 9-23-507)= Prior Years Acct # 9 The amount of the formula is in the cell to the right")</f>
        <v>#N/A</v>
      </c>
      <c r="H89" s="730" t="e">
        <f>+F72-F87-F89-E72</f>
        <v>#N/A</v>
      </c>
      <c r="I89" s="760"/>
      <c r="J89" s="1251"/>
      <c r="K89" s="1251"/>
      <c r="L89" s="701"/>
      <c r="M89" s="1251"/>
      <c r="N89" s="1253"/>
      <c r="O89" s="1251"/>
      <c r="P89" s="1251"/>
      <c r="Q89" s="1251"/>
      <c r="R89" s="1251"/>
      <c r="S89" s="1251"/>
      <c r="T89" s="1251"/>
      <c r="U89" s="1251"/>
      <c r="V89" s="1251"/>
      <c r="W89" s="1251"/>
      <c r="X89" s="1251"/>
      <c r="Y89" s="1251"/>
      <c r="Z89" s="1248"/>
      <c r="AA89" s="1248"/>
      <c r="AB89" s="1248"/>
      <c r="AC89" s="1248"/>
      <c r="AD89" s="1248"/>
      <c r="AE89" s="1248"/>
      <c r="AF89" s="1248"/>
      <c r="AG89" s="1248"/>
      <c r="AH89" s="1248"/>
      <c r="AI89" s="1248"/>
      <c r="AJ89" s="1248"/>
      <c r="AK89" s="1248"/>
      <c r="AL89" s="1248"/>
      <c r="AM89" s="1248"/>
      <c r="AN89" s="1248"/>
      <c r="AO89" s="1248"/>
      <c r="AP89" s="1248"/>
      <c r="AQ89" s="1248"/>
      <c r="AR89" s="1248"/>
      <c r="AS89" s="1251"/>
      <c r="AT89" s="1251"/>
      <c r="AU89" s="1251"/>
      <c r="AV89" s="1251"/>
      <c r="AW89" s="1251"/>
      <c r="AX89" s="1251"/>
      <c r="AY89" s="1251"/>
      <c r="AZ89" s="1251"/>
      <c r="BA89" s="1251"/>
      <c r="BB89" s="1251"/>
      <c r="BC89" s="1251"/>
      <c r="BD89" s="1251"/>
      <c r="BE89" s="1251"/>
      <c r="BF89" s="1251"/>
      <c r="BG89" s="1251"/>
      <c r="BH89" s="1251"/>
      <c r="BI89" s="1251"/>
      <c r="BJ89" s="1251"/>
      <c r="BK89" s="1251"/>
      <c r="BL89" s="1251"/>
      <c r="BM89" s="1251"/>
      <c r="BN89" s="1251"/>
      <c r="BO89" s="1251"/>
      <c r="BP89" s="1251"/>
      <c r="BQ89" s="1251"/>
      <c r="BR89" s="1251"/>
      <c r="BS89" s="1251"/>
      <c r="BT89" s="1251"/>
      <c r="BU89" s="1251"/>
      <c r="BV89" s="1251"/>
      <c r="BW89" s="1251"/>
      <c r="BX89" s="1251"/>
      <c r="BY89" s="1251"/>
      <c r="BZ89" s="1251"/>
      <c r="CA89" s="1251"/>
      <c r="CB89" s="1251"/>
      <c r="CC89" s="1251"/>
      <c r="CD89" s="1251"/>
      <c r="CE89" s="1251"/>
      <c r="CF89" s="1251"/>
      <c r="CG89" s="1251"/>
      <c r="CH89" s="1251"/>
      <c r="CI89" s="1251"/>
      <c r="CJ89" s="1251"/>
      <c r="CK89" s="1251"/>
      <c r="CL89" s="1251"/>
      <c r="CM89" s="1251"/>
      <c r="CN89" s="1251"/>
      <c r="CO89" s="1251"/>
      <c r="CP89" s="1251"/>
      <c r="CQ89" s="1251"/>
      <c r="CR89" s="1251"/>
      <c r="CS89" s="1251"/>
      <c r="CT89" s="1251"/>
      <c r="CU89" s="1251"/>
      <c r="CV89" s="1251"/>
      <c r="CW89" s="1251"/>
      <c r="CX89" s="1251"/>
      <c r="CY89" s="1251"/>
      <c r="CZ89" s="1251"/>
      <c r="DA89" s="1251"/>
      <c r="DB89" s="1251"/>
      <c r="DC89" s="1251"/>
      <c r="DD89" s="1251"/>
      <c r="DE89" s="1251"/>
      <c r="DF89" s="1251"/>
      <c r="DG89" s="1251"/>
      <c r="DH89" s="1251"/>
      <c r="DI89" s="1251"/>
      <c r="DJ89" s="1251"/>
      <c r="DK89" s="1251"/>
      <c r="DL89" s="1251"/>
      <c r="DM89" s="1251"/>
      <c r="DN89" s="1251"/>
      <c r="DO89" s="1251"/>
      <c r="DP89" s="1251"/>
      <c r="DQ89" s="1251"/>
      <c r="DR89" s="1251"/>
      <c r="DS89" s="1251"/>
      <c r="DT89" s="1251"/>
      <c r="DU89" s="1251"/>
      <c r="DV89" s="1251"/>
      <c r="DW89" s="1251"/>
      <c r="DX89" s="1251"/>
      <c r="DY89" s="1251"/>
      <c r="DZ89" s="1251"/>
      <c r="EA89" s="1251"/>
      <c r="EB89" s="1251"/>
      <c r="EC89" s="1251"/>
      <c r="ED89" s="1251"/>
      <c r="EE89" s="1251"/>
      <c r="EF89" s="1251"/>
      <c r="EG89" s="1251"/>
      <c r="EH89" s="1251"/>
      <c r="EI89" s="1251"/>
      <c r="EJ89" s="1251"/>
      <c r="EK89" s="1251"/>
      <c r="EL89" s="1251"/>
      <c r="EM89" s="1251"/>
      <c r="EN89" s="1251"/>
      <c r="EO89" s="1251"/>
      <c r="EP89" s="1251"/>
      <c r="EQ89" s="1251"/>
      <c r="ER89" s="1251"/>
      <c r="ES89" s="1251"/>
      <c r="ET89" s="1251"/>
      <c r="EU89" s="1251"/>
      <c r="EV89" s="1251"/>
      <c r="EW89" s="1251"/>
      <c r="EX89" s="1251"/>
      <c r="EY89" s="1251"/>
      <c r="EZ89" s="1251"/>
      <c r="FA89" s="1251"/>
      <c r="FB89" s="1251"/>
      <c r="FC89" s="1251"/>
      <c r="FD89" s="1251"/>
      <c r="FE89" s="1251"/>
      <c r="FF89" s="1251"/>
      <c r="FG89" s="1251"/>
      <c r="FH89" s="1251"/>
      <c r="FI89" s="1251"/>
      <c r="FJ89" s="1251"/>
      <c r="FK89" s="1251"/>
      <c r="FL89" s="1251"/>
      <c r="FM89" s="1251"/>
      <c r="FN89" s="1251"/>
      <c r="FO89" s="1251"/>
      <c r="FP89" s="1251"/>
      <c r="FQ89" s="1251"/>
      <c r="FR89" s="1251"/>
      <c r="FS89" s="1251"/>
      <c r="FT89" s="1251"/>
      <c r="FU89" s="1251"/>
      <c r="FV89" s="1251"/>
      <c r="FW89" s="1251"/>
      <c r="FX89" s="1251"/>
      <c r="FY89" s="1251"/>
      <c r="FZ89" s="1251"/>
      <c r="GA89" s="1251"/>
      <c r="GB89" s="1251"/>
      <c r="GC89" s="1251"/>
      <c r="GD89" s="1251"/>
      <c r="GE89" s="1251"/>
      <c r="GF89" s="1251"/>
      <c r="GG89" s="1251"/>
      <c r="GH89" s="1251"/>
      <c r="GI89" s="1251"/>
      <c r="GJ89" s="1251"/>
      <c r="GK89" s="1251"/>
      <c r="GL89" s="1251"/>
      <c r="GM89" s="1251"/>
      <c r="GN89" s="1251"/>
      <c r="GO89" s="1251"/>
      <c r="GP89" s="1251"/>
      <c r="GQ89" s="1251"/>
      <c r="GR89" s="1251"/>
      <c r="GS89" s="1251"/>
      <c r="GT89" s="1251"/>
      <c r="GU89" s="1251"/>
      <c r="GV89" s="1251"/>
      <c r="GW89" s="1251"/>
      <c r="GX89" s="1251"/>
      <c r="GY89" s="1251"/>
      <c r="GZ89" s="1251"/>
      <c r="HA89" s="1251"/>
      <c r="HB89" s="1251"/>
      <c r="HC89" s="1251"/>
      <c r="HD89" s="1251"/>
      <c r="HE89" s="1251"/>
      <c r="HF89" s="1251"/>
      <c r="HG89" s="1251"/>
      <c r="HH89" s="1251"/>
      <c r="HI89" s="1251"/>
      <c r="HJ89" s="1251"/>
      <c r="HK89" s="1251"/>
      <c r="HL89" s="1251"/>
      <c r="HM89" s="1251"/>
      <c r="HN89" s="1251"/>
      <c r="HO89" s="1251"/>
      <c r="HP89" s="1251"/>
      <c r="HQ89" s="1251"/>
      <c r="HR89" s="1251"/>
      <c r="HS89" s="1251"/>
      <c r="HT89" s="1251"/>
      <c r="HU89" s="1251"/>
      <c r="HV89" s="1251"/>
      <c r="HW89" s="1251"/>
      <c r="HX89" s="1251"/>
      <c r="HY89" s="1251"/>
      <c r="HZ89" s="1251"/>
      <c r="IA89" s="1251"/>
      <c r="IB89" s="1251"/>
      <c r="IC89" s="1251"/>
      <c r="ID89" s="1251"/>
      <c r="IE89" s="1251"/>
      <c r="IF89" s="1251"/>
      <c r="IG89" s="1251"/>
      <c r="IH89" s="1251"/>
      <c r="II89" s="1251"/>
      <c r="IJ89" s="1251"/>
      <c r="IK89" s="1251"/>
      <c r="IL89" s="1251"/>
      <c r="IM89" s="1251"/>
      <c r="IN89" s="1251"/>
      <c r="IO89" s="1251"/>
      <c r="IP89" s="1251"/>
      <c r="IQ89" s="1251"/>
      <c r="IR89" s="1251"/>
      <c r="IS89" s="1251"/>
      <c r="IT89" s="1251"/>
      <c r="IU89" s="1251"/>
      <c r="IV89" s="1251"/>
      <c r="IW89" s="1251"/>
      <c r="IX89" s="1251"/>
      <c r="IY89" s="1251"/>
      <c r="IZ89" s="1251"/>
      <c r="JA89" s="1251"/>
      <c r="JB89" s="1251"/>
      <c r="JC89" s="1251"/>
      <c r="JD89" s="1251"/>
      <c r="JE89" s="1251"/>
      <c r="JF89" s="1251"/>
      <c r="JG89" s="1251"/>
      <c r="JH89" s="1251"/>
      <c r="JI89" s="1251"/>
      <c r="JJ89" s="1251"/>
      <c r="JK89" s="1251"/>
      <c r="JL89" s="1251"/>
      <c r="JM89" s="1251"/>
      <c r="JN89" s="1251"/>
      <c r="JO89" s="1251"/>
      <c r="JP89" s="1251"/>
      <c r="JQ89" s="1251"/>
      <c r="JR89" s="1251"/>
      <c r="JS89" s="1251"/>
      <c r="JT89" s="1251"/>
      <c r="JU89" s="1251"/>
      <c r="JV89" s="1251"/>
      <c r="JW89" s="1251"/>
      <c r="JX89" s="1251"/>
      <c r="JY89" s="1251"/>
      <c r="JZ89" s="1251"/>
      <c r="KA89" s="1251"/>
      <c r="KB89" s="1251"/>
      <c r="KC89" s="1251"/>
      <c r="KD89" s="1251"/>
      <c r="KE89" s="1251"/>
      <c r="KF89" s="1251"/>
      <c r="KG89" s="1251"/>
      <c r="KH89" s="1251"/>
      <c r="KI89" s="1251"/>
      <c r="KJ89" s="1251"/>
      <c r="KK89" s="1251"/>
      <c r="KL89" s="1251"/>
      <c r="KM89" s="1251"/>
      <c r="KN89" s="1251"/>
      <c r="KO89" s="1251"/>
      <c r="KP89" s="1251"/>
      <c r="KQ89" s="1251"/>
      <c r="KR89" s="1251"/>
      <c r="KS89" s="1251"/>
      <c r="KT89" s="1251"/>
      <c r="KU89" s="1251"/>
      <c r="KV89" s="1251"/>
      <c r="KW89" s="1251"/>
      <c r="KX89" s="1251"/>
      <c r="KY89" s="1251"/>
      <c r="KZ89" s="1251"/>
      <c r="LA89" s="1251"/>
      <c r="LB89" s="1251"/>
      <c r="LC89" s="1251"/>
      <c r="LD89" s="1251"/>
      <c r="LE89" s="1251"/>
      <c r="LF89" s="1251"/>
      <c r="LG89" s="1251"/>
      <c r="LH89" s="1251"/>
      <c r="LI89" s="1251"/>
      <c r="LJ89" s="1251"/>
      <c r="LK89" s="1251"/>
      <c r="LL89" s="1251"/>
      <c r="LM89" s="1251"/>
      <c r="LN89" s="1251"/>
      <c r="LO89" s="1251"/>
      <c r="LP89" s="1251"/>
      <c r="LQ89" s="1251"/>
      <c r="LR89" s="1251"/>
      <c r="LS89" s="1251"/>
      <c r="LT89" s="1251"/>
      <c r="LU89" s="1251"/>
      <c r="LV89" s="1251"/>
      <c r="LW89" s="1251"/>
      <c r="LX89" s="1251"/>
      <c r="LY89" s="1251"/>
      <c r="LZ89" s="1251"/>
      <c r="MA89" s="1251"/>
      <c r="MB89" s="1251"/>
      <c r="MC89" s="1251"/>
      <c r="MD89" s="1251"/>
      <c r="ME89" s="1251"/>
      <c r="MF89" s="1251"/>
      <c r="MG89" s="1251"/>
      <c r="MH89" s="1251"/>
      <c r="MI89" s="1251"/>
      <c r="MJ89" s="1251"/>
      <c r="MK89" s="1251"/>
      <c r="ML89" s="1251"/>
      <c r="MM89" s="1251"/>
      <c r="MN89" s="1251"/>
      <c r="MO89" s="1251"/>
      <c r="MP89" s="1251"/>
      <c r="MQ89" s="1251"/>
      <c r="MR89" s="1251"/>
      <c r="MS89" s="1251"/>
      <c r="MT89" s="1251"/>
      <c r="MU89" s="1251"/>
      <c r="MV89" s="1251"/>
      <c r="MW89" s="1251"/>
      <c r="MX89" s="1251"/>
      <c r="MY89" s="1251"/>
      <c r="MZ89" s="1251"/>
      <c r="NA89" s="1251"/>
      <c r="NB89" s="1251"/>
      <c r="NC89" s="1251"/>
      <c r="ND89" s="1251"/>
      <c r="NE89" s="1251"/>
      <c r="NF89" s="1251"/>
      <c r="NG89" s="1251"/>
      <c r="NH89" s="1251"/>
      <c r="NI89" s="1251"/>
      <c r="NJ89" s="1251"/>
      <c r="NK89" s="1251"/>
      <c r="NL89" s="1251"/>
      <c r="NM89" s="1251"/>
      <c r="NN89" s="1251"/>
      <c r="NO89" s="1251"/>
      <c r="NP89" s="1251"/>
      <c r="NQ89" s="1251"/>
      <c r="NR89" s="1251"/>
      <c r="NS89" s="1251"/>
      <c r="NT89" s="1251"/>
      <c r="NU89" s="1251"/>
      <c r="NV89" s="1251"/>
      <c r="NW89" s="1251"/>
      <c r="NX89" s="1251"/>
      <c r="NY89" s="1251"/>
      <c r="NZ89" s="1251"/>
      <c r="OA89" s="1251"/>
      <c r="OB89" s="1251"/>
      <c r="OC89" s="1251"/>
      <c r="OD89" s="1251"/>
      <c r="OE89" s="1251"/>
      <c r="OF89" s="1251"/>
      <c r="OG89" s="1251"/>
      <c r="OH89" s="1251"/>
      <c r="OI89" s="1251"/>
      <c r="OJ89" s="1251"/>
      <c r="OK89" s="1251"/>
      <c r="OL89" s="1251"/>
      <c r="OM89" s="1251"/>
      <c r="ON89" s="1251"/>
      <c r="OO89" s="1251"/>
      <c r="OP89" s="1251"/>
      <c r="OQ89" s="1251"/>
      <c r="OR89" s="1251"/>
      <c r="OS89" s="1251"/>
      <c r="OT89" s="1251"/>
      <c r="OU89" s="1251"/>
      <c r="OV89" s="1251"/>
      <c r="OW89" s="1251"/>
      <c r="OX89" s="1251"/>
      <c r="OY89" s="1251"/>
      <c r="OZ89" s="1251"/>
      <c r="PA89" s="1251"/>
      <c r="PB89" s="1251"/>
      <c r="PC89" s="1251"/>
      <c r="PD89" s="1251"/>
      <c r="PE89" s="1251"/>
      <c r="PF89" s="1251"/>
      <c r="PG89" s="1251"/>
      <c r="PH89" s="1251"/>
      <c r="PI89" s="1251"/>
      <c r="PJ89" s="1251"/>
      <c r="PK89" s="1251"/>
      <c r="PL89" s="1251"/>
      <c r="PM89" s="1251"/>
      <c r="PN89" s="1251"/>
      <c r="PO89" s="1251"/>
      <c r="PP89" s="1251"/>
      <c r="PQ89" s="1251"/>
      <c r="PR89" s="1251"/>
      <c r="PS89" s="1251"/>
      <c r="PT89" s="1251"/>
      <c r="PU89" s="1251"/>
      <c r="PV89" s="1251"/>
      <c r="PW89" s="1251"/>
      <c r="PX89" s="1251"/>
      <c r="PY89" s="1251"/>
      <c r="PZ89" s="1251"/>
      <c r="QA89" s="1251"/>
      <c r="QB89" s="1251"/>
      <c r="QC89" s="1251"/>
      <c r="QD89" s="1251"/>
      <c r="QE89" s="1251"/>
      <c r="QF89" s="1251"/>
      <c r="QG89" s="1251"/>
      <c r="QH89" s="1251"/>
      <c r="QI89" s="1251"/>
      <c r="QJ89" s="1251"/>
      <c r="QK89" s="1251"/>
      <c r="QL89" s="1251"/>
      <c r="QM89" s="1251"/>
      <c r="QN89" s="1251"/>
      <c r="QO89" s="1251"/>
      <c r="QP89" s="1251"/>
      <c r="QQ89" s="1251"/>
      <c r="QR89" s="1251"/>
      <c r="QS89" s="1251"/>
      <c r="QT89" s="1251"/>
      <c r="QU89" s="1251"/>
      <c r="QV89" s="1251"/>
      <c r="QW89" s="1251"/>
      <c r="QX89" s="1251"/>
      <c r="QY89" s="1251"/>
      <c r="QZ89" s="1251"/>
      <c r="RA89" s="1251"/>
      <c r="RB89" s="1251"/>
      <c r="RC89" s="1251"/>
      <c r="RD89" s="1251"/>
      <c r="RE89" s="1251"/>
      <c r="RF89" s="1251"/>
      <c r="RG89" s="1251"/>
      <c r="RH89" s="1251"/>
      <c r="RI89" s="1251"/>
      <c r="RJ89" s="1251"/>
      <c r="RK89" s="1251"/>
      <c r="RL89" s="1251"/>
      <c r="RM89" s="1251"/>
      <c r="RN89" s="1251"/>
      <c r="RO89" s="1251"/>
      <c r="RP89" s="1251"/>
      <c r="RQ89" s="1251"/>
      <c r="RR89" s="1251"/>
      <c r="RS89" s="1251"/>
      <c r="RT89" s="1251"/>
      <c r="RU89" s="1251"/>
      <c r="RV89" s="1251"/>
      <c r="RW89" s="1251"/>
      <c r="RX89" s="1251"/>
      <c r="RY89" s="1251"/>
      <c r="RZ89" s="1251"/>
      <c r="SA89" s="1251"/>
      <c r="SB89" s="1251"/>
      <c r="SC89" s="1251"/>
      <c r="SD89" s="1251"/>
      <c r="SE89" s="1251"/>
      <c r="SF89" s="1251"/>
      <c r="SG89" s="1251"/>
      <c r="SH89" s="1251"/>
      <c r="SI89" s="1251"/>
      <c r="SJ89" s="1251"/>
      <c r="SK89" s="1251"/>
      <c r="SL89" s="1251"/>
      <c r="SM89" s="1251"/>
      <c r="SN89" s="1251"/>
      <c r="SO89" s="1251"/>
      <c r="SP89" s="1251"/>
      <c r="SQ89" s="1251"/>
      <c r="SR89" s="1251"/>
      <c r="SS89" s="1251"/>
      <c r="ST89" s="1251"/>
      <c r="SU89" s="1251"/>
      <c r="SV89" s="1251"/>
      <c r="SW89" s="1251"/>
      <c r="SX89" s="1251"/>
      <c r="SY89" s="1251"/>
      <c r="SZ89" s="1251"/>
      <c r="TA89" s="1251"/>
      <c r="TB89" s="1251"/>
      <c r="TC89" s="1251"/>
      <c r="TD89" s="1251"/>
      <c r="TE89" s="1251"/>
      <c r="TF89" s="1251"/>
      <c r="TG89" s="1251"/>
      <c r="TH89" s="1251"/>
      <c r="TI89" s="1251"/>
      <c r="TJ89" s="1251"/>
      <c r="TK89" s="1251"/>
      <c r="TL89" s="1251"/>
      <c r="TM89" s="1251"/>
      <c r="TN89" s="1251"/>
      <c r="TO89" s="1251"/>
      <c r="TP89" s="1251"/>
      <c r="TQ89" s="1251"/>
      <c r="TR89" s="1251"/>
      <c r="TS89" s="1251"/>
      <c r="TT89" s="1251"/>
      <c r="TU89" s="1251"/>
      <c r="TV89" s="1251"/>
      <c r="TW89" s="1251"/>
      <c r="TX89" s="1251"/>
      <c r="TY89" s="1251"/>
      <c r="TZ89" s="1251"/>
      <c r="UA89" s="1251"/>
      <c r="UB89" s="1251"/>
      <c r="UC89" s="1251"/>
      <c r="UD89" s="1251"/>
      <c r="UE89" s="1251"/>
      <c r="UF89" s="1251"/>
      <c r="UG89" s="1251"/>
      <c r="UH89" s="1251"/>
      <c r="UI89" s="1251"/>
      <c r="UJ89" s="1251"/>
      <c r="UK89" s="1251"/>
      <c r="UL89" s="1251"/>
      <c r="UM89" s="1251"/>
      <c r="UN89" s="1251"/>
      <c r="UO89" s="1251"/>
      <c r="UP89" s="1251"/>
      <c r="UQ89" s="1251"/>
      <c r="UR89" s="1251"/>
      <c r="US89" s="1251"/>
      <c r="UT89" s="1251"/>
      <c r="UU89" s="1251"/>
      <c r="UV89" s="1251"/>
      <c r="UW89" s="1251"/>
      <c r="UX89" s="1251"/>
      <c r="UY89" s="1251"/>
      <c r="UZ89" s="1251"/>
      <c r="VA89" s="1251"/>
      <c r="VB89" s="1251"/>
      <c r="VC89" s="1251"/>
      <c r="VD89" s="1251"/>
      <c r="VE89" s="1251"/>
      <c r="VF89" s="1251"/>
      <c r="VG89" s="1251"/>
      <c r="VH89" s="1251"/>
      <c r="VI89" s="1251"/>
      <c r="VJ89" s="1251"/>
      <c r="VK89" s="1251"/>
      <c r="VL89" s="1251"/>
      <c r="VM89" s="1251"/>
      <c r="VN89" s="1251"/>
      <c r="VO89" s="1251"/>
      <c r="VP89" s="1251"/>
      <c r="VQ89" s="1251"/>
      <c r="VR89" s="1251"/>
      <c r="VS89" s="1251"/>
      <c r="VT89" s="1251"/>
      <c r="VU89" s="1251"/>
      <c r="VV89" s="1251"/>
      <c r="VW89" s="1251"/>
      <c r="VX89" s="1251"/>
      <c r="VY89" s="1251"/>
      <c r="VZ89" s="1251"/>
      <c r="WA89" s="1251"/>
      <c r="WB89" s="1251"/>
      <c r="WC89" s="1251"/>
      <c r="WD89" s="1251"/>
      <c r="WE89" s="1251"/>
      <c r="WF89" s="1251"/>
      <c r="WG89" s="1251"/>
      <c r="WH89" s="1251"/>
      <c r="WI89" s="1251"/>
      <c r="WJ89" s="1251"/>
      <c r="WK89" s="1251"/>
      <c r="WL89" s="1251"/>
      <c r="WM89" s="1251"/>
      <c r="WN89" s="1251"/>
      <c r="WO89" s="1251"/>
      <c r="WP89" s="1251"/>
      <c r="WQ89" s="1251"/>
      <c r="WR89" s="1251"/>
      <c r="WS89" s="1251"/>
      <c r="WT89" s="1251"/>
      <c r="WU89" s="1251"/>
      <c r="WV89" s="1251"/>
      <c r="WW89" s="1251"/>
      <c r="WX89" s="1251"/>
      <c r="WY89" s="1251"/>
      <c r="WZ89" s="1251"/>
      <c r="XA89" s="1251"/>
      <c r="XB89" s="1251"/>
      <c r="XC89" s="1251"/>
      <c r="XD89" s="1251"/>
      <c r="XE89" s="1251"/>
      <c r="XF89" s="1251"/>
      <c r="XG89" s="1251"/>
      <c r="XH89" s="1251"/>
      <c r="XI89" s="1251"/>
      <c r="XJ89" s="1251"/>
      <c r="XK89" s="1251"/>
      <c r="XL89" s="1251"/>
      <c r="XM89" s="1251"/>
      <c r="XN89" s="1251"/>
      <c r="XO89" s="1251"/>
      <c r="XP89" s="1251"/>
      <c r="XQ89" s="1251"/>
      <c r="XR89" s="1251"/>
      <c r="XS89" s="1251"/>
      <c r="XT89" s="1251"/>
      <c r="XU89" s="1251"/>
      <c r="XV89" s="1251"/>
      <c r="XW89" s="1251"/>
      <c r="XX89" s="1251"/>
      <c r="XY89" s="1251"/>
      <c r="XZ89" s="1251"/>
      <c r="YA89" s="1251"/>
      <c r="YB89" s="1251"/>
      <c r="YC89" s="1251"/>
      <c r="YD89" s="1251"/>
      <c r="YE89" s="1251"/>
      <c r="YF89" s="1251"/>
      <c r="YG89" s="1251"/>
      <c r="YH89" s="1251"/>
      <c r="YI89" s="1251"/>
      <c r="YJ89" s="1251"/>
      <c r="YK89" s="1251"/>
      <c r="YL89" s="1251"/>
      <c r="YM89" s="1251"/>
      <c r="YN89" s="1251"/>
      <c r="YO89" s="1251"/>
      <c r="YP89" s="1251"/>
      <c r="YQ89" s="1251"/>
      <c r="YR89" s="1251"/>
      <c r="YS89" s="1251"/>
      <c r="YT89" s="1251"/>
      <c r="YU89" s="1251"/>
      <c r="YV89" s="1251"/>
      <c r="YW89" s="1251"/>
      <c r="YX89" s="1251"/>
      <c r="YY89" s="1251"/>
      <c r="YZ89" s="1251"/>
      <c r="ZA89" s="1251"/>
      <c r="ZB89" s="1251"/>
      <c r="ZC89" s="1251"/>
      <c r="ZD89" s="1251"/>
      <c r="ZE89" s="1251"/>
      <c r="ZF89" s="1251"/>
      <c r="ZG89" s="1251"/>
      <c r="ZH89" s="1251"/>
      <c r="ZI89" s="1251"/>
      <c r="ZJ89" s="1251"/>
      <c r="ZK89" s="1251"/>
      <c r="ZL89" s="1251"/>
      <c r="ZM89" s="1251"/>
      <c r="ZN89" s="1251"/>
      <c r="ZO89" s="1251"/>
      <c r="ZP89" s="1251"/>
      <c r="ZQ89" s="1251"/>
      <c r="ZR89" s="1251"/>
      <c r="ZS89" s="1251"/>
      <c r="ZT89" s="1251"/>
      <c r="ZU89" s="1251"/>
      <c r="ZV89" s="1251"/>
      <c r="ZW89" s="1251"/>
      <c r="ZX89" s="1251"/>
      <c r="ZY89" s="1251"/>
      <c r="ZZ89" s="1251"/>
      <c r="AAA89" s="1251"/>
      <c r="AAB89" s="1251"/>
      <c r="AAC89" s="1251"/>
      <c r="AAD89" s="1251"/>
      <c r="AAE89" s="1251"/>
      <c r="AAF89" s="1251"/>
      <c r="AAG89" s="1251"/>
      <c r="AAH89" s="1251"/>
      <c r="AAI89" s="1251"/>
      <c r="AAJ89" s="1251"/>
      <c r="AAK89" s="1251"/>
      <c r="AAL89" s="1251"/>
      <c r="AAM89" s="1251"/>
      <c r="AAN89" s="1251"/>
      <c r="AAO89" s="1251"/>
      <c r="AAP89" s="1251"/>
      <c r="AAQ89" s="1251"/>
      <c r="AAR89" s="1251"/>
      <c r="AAS89" s="1251"/>
      <c r="AAT89" s="1251"/>
      <c r="AAU89" s="1251"/>
      <c r="AAV89" s="1251"/>
      <c r="AAW89" s="1251"/>
      <c r="AAX89" s="1251"/>
      <c r="AAY89" s="1251"/>
      <c r="AAZ89" s="1251"/>
      <c r="ABA89" s="1251"/>
      <c r="ABB89" s="1251"/>
      <c r="ABC89" s="1251"/>
      <c r="ABD89" s="1251"/>
      <c r="ABE89" s="1251"/>
      <c r="ABF89" s="1251"/>
      <c r="ABG89" s="1251"/>
      <c r="ABH89" s="1251"/>
      <c r="ABI89" s="1251"/>
      <c r="ABJ89" s="1251"/>
      <c r="ABK89" s="1251"/>
      <c r="ABL89" s="1251"/>
      <c r="ABM89" s="1251"/>
      <c r="ABN89" s="1251"/>
      <c r="ABO89" s="1251"/>
      <c r="ABP89" s="1251"/>
      <c r="ABQ89" s="1251"/>
      <c r="ABR89" s="1251"/>
      <c r="ABS89" s="1251"/>
      <c r="ABT89" s="1251"/>
      <c r="ABU89" s="1251"/>
      <c r="ABV89" s="1251"/>
      <c r="ABW89" s="1251"/>
      <c r="ABX89" s="1251"/>
      <c r="ABY89" s="1251"/>
      <c r="ABZ89" s="1251"/>
      <c r="ACA89" s="1251"/>
      <c r="ACB89" s="1251"/>
      <c r="ACC89" s="1251"/>
      <c r="ACD89" s="1251"/>
      <c r="ACE89" s="1251"/>
      <c r="ACF89" s="1251"/>
      <c r="ACG89" s="1251"/>
      <c r="ACH89" s="1251"/>
      <c r="ACI89" s="1251"/>
      <c r="ACJ89" s="1251"/>
      <c r="ACK89" s="1251"/>
      <c r="ACL89" s="1251"/>
      <c r="ACM89" s="1251"/>
      <c r="ACN89" s="1251"/>
      <c r="ACO89" s="1251"/>
      <c r="ACP89" s="1251"/>
      <c r="ACQ89" s="1251"/>
      <c r="ACR89" s="1251"/>
      <c r="ACS89" s="1251"/>
      <c r="ACT89" s="1251"/>
      <c r="ACU89" s="1251"/>
      <c r="ACV89" s="1251"/>
      <c r="ACW89" s="1251"/>
      <c r="ACX89" s="1251"/>
      <c r="ACY89" s="1251"/>
      <c r="ACZ89" s="1251"/>
      <c r="ADA89" s="1251"/>
      <c r="ADB89" s="1251"/>
      <c r="ADC89" s="1251"/>
      <c r="ADD89" s="1251"/>
      <c r="ADE89" s="1251"/>
      <c r="ADF89" s="1251"/>
      <c r="ADG89" s="1251"/>
      <c r="ADH89" s="1251"/>
      <c r="ADI89" s="1251"/>
      <c r="ADJ89" s="1251"/>
      <c r="ADK89" s="1251"/>
      <c r="ADL89" s="1251"/>
      <c r="ADM89" s="1251"/>
      <c r="ADN89" s="1251"/>
      <c r="ADO89" s="1251"/>
      <c r="ADP89" s="1251"/>
      <c r="ADQ89" s="1251"/>
      <c r="ADR89" s="1251"/>
      <c r="ADS89" s="1251"/>
      <c r="ADT89" s="1251"/>
      <c r="ADU89" s="1251"/>
      <c r="ADV89" s="1251"/>
      <c r="ADW89" s="1251"/>
      <c r="ADX89" s="1251"/>
      <c r="ADY89" s="1251"/>
      <c r="ADZ89" s="1251"/>
      <c r="AEA89" s="1251"/>
      <c r="AEB89" s="1251"/>
      <c r="AEC89" s="1251"/>
      <c r="AED89" s="1251"/>
      <c r="AEE89" s="1251"/>
      <c r="AEF89" s="1251"/>
      <c r="AEG89" s="1251"/>
      <c r="AEH89" s="1251"/>
      <c r="AEI89" s="1251"/>
      <c r="AEJ89" s="1251"/>
      <c r="AEK89" s="1251"/>
      <c r="AEL89" s="1251"/>
      <c r="AEM89" s="1251"/>
      <c r="AEN89" s="1251"/>
      <c r="AEO89" s="1251"/>
      <c r="AEP89" s="1251"/>
      <c r="AEQ89" s="1251"/>
      <c r="AER89" s="1251"/>
      <c r="AES89" s="1251"/>
      <c r="AET89" s="1251"/>
      <c r="AEU89" s="1251"/>
      <c r="AEV89" s="1251"/>
      <c r="AEW89" s="1251"/>
      <c r="AEX89" s="1251"/>
      <c r="AEY89" s="1251"/>
      <c r="AEZ89" s="1251"/>
      <c r="AFA89" s="1251"/>
      <c r="AFB89" s="1251"/>
      <c r="AFC89" s="1251"/>
      <c r="AFD89" s="1251"/>
      <c r="AFE89" s="1251"/>
      <c r="AFF89" s="1251"/>
      <c r="AFG89" s="1251"/>
      <c r="AFH89" s="1251"/>
      <c r="AFI89" s="1251"/>
      <c r="AFJ89" s="1251"/>
      <c r="AFK89" s="1251"/>
      <c r="AFL89" s="1251"/>
      <c r="AFM89" s="1251"/>
      <c r="AFN89" s="1251"/>
      <c r="AFO89" s="1251"/>
      <c r="AFP89" s="1251"/>
      <c r="AFQ89" s="1251"/>
      <c r="AFR89" s="1251"/>
      <c r="AFS89" s="1251"/>
      <c r="AFT89" s="1251"/>
      <c r="AFU89" s="1251"/>
      <c r="AFV89" s="1251"/>
      <c r="AFW89" s="1251"/>
      <c r="AFX89" s="1251"/>
      <c r="AFY89" s="1251"/>
      <c r="AFZ89" s="1251"/>
      <c r="AGA89" s="1251"/>
      <c r="AGB89" s="1251"/>
      <c r="AGC89" s="1251"/>
      <c r="AGD89" s="1251"/>
      <c r="AGE89" s="1251"/>
      <c r="AGF89" s="1251"/>
      <c r="AGG89" s="1251"/>
      <c r="AGH89" s="1251"/>
      <c r="AGI89" s="1251"/>
      <c r="AGJ89" s="1251"/>
      <c r="AGK89" s="1251"/>
      <c r="AGL89" s="1251"/>
      <c r="AGM89" s="1251"/>
      <c r="AGN89" s="1251"/>
      <c r="AGO89" s="1251"/>
      <c r="AGP89" s="1251"/>
      <c r="AGQ89" s="1251"/>
      <c r="AGR89" s="1251"/>
      <c r="AGS89" s="1251"/>
      <c r="AGT89" s="1251"/>
      <c r="AGU89" s="1251"/>
      <c r="AGV89" s="1251"/>
      <c r="AGW89" s="1251"/>
      <c r="AGX89" s="1251"/>
      <c r="AGY89" s="1251"/>
      <c r="AGZ89" s="1251"/>
      <c r="AHA89" s="1251"/>
      <c r="AHB89" s="1251"/>
      <c r="AHC89" s="1251"/>
      <c r="AHD89" s="1251"/>
      <c r="AHE89" s="1251"/>
      <c r="AHF89" s="1251"/>
      <c r="AHG89" s="1251"/>
      <c r="AHH89" s="1251"/>
      <c r="AHI89" s="1251"/>
      <c r="AHJ89" s="1251"/>
      <c r="AHK89" s="1251"/>
      <c r="AHL89" s="1251"/>
      <c r="AHM89" s="1251"/>
      <c r="AHN89" s="1251"/>
      <c r="AHO89" s="1251"/>
      <c r="AHP89" s="1251"/>
      <c r="AHQ89" s="1251"/>
      <c r="AHR89" s="1251"/>
      <c r="AHS89" s="1251"/>
      <c r="AHT89" s="1251"/>
      <c r="AHU89" s="1251"/>
      <c r="AHV89" s="1251"/>
      <c r="AHW89" s="1251"/>
      <c r="AHX89" s="1251"/>
      <c r="AHY89" s="1251"/>
      <c r="AHZ89" s="1251"/>
      <c r="AIA89" s="1251"/>
      <c r="AIB89" s="1251"/>
      <c r="AIC89" s="1251"/>
      <c r="AID89" s="1251"/>
      <c r="AIE89" s="1251"/>
      <c r="AIF89" s="1251"/>
      <c r="AIG89" s="1251"/>
      <c r="AIH89" s="1251"/>
      <c r="AII89" s="1251"/>
      <c r="AIJ89" s="1251"/>
      <c r="AIK89" s="1251"/>
      <c r="AIL89" s="1251"/>
      <c r="AIM89" s="1251"/>
      <c r="AIN89" s="1251"/>
      <c r="AIO89" s="1251"/>
      <c r="AIP89" s="1251"/>
      <c r="AIQ89" s="1251"/>
      <c r="AIR89" s="1251"/>
      <c r="AIS89" s="1251"/>
      <c r="AIT89" s="1251"/>
      <c r="AIU89" s="1251"/>
      <c r="AIV89" s="1251"/>
      <c r="AIW89" s="1251"/>
      <c r="AIX89" s="1251"/>
      <c r="AIY89" s="1251"/>
      <c r="AIZ89" s="1251"/>
      <c r="AJA89" s="1251"/>
      <c r="AJB89" s="1251"/>
      <c r="AJC89" s="1251"/>
      <c r="AJD89" s="1251"/>
      <c r="AJE89" s="1251"/>
      <c r="AJF89" s="1251"/>
      <c r="AJG89" s="1251"/>
      <c r="AJH89" s="1251"/>
      <c r="AJI89" s="1251"/>
      <c r="AJJ89" s="1251"/>
      <c r="AJK89" s="1251"/>
      <c r="AJL89" s="1251"/>
      <c r="AJM89" s="1251"/>
      <c r="AJN89" s="1251"/>
      <c r="AJO89" s="1251"/>
      <c r="AJP89" s="1251"/>
      <c r="AJQ89" s="1251"/>
      <c r="AJR89" s="1251"/>
      <c r="AJS89" s="1251"/>
      <c r="AJT89" s="1251"/>
      <c r="AJU89" s="1251"/>
      <c r="AJV89" s="1251"/>
      <c r="AJW89" s="1251"/>
      <c r="AJX89" s="1251"/>
      <c r="AJY89" s="1251"/>
      <c r="AJZ89" s="1251"/>
      <c r="AKA89" s="1251"/>
      <c r="AKB89" s="1251"/>
      <c r="AKC89" s="1251"/>
      <c r="AKD89" s="1251"/>
      <c r="AKE89" s="1251"/>
      <c r="AKF89" s="1251"/>
      <c r="AKG89" s="1251"/>
      <c r="AKH89" s="1251"/>
      <c r="AKI89" s="1251"/>
      <c r="AKJ89" s="1251"/>
      <c r="AKK89" s="1251"/>
      <c r="AKL89" s="1251"/>
      <c r="AKM89" s="1251"/>
      <c r="AKN89" s="1251"/>
      <c r="AKO89" s="1251"/>
      <c r="AKP89" s="1251"/>
      <c r="AKQ89" s="1251"/>
      <c r="AKR89" s="1251"/>
      <c r="AKS89" s="1251"/>
      <c r="AKT89" s="1251"/>
      <c r="AKU89" s="1251"/>
      <c r="AKV89" s="1251"/>
      <c r="AKW89" s="1251"/>
      <c r="AKX89" s="1251"/>
      <c r="AKY89" s="1251"/>
      <c r="AKZ89" s="1251"/>
      <c r="ALA89" s="1251"/>
      <c r="ALB89" s="1251"/>
      <c r="ALC89" s="1251"/>
      <c r="ALD89" s="1251"/>
      <c r="ALE89" s="1251"/>
      <c r="ALF89" s="1251"/>
      <c r="ALG89" s="1251"/>
      <c r="ALH89" s="1251"/>
      <c r="ALI89" s="1251"/>
      <c r="ALJ89" s="1251"/>
      <c r="ALK89" s="1251"/>
      <c r="ALL89" s="1251"/>
      <c r="ALM89" s="1251"/>
      <c r="ALN89" s="1251"/>
      <c r="ALO89" s="1251"/>
      <c r="ALP89" s="1251"/>
      <c r="ALQ89" s="1251"/>
      <c r="ALR89" s="1251"/>
      <c r="ALS89" s="1251"/>
      <c r="ALT89" s="1251"/>
      <c r="ALU89" s="1251"/>
      <c r="ALV89" s="1251"/>
      <c r="ALW89" s="1251"/>
      <c r="ALX89" s="1251"/>
      <c r="ALY89" s="1251"/>
      <c r="ALZ89" s="1251"/>
      <c r="AMA89" s="1251"/>
      <c r="AMB89" s="1251"/>
      <c r="AMC89" s="1251"/>
      <c r="AMD89" s="1251"/>
      <c r="AME89" s="1251"/>
      <c r="AMF89" s="1251"/>
      <c r="AMG89" s="1251"/>
      <c r="AMH89" s="1251"/>
      <c r="AMI89" s="1251"/>
      <c r="AMJ89" s="1251"/>
      <c r="AMK89" s="1251"/>
      <c r="AML89" s="1251"/>
      <c r="AMM89" s="1251"/>
      <c r="AMN89" s="1251"/>
      <c r="AMO89" s="1251"/>
      <c r="AMP89" s="1251"/>
      <c r="AMQ89" s="1251"/>
      <c r="AMR89" s="1251"/>
      <c r="AMS89" s="1251"/>
      <c r="AMT89" s="1251"/>
      <c r="AMU89" s="1251"/>
      <c r="AMV89" s="1251"/>
      <c r="AMW89" s="1251"/>
      <c r="AMX89" s="1251"/>
      <c r="AMY89" s="1251"/>
      <c r="AMZ89" s="1251"/>
      <c r="ANA89" s="1251"/>
      <c r="ANB89" s="1251"/>
      <c r="ANC89" s="1251"/>
      <c r="AND89" s="1251"/>
      <c r="ANE89" s="1251"/>
      <c r="ANF89" s="1251"/>
      <c r="ANG89" s="1251"/>
      <c r="ANH89" s="1251"/>
      <c r="ANI89" s="1251"/>
      <c r="ANJ89" s="1251"/>
      <c r="ANK89" s="1251"/>
      <c r="ANL89" s="1251"/>
      <c r="ANM89" s="1251"/>
      <c r="ANN89" s="1251"/>
      <c r="ANO89" s="1251"/>
      <c r="ANP89" s="1251"/>
      <c r="ANQ89" s="1251"/>
      <c r="ANR89" s="1251"/>
      <c r="ANS89" s="1251"/>
      <c r="ANT89" s="1251"/>
      <c r="ANU89" s="1251"/>
      <c r="ANV89" s="1251"/>
      <c r="ANW89" s="1251"/>
      <c r="ANX89" s="1251"/>
      <c r="ANY89" s="1251"/>
      <c r="ANZ89" s="1251"/>
      <c r="AOA89" s="1251"/>
      <c r="AOB89" s="1251"/>
      <c r="AOC89" s="1251"/>
      <c r="AOD89" s="1251"/>
      <c r="AOE89" s="1251"/>
      <c r="AOF89" s="1251"/>
      <c r="AOG89" s="1251"/>
      <c r="AOH89" s="1251"/>
      <c r="AOI89" s="1251"/>
      <c r="AOJ89" s="1251"/>
      <c r="AOK89" s="1251"/>
      <c r="AOL89" s="1251"/>
      <c r="AOM89" s="1251"/>
      <c r="AON89" s="1251"/>
      <c r="AOO89" s="1251"/>
      <c r="AOP89" s="1251"/>
      <c r="AOQ89" s="1251"/>
      <c r="AOR89" s="1251"/>
      <c r="AOS89" s="1251"/>
      <c r="AOT89" s="1251"/>
      <c r="AOU89" s="1251"/>
      <c r="AOV89" s="1251"/>
      <c r="AOW89" s="1251"/>
      <c r="AOX89" s="1251"/>
      <c r="AOY89" s="1251"/>
      <c r="AOZ89" s="1251"/>
      <c r="APA89" s="1251"/>
      <c r="APB89" s="1251"/>
      <c r="APC89" s="1251"/>
      <c r="APD89" s="1251"/>
      <c r="APE89" s="1251"/>
      <c r="APF89" s="1251"/>
      <c r="APG89" s="1251"/>
      <c r="APH89" s="1251"/>
      <c r="API89" s="1251"/>
      <c r="APJ89" s="1251"/>
      <c r="APK89" s="1251"/>
      <c r="APL89" s="1251"/>
      <c r="APM89" s="1251"/>
      <c r="APN89" s="1251"/>
      <c r="APO89" s="1251"/>
      <c r="APP89" s="1251"/>
      <c r="APQ89" s="1251"/>
      <c r="APR89" s="1251"/>
      <c r="APS89" s="1251"/>
      <c r="APT89" s="1251"/>
      <c r="APU89" s="1251"/>
      <c r="APV89" s="1251"/>
      <c r="APW89" s="1251"/>
      <c r="APX89" s="1251"/>
      <c r="APY89" s="1251"/>
      <c r="APZ89" s="1251"/>
      <c r="AQA89" s="1251"/>
      <c r="AQB89" s="1251"/>
      <c r="AQC89" s="1251"/>
      <c r="AQD89" s="1251"/>
      <c r="AQE89" s="1251"/>
      <c r="AQF89" s="1251"/>
      <c r="AQG89" s="1251"/>
      <c r="AQH89" s="1251"/>
      <c r="AQI89" s="1251"/>
      <c r="AQJ89" s="1251"/>
      <c r="AQK89" s="1251"/>
      <c r="AQL89" s="1251"/>
      <c r="AQM89" s="1251"/>
      <c r="AQN89" s="1251"/>
      <c r="AQO89" s="1251"/>
      <c r="AQP89" s="1251"/>
      <c r="AQQ89" s="1251"/>
      <c r="AQR89" s="1251"/>
      <c r="AQS89" s="1251"/>
      <c r="AQT89" s="1251"/>
      <c r="AQU89" s="1251"/>
      <c r="AQV89" s="1251"/>
      <c r="AQW89" s="1251"/>
      <c r="AQX89" s="1251"/>
      <c r="AQY89" s="1251"/>
      <c r="AQZ89" s="1251"/>
      <c r="ARA89" s="1251"/>
      <c r="ARB89" s="1251"/>
      <c r="ARC89" s="1251"/>
      <c r="ARD89" s="1251"/>
      <c r="ARE89" s="1251"/>
      <c r="ARF89" s="1251"/>
      <c r="ARG89" s="1251"/>
      <c r="ARH89" s="1251"/>
      <c r="ARI89" s="1251"/>
      <c r="ARJ89" s="1251"/>
      <c r="ARK89" s="1251"/>
      <c r="ARL89" s="1251"/>
      <c r="ARM89" s="1251"/>
      <c r="ARN89" s="1251"/>
      <c r="ARO89" s="1251"/>
      <c r="ARP89" s="1251"/>
      <c r="ARQ89" s="1251"/>
      <c r="ARR89" s="1251"/>
      <c r="ARS89" s="1251"/>
      <c r="ART89" s="1251"/>
      <c r="ARU89" s="1251"/>
      <c r="ARV89" s="1251"/>
      <c r="ARW89" s="1251"/>
      <c r="ARX89" s="1251"/>
      <c r="ARY89" s="1251"/>
      <c r="ARZ89" s="1251"/>
      <c r="ASA89" s="1251"/>
      <c r="ASB89" s="1251"/>
      <c r="ASC89" s="1251"/>
      <c r="ASD89" s="1251"/>
      <c r="ASE89" s="1251"/>
      <c r="ASF89" s="1251"/>
      <c r="ASG89" s="1251"/>
      <c r="ASH89" s="1251"/>
      <c r="ASI89" s="1251"/>
      <c r="ASJ89" s="1251"/>
      <c r="ASK89" s="1251"/>
      <c r="ASL89" s="1251"/>
      <c r="ASM89" s="1251"/>
      <c r="ASN89" s="1251"/>
      <c r="ASO89" s="1251"/>
      <c r="ASP89" s="1251"/>
      <c r="ASQ89" s="1251"/>
      <c r="ASR89" s="1251"/>
      <c r="ASS89" s="1251"/>
      <c r="AST89" s="1251"/>
      <c r="ASU89" s="1251"/>
      <c r="ASV89" s="1251"/>
      <c r="ASW89" s="1251"/>
      <c r="ASX89" s="1251"/>
      <c r="ASY89" s="1251"/>
      <c r="ASZ89" s="1251"/>
      <c r="ATA89" s="1251"/>
      <c r="ATB89" s="1251"/>
      <c r="ATC89" s="1251"/>
      <c r="ATD89" s="1251"/>
      <c r="ATE89" s="1251"/>
      <c r="ATF89" s="1251"/>
      <c r="ATG89" s="1251"/>
      <c r="ATH89" s="1251"/>
      <c r="ATI89" s="1251"/>
      <c r="ATJ89" s="1251"/>
      <c r="ATK89" s="1251"/>
      <c r="ATL89" s="1251"/>
      <c r="ATM89" s="1251"/>
      <c r="ATN89" s="1251"/>
      <c r="ATO89" s="1251"/>
      <c r="ATP89" s="1251"/>
      <c r="ATQ89" s="1251"/>
      <c r="ATR89" s="1251"/>
      <c r="ATS89" s="1251"/>
      <c r="ATT89" s="1251"/>
      <c r="ATU89" s="1251"/>
      <c r="ATV89" s="1251"/>
      <c r="ATW89" s="1251"/>
      <c r="ATX89" s="1251"/>
      <c r="ATY89" s="1251"/>
      <c r="ATZ89" s="1251"/>
      <c r="AUA89" s="1251"/>
      <c r="AUB89" s="1251"/>
      <c r="AUC89" s="1251"/>
      <c r="AUD89" s="1251"/>
      <c r="AUE89" s="1251"/>
      <c r="AUF89" s="1251"/>
      <c r="AUG89" s="1251"/>
      <c r="AUH89" s="1251"/>
      <c r="AUI89" s="1251"/>
      <c r="AUJ89" s="1251"/>
      <c r="AUK89" s="1251"/>
      <c r="AUL89" s="1251"/>
      <c r="AUM89" s="1251"/>
      <c r="AUN89" s="1251"/>
      <c r="AUO89" s="1251"/>
      <c r="AUP89" s="1251"/>
      <c r="AUQ89" s="1251"/>
      <c r="AUR89" s="1251"/>
      <c r="AUS89" s="1251"/>
      <c r="AUT89" s="1251"/>
      <c r="AUU89" s="1251"/>
      <c r="AUV89" s="1251"/>
      <c r="AUW89" s="1251"/>
      <c r="AUX89" s="1251"/>
      <c r="AUY89" s="1251"/>
      <c r="AUZ89" s="1251"/>
      <c r="AVA89" s="1251"/>
      <c r="AVB89" s="1251"/>
      <c r="AVC89" s="1251"/>
      <c r="AVD89" s="1251"/>
      <c r="AVE89" s="1251"/>
      <c r="AVF89" s="1251"/>
      <c r="AVG89" s="1251"/>
      <c r="AVH89" s="1251"/>
      <c r="AVI89" s="1251"/>
      <c r="AVJ89" s="1251"/>
      <c r="AVK89" s="1251"/>
      <c r="AVL89" s="1251"/>
      <c r="AVM89" s="1251"/>
      <c r="AVN89" s="1251"/>
      <c r="AVO89" s="1251"/>
      <c r="AVP89" s="1251"/>
      <c r="AVQ89" s="1251"/>
      <c r="AVR89" s="1251"/>
      <c r="AVS89" s="1251"/>
      <c r="AVT89" s="1251"/>
      <c r="AVU89" s="1251"/>
      <c r="AVV89" s="1251"/>
      <c r="AVW89" s="1251"/>
      <c r="AVX89" s="1251"/>
      <c r="AVY89" s="1251"/>
      <c r="AVZ89" s="1251"/>
      <c r="AWA89" s="1251"/>
      <c r="AWB89" s="1251"/>
      <c r="AWC89" s="1251"/>
      <c r="AWD89" s="1251"/>
      <c r="AWE89" s="1251"/>
      <c r="AWF89" s="1251"/>
      <c r="AWG89" s="1251"/>
      <c r="AWH89" s="1251"/>
      <c r="AWI89" s="1251"/>
      <c r="AWJ89" s="1251"/>
      <c r="AWK89" s="1251"/>
      <c r="AWL89" s="1251"/>
      <c r="AWM89" s="1251"/>
      <c r="AWN89" s="1251"/>
      <c r="AWO89" s="1251"/>
      <c r="AWP89" s="1251"/>
      <c r="AWQ89" s="1251"/>
      <c r="AWR89" s="1251"/>
      <c r="AWS89" s="1251"/>
      <c r="AWT89" s="1251"/>
      <c r="AWU89" s="1251"/>
      <c r="AWV89" s="1251"/>
      <c r="AWW89" s="1251"/>
      <c r="AWX89" s="1251"/>
      <c r="AWY89" s="1251"/>
      <c r="AWZ89" s="1251"/>
      <c r="AXA89" s="1251"/>
      <c r="AXB89" s="1251"/>
      <c r="AXC89" s="1251"/>
      <c r="AXD89" s="1251"/>
      <c r="AXE89" s="1251"/>
      <c r="AXF89" s="1251"/>
      <c r="AXG89" s="1251"/>
      <c r="AXH89" s="1251"/>
      <c r="AXI89" s="1251"/>
      <c r="AXJ89" s="1251"/>
      <c r="AXK89" s="1251"/>
      <c r="AXL89" s="1251"/>
      <c r="AXM89" s="1251"/>
      <c r="AXN89" s="1251"/>
      <c r="AXO89" s="1251"/>
      <c r="AXP89" s="1251"/>
      <c r="AXQ89" s="1251"/>
      <c r="AXR89" s="1251"/>
      <c r="AXS89" s="1251"/>
      <c r="AXT89" s="1251"/>
      <c r="AXU89" s="1251"/>
      <c r="AXV89" s="1251"/>
      <c r="AXW89" s="1251"/>
      <c r="AXX89" s="1251"/>
      <c r="AXY89" s="1251"/>
      <c r="AXZ89" s="1251"/>
      <c r="AYA89" s="1251"/>
      <c r="AYB89" s="1251"/>
      <c r="AYC89" s="1251"/>
      <c r="AYD89" s="1251"/>
      <c r="AYE89" s="1251"/>
      <c r="AYF89" s="1251"/>
      <c r="AYG89" s="1251"/>
      <c r="AYH89" s="1251"/>
      <c r="AYI89" s="1251"/>
      <c r="AYJ89" s="1251"/>
      <c r="AYK89" s="1251"/>
      <c r="AYL89" s="1251"/>
      <c r="AYM89" s="1251"/>
      <c r="AYN89" s="1251"/>
      <c r="AYO89" s="1251"/>
      <c r="AYP89" s="1251"/>
      <c r="AYQ89" s="1251"/>
      <c r="AYR89" s="1251"/>
      <c r="AYS89" s="1251"/>
      <c r="AYT89" s="1251"/>
      <c r="AYU89" s="1251"/>
      <c r="AYV89" s="1251"/>
      <c r="AYW89" s="1251"/>
      <c r="AYX89" s="1251"/>
      <c r="AYY89" s="1251"/>
      <c r="AYZ89" s="1251"/>
      <c r="AZA89" s="1251"/>
      <c r="AZB89" s="1251"/>
      <c r="AZC89" s="1251"/>
      <c r="AZD89" s="1251"/>
      <c r="AZE89" s="1251"/>
      <c r="AZF89" s="1251"/>
      <c r="AZG89" s="1251"/>
      <c r="AZH89" s="1251"/>
      <c r="AZI89" s="1251"/>
      <c r="AZJ89" s="1251"/>
      <c r="AZK89" s="1251"/>
      <c r="AZL89" s="1251"/>
      <c r="AZM89" s="1251"/>
      <c r="AZN89" s="1251"/>
      <c r="AZO89" s="1251"/>
      <c r="AZP89" s="1251"/>
      <c r="AZQ89" s="1251"/>
      <c r="AZR89" s="1251"/>
      <c r="AZS89" s="1251"/>
      <c r="AZT89" s="1251"/>
      <c r="AZU89" s="1251"/>
      <c r="AZV89" s="1251"/>
      <c r="AZW89" s="1251"/>
      <c r="AZX89" s="1251"/>
      <c r="AZY89" s="1251"/>
      <c r="AZZ89" s="1251"/>
      <c r="BAA89" s="1251"/>
      <c r="BAB89" s="1251"/>
      <c r="BAC89" s="1251"/>
      <c r="BAD89" s="1251"/>
      <c r="BAE89" s="1251"/>
      <c r="BAF89" s="1251"/>
      <c r="BAG89" s="1251"/>
      <c r="BAH89" s="1251"/>
      <c r="BAI89" s="1251"/>
      <c r="BAJ89" s="1251"/>
      <c r="BAK89" s="1251"/>
      <c r="BAL89" s="1251"/>
      <c r="BAM89" s="1251"/>
      <c r="BAN89" s="1251"/>
      <c r="BAO89" s="1251"/>
      <c r="BAP89" s="1251"/>
      <c r="BAQ89" s="1251"/>
      <c r="BAR89" s="1251"/>
      <c r="BAS89" s="1251"/>
      <c r="BAT89" s="1251"/>
      <c r="BAU89" s="1251"/>
      <c r="BAV89" s="1251"/>
      <c r="BAW89" s="1251"/>
      <c r="BAX89" s="1251"/>
      <c r="BAY89" s="1251"/>
      <c r="BAZ89" s="1251"/>
      <c r="BBA89" s="1251"/>
      <c r="BBB89" s="1251"/>
      <c r="BBC89" s="1251"/>
      <c r="BBD89" s="1251"/>
      <c r="BBE89" s="1251"/>
      <c r="BBF89" s="1251"/>
      <c r="BBG89" s="1251"/>
      <c r="BBH89" s="1251"/>
      <c r="BBI89" s="1251"/>
      <c r="BBJ89" s="1251"/>
      <c r="BBK89" s="1251"/>
      <c r="BBL89" s="1251"/>
      <c r="BBM89" s="1251"/>
      <c r="BBN89" s="1251"/>
      <c r="BBO89" s="1251"/>
      <c r="BBP89" s="1251"/>
      <c r="BBQ89" s="1251"/>
      <c r="BBR89" s="1251"/>
      <c r="BBS89" s="1251"/>
      <c r="BBT89" s="1251"/>
      <c r="BBU89" s="1251"/>
      <c r="BBV89" s="1251"/>
      <c r="BBW89" s="1251"/>
      <c r="BBX89" s="1251"/>
      <c r="BBY89" s="1251"/>
      <c r="BBZ89" s="1251"/>
      <c r="BCA89" s="1251"/>
      <c r="BCB89" s="1251"/>
      <c r="BCC89" s="1251"/>
      <c r="BCD89" s="1251"/>
      <c r="BCE89" s="1251"/>
      <c r="BCF89" s="1251"/>
      <c r="BCG89" s="1251"/>
      <c r="BCH89" s="1251"/>
      <c r="BCI89" s="1251"/>
      <c r="BCJ89" s="1251"/>
      <c r="BCK89" s="1251"/>
      <c r="BCL89" s="1251"/>
      <c r="BCM89" s="1251"/>
      <c r="BCN89" s="1251"/>
      <c r="BCO89" s="1251"/>
      <c r="BCP89" s="1251"/>
      <c r="BCQ89" s="1251"/>
      <c r="BCR89" s="1251"/>
      <c r="BCS89" s="1251"/>
      <c r="BCT89" s="1251"/>
      <c r="BCU89" s="1251"/>
      <c r="BCV89" s="1251"/>
      <c r="BCW89" s="1251"/>
      <c r="BCX89" s="1251"/>
      <c r="BCY89" s="1251"/>
      <c r="BCZ89" s="1251"/>
      <c r="BDA89" s="1251"/>
      <c r="BDB89" s="1251"/>
      <c r="BDC89" s="1251"/>
      <c r="BDD89" s="1251"/>
      <c r="BDE89" s="1251"/>
      <c r="BDF89" s="1251"/>
      <c r="BDG89" s="1251"/>
      <c r="BDH89" s="1251"/>
      <c r="BDI89" s="1251"/>
      <c r="BDJ89" s="1251"/>
      <c r="BDK89" s="1251"/>
      <c r="BDL89" s="1251"/>
      <c r="BDM89" s="1251"/>
      <c r="BDN89" s="1251"/>
      <c r="BDO89" s="1251"/>
      <c r="BDP89" s="1251"/>
      <c r="BDQ89" s="1251"/>
      <c r="BDR89" s="1251"/>
      <c r="BDS89" s="1251"/>
      <c r="BDT89" s="1251"/>
      <c r="BDU89" s="1251"/>
      <c r="BDV89" s="1251"/>
      <c r="BDW89" s="1251"/>
      <c r="BDX89" s="1251"/>
      <c r="BDY89" s="1251"/>
      <c r="BDZ89" s="1251"/>
      <c r="BEA89" s="1251"/>
      <c r="BEB89" s="1251"/>
      <c r="BEC89" s="1251"/>
      <c r="BED89" s="1251"/>
      <c r="BEE89" s="1251"/>
      <c r="BEF89" s="1251"/>
      <c r="BEG89" s="1251"/>
      <c r="BEH89" s="1251"/>
      <c r="BEI89" s="1251"/>
      <c r="BEJ89" s="1251"/>
      <c r="BEK89" s="1251"/>
      <c r="BEL89" s="1251"/>
      <c r="BEM89" s="1251"/>
      <c r="BEN89" s="1251"/>
      <c r="BEO89" s="1251"/>
      <c r="BEP89" s="1251"/>
      <c r="BEQ89" s="1251"/>
      <c r="BER89" s="1251"/>
      <c r="BES89" s="1251"/>
      <c r="BET89" s="1251"/>
      <c r="BEU89" s="1251"/>
      <c r="BEV89" s="1251"/>
      <c r="BEW89" s="1251"/>
      <c r="BEX89" s="1251"/>
      <c r="BEY89" s="1251"/>
      <c r="BEZ89" s="1251"/>
      <c r="BFA89" s="1251"/>
      <c r="BFB89" s="1251"/>
      <c r="BFC89" s="1251"/>
      <c r="BFD89" s="1251"/>
      <c r="BFE89" s="1251"/>
      <c r="BFF89" s="1251"/>
      <c r="BFG89" s="1251"/>
      <c r="BFH89" s="1251"/>
      <c r="BFI89" s="1251"/>
      <c r="BFJ89" s="1251"/>
      <c r="BFK89" s="1251"/>
      <c r="BFL89" s="1251"/>
      <c r="BFM89" s="1251"/>
      <c r="BFN89" s="1251"/>
      <c r="BFO89" s="1251"/>
      <c r="BFP89" s="1251"/>
      <c r="BFQ89" s="1251"/>
      <c r="BFR89" s="1251"/>
      <c r="BFS89" s="1251"/>
      <c r="BFT89" s="1251"/>
      <c r="BFU89" s="1251"/>
      <c r="BFV89" s="1251"/>
      <c r="BFW89" s="1251"/>
      <c r="BFX89" s="1251"/>
      <c r="BFY89" s="1251"/>
      <c r="BFZ89" s="1251"/>
      <c r="BGA89" s="1251"/>
      <c r="BGB89" s="1251"/>
      <c r="BGC89" s="1251"/>
      <c r="BGD89" s="1251"/>
      <c r="BGE89" s="1251"/>
      <c r="BGF89" s="1251"/>
      <c r="BGG89" s="1251"/>
      <c r="BGH89" s="1251"/>
      <c r="BGI89" s="1251"/>
      <c r="BGJ89" s="1251"/>
      <c r="BGK89" s="1251"/>
      <c r="BGL89" s="1251"/>
      <c r="BGM89" s="1251"/>
      <c r="BGN89" s="1251"/>
      <c r="BGO89" s="1251"/>
      <c r="BGP89" s="1251"/>
      <c r="BGQ89" s="1251"/>
      <c r="BGR89" s="1251"/>
      <c r="BGS89" s="1251"/>
      <c r="BGT89" s="1251"/>
      <c r="BGU89" s="1251"/>
      <c r="BGV89" s="1251"/>
      <c r="BGW89" s="1251"/>
      <c r="BGX89" s="1251"/>
      <c r="BGY89" s="1251"/>
      <c r="BGZ89" s="1251"/>
      <c r="BHA89" s="1251"/>
      <c r="BHB89" s="1251"/>
      <c r="BHC89" s="1251"/>
      <c r="BHD89" s="1251"/>
      <c r="BHE89" s="1251"/>
      <c r="BHF89" s="1251"/>
      <c r="BHG89" s="1251"/>
      <c r="BHH89" s="1251"/>
      <c r="BHI89" s="1251"/>
      <c r="BHJ89" s="1251"/>
      <c r="BHK89" s="1251"/>
      <c r="BHL89" s="1251"/>
      <c r="BHM89" s="1251"/>
      <c r="BHN89" s="1251"/>
      <c r="BHO89" s="1251"/>
      <c r="BHP89" s="1251"/>
      <c r="BHQ89" s="1251"/>
      <c r="BHR89" s="1251"/>
      <c r="BHS89" s="1251"/>
      <c r="BHT89" s="1251"/>
      <c r="BHU89" s="1251"/>
      <c r="BHV89" s="1251"/>
      <c r="BHW89" s="1251"/>
      <c r="BHX89" s="1251"/>
      <c r="BHY89" s="1251"/>
      <c r="BHZ89" s="1251"/>
      <c r="BIA89" s="1251"/>
      <c r="BIB89" s="1251"/>
      <c r="BIC89" s="1251"/>
      <c r="BID89" s="1251"/>
      <c r="BIE89" s="1251"/>
      <c r="BIF89" s="1251"/>
      <c r="BIG89" s="1251"/>
      <c r="BIH89" s="1251"/>
      <c r="BII89" s="1251"/>
      <c r="BIJ89" s="1251"/>
      <c r="BIK89" s="1251"/>
      <c r="BIL89" s="1251"/>
      <c r="BIM89" s="1251"/>
      <c r="BIN89" s="1251"/>
      <c r="BIO89" s="1251"/>
      <c r="BIP89" s="1251"/>
      <c r="BIQ89" s="1251"/>
      <c r="BIR89" s="1251"/>
      <c r="BIS89" s="1251"/>
      <c r="BIT89" s="1251"/>
      <c r="BIU89" s="1251"/>
      <c r="BIV89" s="1251"/>
      <c r="BIW89" s="1251"/>
      <c r="BIX89" s="1251"/>
      <c r="BIY89" s="1251"/>
      <c r="BIZ89" s="1251"/>
      <c r="BJA89" s="1251"/>
      <c r="BJB89" s="1251"/>
      <c r="BJC89" s="1251"/>
      <c r="BJD89" s="1251"/>
      <c r="BJE89" s="1251"/>
      <c r="BJF89" s="1251"/>
      <c r="BJG89" s="1251"/>
      <c r="BJH89" s="1251"/>
      <c r="BJI89" s="1251"/>
      <c r="BJJ89" s="1251"/>
      <c r="BJK89" s="1251"/>
      <c r="BJL89" s="1251"/>
      <c r="BJM89" s="1251"/>
      <c r="BJN89" s="1251"/>
      <c r="BJO89" s="1251"/>
      <c r="BJP89" s="1251"/>
      <c r="BJQ89" s="1251"/>
      <c r="BJR89" s="1251"/>
      <c r="BJS89" s="1251"/>
      <c r="BJT89" s="1251"/>
      <c r="BJU89" s="1251"/>
      <c r="BJV89" s="1251"/>
      <c r="BJW89" s="1251"/>
      <c r="BJX89" s="1251"/>
      <c r="BJY89" s="1251"/>
      <c r="BJZ89" s="1251"/>
      <c r="BKA89" s="1251"/>
      <c r="BKB89" s="1251"/>
      <c r="BKC89" s="1251"/>
      <c r="BKD89" s="1251"/>
      <c r="BKE89" s="1251"/>
      <c r="BKF89" s="1251"/>
      <c r="BKG89" s="1251"/>
      <c r="BKH89" s="1251"/>
      <c r="BKI89" s="1251"/>
      <c r="BKJ89" s="1251"/>
      <c r="BKK89" s="1251"/>
      <c r="BKL89" s="1251"/>
      <c r="BKM89" s="1251"/>
      <c r="BKN89" s="1251"/>
      <c r="BKO89" s="1251"/>
      <c r="BKP89" s="1251"/>
      <c r="BKQ89" s="1251"/>
      <c r="BKR89" s="1251"/>
      <c r="BKS89" s="1251"/>
      <c r="BKT89" s="1251"/>
      <c r="BKU89" s="1251"/>
      <c r="BKV89" s="1251"/>
      <c r="BKW89" s="1251"/>
      <c r="BKX89" s="1251"/>
      <c r="BKY89" s="1251"/>
      <c r="BKZ89" s="1251"/>
      <c r="BLA89" s="1251"/>
      <c r="BLB89" s="1251"/>
      <c r="BLC89" s="1251"/>
      <c r="BLD89" s="1251"/>
      <c r="BLE89" s="1251"/>
      <c r="BLF89" s="1251"/>
      <c r="BLG89" s="1251"/>
      <c r="BLH89" s="1251"/>
      <c r="BLI89" s="1251"/>
      <c r="BLJ89" s="1251"/>
      <c r="BLK89" s="1251"/>
      <c r="BLL89" s="1251"/>
      <c r="BLM89" s="1251"/>
      <c r="BLN89" s="1251"/>
      <c r="BLO89" s="1251"/>
      <c r="BLP89" s="1251"/>
      <c r="BLQ89" s="1251"/>
      <c r="BLR89" s="1251"/>
      <c r="BLS89" s="1251"/>
      <c r="BLT89" s="1251"/>
      <c r="BLU89" s="1251"/>
      <c r="BLV89" s="1251"/>
      <c r="BLW89" s="1251"/>
      <c r="BLX89" s="1251"/>
      <c r="BLY89" s="1251"/>
      <c r="BLZ89" s="1251"/>
      <c r="BMA89" s="1251"/>
      <c r="BMB89" s="1251"/>
      <c r="BMC89" s="1251"/>
      <c r="BMD89" s="1251"/>
      <c r="BME89" s="1251"/>
      <c r="BMF89" s="1251"/>
      <c r="BMG89" s="1251"/>
      <c r="BMH89" s="1251"/>
      <c r="BMI89" s="1251"/>
      <c r="BMJ89" s="1251"/>
      <c r="BMK89" s="1251"/>
      <c r="BML89" s="1251"/>
      <c r="BMM89" s="1251"/>
      <c r="BMN89" s="1251"/>
      <c r="BMO89" s="1251"/>
      <c r="BMP89" s="1251"/>
      <c r="BMQ89" s="1251"/>
      <c r="BMR89" s="1251"/>
      <c r="BMS89" s="1251"/>
      <c r="BMT89" s="1251"/>
      <c r="BMU89" s="1251"/>
      <c r="BMV89" s="1251"/>
      <c r="BMW89" s="1251"/>
      <c r="BMX89" s="1251"/>
      <c r="BMY89" s="1251"/>
      <c r="BMZ89" s="1251"/>
      <c r="BNA89" s="1251"/>
      <c r="BNB89" s="1251"/>
      <c r="BNC89" s="1251"/>
      <c r="BND89" s="1251"/>
      <c r="BNE89" s="1251"/>
      <c r="BNF89" s="1251"/>
      <c r="BNG89" s="1251"/>
      <c r="BNH89" s="1251"/>
      <c r="BNI89" s="1251"/>
      <c r="BNJ89" s="1251"/>
      <c r="BNK89" s="1251"/>
      <c r="BNL89" s="1251"/>
      <c r="BNM89" s="1251"/>
      <c r="BNN89" s="1251"/>
      <c r="BNO89" s="1251"/>
      <c r="BNP89" s="1251"/>
      <c r="BNQ89" s="1251"/>
      <c r="BNR89" s="1251"/>
      <c r="BNS89" s="1251"/>
      <c r="BNT89" s="1251"/>
      <c r="BNU89" s="1251"/>
      <c r="BNV89" s="1251"/>
      <c r="BNW89" s="1251"/>
      <c r="BNX89" s="1251"/>
      <c r="BNY89" s="1251"/>
      <c r="BNZ89" s="1251"/>
      <c r="BOA89" s="1251"/>
      <c r="BOB89" s="1251"/>
      <c r="BOC89" s="1251"/>
      <c r="BOD89" s="1251"/>
      <c r="BOE89" s="1251"/>
      <c r="BOF89" s="1251"/>
      <c r="BOG89" s="1251"/>
      <c r="BOH89" s="1251"/>
      <c r="BOI89" s="1251"/>
      <c r="BOJ89" s="1251"/>
      <c r="BOK89" s="1251"/>
      <c r="BOL89" s="1251"/>
      <c r="BOM89" s="1251"/>
      <c r="BON89" s="1251"/>
      <c r="BOO89" s="1251"/>
      <c r="BOP89" s="1251"/>
      <c r="BOQ89" s="1251"/>
      <c r="BOR89" s="1251"/>
      <c r="BOS89" s="1251"/>
      <c r="BOT89" s="1251"/>
      <c r="BOU89" s="1251"/>
      <c r="BOV89" s="1251"/>
      <c r="BOW89" s="1251"/>
      <c r="BOX89" s="1251"/>
      <c r="BOY89" s="1251"/>
      <c r="BOZ89" s="1251"/>
      <c r="BPA89" s="1251"/>
      <c r="BPB89" s="1251"/>
      <c r="BPC89" s="1251"/>
      <c r="BPD89" s="1251"/>
      <c r="BPE89" s="1251"/>
      <c r="BPF89" s="1251"/>
      <c r="BPG89" s="1251"/>
      <c r="BPH89" s="1251"/>
      <c r="BPI89" s="1251"/>
      <c r="BPJ89" s="1251"/>
      <c r="BPK89" s="1251"/>
      <c r="BPL89" s="1251"/>
      <c r="BPM89" s="1251"/>
      <c r="BPN89" s="1251"/>
      <c r="BPO89" s="1251"/>
      <c r="BPP89" s="1251"/>
      <c r="BPQ89" s="1251"/>
      <c r="BPR89" s="1251"/>
      <c r="BPS89" s="1251"/>
      <c r="BPT89" s="1251"/>
      <c r="BPU89" s="1251"/>
      <c r="BPV89" s="1251"/>
      <c r="BPW89" s="1251"/>
      <c r="BPX89" s="1251"/>
      <c r="BPY89" s="1251"/>
      <c r="BPZ89" s="1251"/>
      <c r="BQA89" s="1251"/>
      <c r="BQB89" s="1251"/>
      <c r="BQC89" s="1251"/>
      <c r="BQD89" s="1251"/>
      <c r="BQE89" s="1251"/>
      <c r="BQF89" s="1251"/>
      <c r="BQG89" s="1251"/>
      <c r="BQH89" s="1251"/>
      <c r="BQI89" s="1251"/>
      <c r="BQJ89" s="1251"/>
      <c r="BQK89" s="1251"/>
      <c r="BQL89" s="1251"/>
      <c r="BQM89" s="1251"/>
      <c r="BQN89" s="1251"/>
      <c r="BQO89" s="1251"/>
      <c r="BQP89" s="1251"/>
      <c r="BQQ89" s="1251"/>
      <c r="BQR89" s="1251"/>
      <c r="BQS89" s="1251"/>
      <c r="BQT89" s="1251"/>
      <c r="BQU89" s="1251"/>
      <c r="BQV89" s="1251"/>
      <c r="BQW89" s="1251"/>
      <c r="BQX89" s="1251"/>
      <c r="BQY89" s="1251"/>
      <c r="BQZ89" s="1251"/>
      <c r="BRA89" s="1251"/>
      <c r="BRB89" s="1251"/>
      <c r="BRC89" s="1251"/>
      <c r="BRD89" s="1251"/>
      <c r="BRE89" s="1251"/>
      <c r="BRF89" s="1251"/>
      <c r="BRG89" s="1251"/>
      <c r="BRH89" s="1251"/>
      <c r="BRI89" s="1251"/>
      <c r="BRJ89" s="1251"/>
      <c r="BRK89" s="1251"/>
      <c r="BRL89" s="1251"/>
      <c r="BRM89" s="1251"/>
      <c r="BRN89" s="1251"/>
      <c r="BRO89" s="1251"/>
      <c r="BRP89" s="1251"/>
      <c r="BRQ89" s="1251"/>
      <c r="BRR89" s="1251"/>
      <c r="BRS89" s="1251"/>
      <c r="BRT89" s="1251"/>
      <c r="BRU89" s="1251"/>
      <c r="BRV89" s="1251"/>
      <c r="BRW89" s="1251"/>
      <c r="BRX89" s="1251"/>
      <c r="BRY89" s="1251"/>
      <c r="BRZ89" s="1251"/>
      <c r="BSA89" s="1251"/>
      <c r="BSB89" s="1251"/>
      <c r="BSC89" s="1251"/>
      <c r="BSD89" s="1251"/>
      <c r="BSE89" s="1251"/>
      <c r="BSF89" s="1251"/>
      <c r="BSG89" s="1251"/>
      <c r="BSH89" s="1251"/>
      <c r="BSI89" s="1251"/>
      <c r="BSJ89" s="1251"/>
      <c r="BSK89" s="1251"/>
      <c r="BSL89" s="1251"/>
      <c r="BSM89" s="1251"/>
      <c r="BSN89" s="1251"/>
      <c r="BSO89" s="1251"/>
      <c r="BSP89" s="1251"/>
      <c r="BSQ89" s="1251"/>
      <c r="BSR89" s="1251"/>
      <c r="BSS89" s="1251"/>
      <c r="BST89" s="1251"/>
      <c r="BSU89" s="1251"/>
      <c r="BSV89" s="1251"/>
      <c r="BSW89" s="1251"/>
      <c r="BSX89" s="1251"/>
      <c r="BSY89" s="1251"/>
      <c r="BSZ89" s="1251"/>
      <c r="BTA89" s="1251"/>
      <c r="BTB89" s="1251"/>
      <c r="BTC89" s="1251"/>
      <c r="BTD89" s="1251"/>
      <c r="BTE89" s="1251"/>
      <c r="BTF89" s="1251"/>
      <c r="BTG89" s="1251"/>
      <c r="BTH89" s="1251"/>
      <c r="BTI89" s="1251"/>
    </row>
    <row r="90" spans="1:1881" s="1261" customFormat="1" ht="169.5" hidden="1" customHeight="1" thickBot="1" x14ac:dyDescent="0.35">
      <c r="A90" s="1248">
        <v>147</v>
      </c>
      <c r="B90" s="807" t="s">
        <v>1193</v>
      </c>
      <c r="C90" s="807" t="s">
        <v>1194</v>
      </c>
      <c r="D90" s="24" t="s">
        <v>1195</v>
      </c>
      <c r="E90" s="1249" t="e">
        <f>HLOOKUP($D$2,'2020 Data(H)'!$C$1:$CZ$426,67,FALSE)</f>
        <v>#N/A</v>
      </c>
      <c r="F90" s="1263">
        <v>0</v>
      </c>
      <c r="G90" s="727"/>
      <c r="H90" s="730"/>
      <c r="I90" s="760"/>
      <c r="J90" s="1251"/>
      <c r="K90" s="1251"/>
      <c r="L90" s="701"/>
      <c r="M90" s="1251"/>
      <c r="N90" s="1253"/>
      <c r="O90" s="1251"/>
      <c r="P90" s="1251"/>
      <c r="Q90" s="1251"/>
      <c r="R90" s="1251"/>
      <c r="S90" s="1251"/>
      <c r="T90" s="1251"/>
      <c r="U90" s="1251"/>
      <c r="V90" s="1251"/>
      <c r="W90" s="1251"/>
      <c r="X90" s="1251"/>
      <c r="Y90" s="1251"/>
      <c r="Z90" s="1248"/>
      <c r="AA90" s="1248"/>
      <c r="AB90" s="1248"/>
      <c r="AC90" s="1248"/>
      <c r="AD90" s="1248"/>
      <c r="AE90" s="1248"/>
      <c r="AF90" s="1248"/>
      <c r="AG90" s="1248"/>
      <c r="AH90" s="1248"/>
      <c r="AI90" s="1248"/>
      <c r="AJ90" s="1248"/>
      <c r="AK90" s="1248"/>
      <c r="AL90" s="1248"/>
      <c r="AM90" s="1248"/>
      <c r="AN90" s="1248"/>
      <c r="AO90" s="1248"/>
      <c r="AP90" s="1248"/>
      <c r="AQ90" s="1248"/>
      <c r="AR90" s="1248"/>
      <c r="AS90" s="1251"/>
      <c r="AT90" s="1251"/>
      <c r="AU90" s="1251"/>
      <c r="AV90" s="1251"/>
      <c r="AW90" s="1251"/>
      <c r="AX90" s="1251"/>
      <c r="AY90" s="1251"/>
      <c r="AZ90" s="1251"/>
      <c r="BA90" s="1251"/>
      <c r="BB90" s="1251"/>
      <c r="BC90" s="1251"/>
      <c r="BD90" s="1251"/>
      <c r="BE90" s="1251"/>
      <c r="BF90" s="1251"/>
      <c r="BG90" s="1251"/>
      <c r="BH90" s="1251"/>
      <c r="BI90" s="1251"/>
      <c r="BJ90" s="1251"/>
      <c r="BK90" s="1251"/>
      <c r="BL90" s="1251"/>
      <c r="BM90" s="1251"/>
      <c r="BN90" s="1251"/>
      <c r="BO90" s="1251"/>
      <c r="BP90" s="1251"/>
      <c r="BQ90" s="1251"/>
      <c r="BR90" s="1251"/>
      <c r="BS90" s="1251"/>
      <c r="BT90" s="1251"/>
      <c r="BU90" s="1251"/>
      <c r="BV90" s="1251"/>
      <c r="BW90" s="1251"/>
      <c r="BX90" s="1251"/>
      <c r="BY90" s="1251"/>
      <c r="BZ90" s="1251"/>
      <c r="CA90" s="1251"/>
      <c r="CB90" s="1251"/>
      <c r="CC90" s="1251"/>
      <c r="CD90" s="1251"/>
      <c r="CE90" s="1251"/>
      <c r="CF90" s="1251"/>
      <c r="CG90" s="1251"/>
      <c r="CH90" s="1251"/>
      <c r="CI90" s="1251"/>
      <c r="CJ90" s="1251"/>
      <c r="CK90" s="1251"/>
      <c r="CL90" s="1251"/>
      <c r="CM90" s="1251"/>
      <c r="CN90" s="1251"/>
      <c r="CO90" s="1251"/>
      <c r="CP90" s="1251"/>
      <c r="CQ90" s="1251"/>
      <c r="CR90" s="1251"/>
      <c r="CS90" s="1251"/>
      <c r="CT90" s="1251"/>
      <c r="CU90" s="1251"/>
      <c r="CV90" s="1251"/>
      <c r="CW90" s="1251"/>
      <c r="CX90" s="1251"/>
      <c r="CY90" s="1251"/>
      <c r="CZ90" s="1251"/>
      <c r="DA90" s="1251"/>
      <c r="DB90" s="1251"/>
      <c r="DC90" s="1251"/>
      <c r="DD90" s="1251"/>
      <c r="DE90" s="1251"/>
      <c r="DF90" s="1251"/>
      <c r="DG90" s="1251"/>
      <c r="DH90" s="1251"/>
      <c r="DI90" s="1251"/>
      <c r="DJ90" s="1251"/>
      <c r="DK90" s="1251"/>
      <c r="DL90" s="1251"/>
      <c r="DM90" s="1251"/>
      <c r="DN90" s="1251"/>
      <c r="DO90" s="1251"/>
      <c r="DP90" s="1251"/>
      <c r="DQ90" s="1251"/>
      <c r="DR90" s="1251"/>
      <c r="DS90" s="1251"/>
      <c r="DT90" s="1251"/>
      <c r="DU90" s="1251"/>
      <c r="DV90" s="1251"/>
      <c r="DW90" s="1251"/>
      <c r="DX90" s="1251"/>
      <c r="DY90" s="1251"/>
      <c r="DZ90" s="1251"/>
      <c r="EA90" s="1251"/>
      <c r="EB90" s="1251"/>
      <c r="EC90" s="1251"/>
      <c r="ED90" s="1251"/>
      <c r="EE90" s="1251"/>
      <c r="EF90" s="1251"/>
      <c r="EG90" s="1251"/>
      <c r="EH90" s="1251"/>
      <c r="EI90" s="1251"/>
      <c r="EJ90" s="1251"/>
      <c r="EK90" s="1251"/>
      <c r="EL90" s="1251"/>
      <c r="EM90" s="1251"/>
      <c r="EN90" s="1251"/>
      <c r="EO90" s="1251"/>
      <c r="EP90" s="1251"/>
      <c r="EQ90" s="1251"/>
      <c r="ER90" s="1251"/>
      <c r="ES90" s="1251"/>
      <c r="ET90" s="1251"/>
      <c r="EU90" s="1251"/>
      <c r="EV90" s="1251"/>
      <c r="EW90" s="1251"/>
      <c r="EX90" s="1251"/>
      <c r="EY90" s="1251"/>
      <c r="EZ90" s="1251"/>
      <c r="FA90" s="1251"/>
      <c r="FB90" s="1251"/>
      <c r="FC90" s="1251"/>
      <c r="FD90" s="1251"/>
      <c r="FE90" s="1251"/>
      <c r="FF90" s="1251"/>
      <c r="FG90" s="1251"/>
      <c r="FH90" s="1251"/>
      <c r="FI90" s="1251"/>
      <c r="FJ90" s="1251"/>
      <c r="FK90" s="1251"/>
      <c r="FL90" s="1251"/>
      <c r="FM90" s="1251"/>
      <c r="FN90" s="1251"/>
      <c r="FO90" s="1251"/>
      <c r="FP90" s="1251"/>
      <c r="FQ90" s="1251"/>
      <c r="FR90" s="1251"/>
      <c r="FS90" s="1251"/>
      <c r="FT90" s="1251"/>
      <c r="FU90" s="1251"/>
      <c r="FV90" s="1251"/>
      <c r="FW90" s="1251"/>
      <c r="FX90" s="1251"/>
      <c r="FY90" s="1251"/>
      <c r="FZ90" s="1251"/>
      <c r="GA90" s="1251"/>
      <c r="GB90" s="1251"/>
      <c r="GC90" s="1251"/>
      <c r="GD90" s="1251"/>
      <c r="GE90" s="1251"/>
      <c r="GF90" s="1251"/>
      <c r="GG90" s="1251"/>
      <c r="GH90" s="1251"/>
      <c r="GI90" s="1251"/>
      <c r="GJ90" s="1251"/>
      <c r="GK90" s="1251"/>
      <c r="GL90" s="1251"/>
      <c r="GM90" s="1251"/>
      <c r="GN90" s="1251"/>
      <c r="GO90" s="1251"/>
      <c r="GP90" s="1251"/>
      <c r="GQ90" s="1251"/>
      <c r="GR90" s="1251"/>
      <c r="GS90" s="1251"/>
      <c r="GT90" s="1251"/>
      <c r="GU90" s="1251"/>
      <c r="GV90" s="1251"/>
      <c r="GW90" s="1251"/>
      <c r="GX90" s="1251"/>
      <c r="GY90" s="1251"/>
      <c r="GZ90" s="1251"/>
      <c r="HA90" s="1251"/>
      <c r="HB90" s="1251"/>
      <c r="HC90" s="1251"/>
      <c r="HD90" s="1251"/>
      <c r="HE90" s="1251"/>
      <c r="HF90" s="1251"/>
      <c r="HG90" s="1251"/>
      <c r="HH90" s="1251"/>
      <c r="HI90" s="1251"/>
      <c r="HJ90" s="1251"/>
      <c r="HK90" s="1251"/>
      <c r="HL90" s="1251"/>
      <c r="HM90" s="1251"/>
      <c r="HN90" s="1251"/>
      <c r="HO90" s="1251"/>
      <c r="HP90" s="1251"/>
      <c r="HQ90" s="1251"/>
      <c r="HR90" s="1251"/>
      <c r="HS90" s="1251"/>
      <c r="HT90" s="1251"/>
      <c r="HU90" s="1251"/>
      <c r="HV90" s="1251"/>
      <c r="HW90" s="1251"/>
      <c r="HX90" s="1251"/>
      <c r="HY90" s="1251"/>
      <c r="HZ90" s="1251"/>
      <c r="IA90" s="1251"/>
      <c r="IB90" s="1251"/>
      <c r="IC90" s="1251"/>
      <c r="ID90" s="1251"/>
      <c r="IE90" s="1251"/>
      <c r="IF90" s="1251"/>
      <c r="IG90" s="1251"/>
      <c r="IH90" s="1251"/>
      <c r="II90" s="1251"/>
      <c r="IJ90" s="1251"/>
      <c r="IK90" s="1251"/>
      <c r="IL90" s="1251"/>
      <c r="IM90" s="1251"/>
      <c r="IN90" s="1251"/>
      <c r="IO90" s="1251"/>
      <c r="IP90" s="1251"/>
      <c r="IQ90" s="1251"/>
      <c r="IR90" s="1251"/>
      <c r="IS90" s="1251"/>
      <c r="IT90" s="1251"/>
      <c r="IU90" s="1251"/>
      <c r="IV90" s="1251"/>
      <c r="IW90" s="1251"/>
      <c r="IX90" s="1251"/>
      <c r="IY90" s="1251"/>
      <c r="IZ90" s="1251"/>
      <c r="JA90" s="1251"/>
      <c r="JB90" s="1251"/>
      <c r="JC90" s="1251"/>
      <c r="JD90" s="1251"/>
      <c r="JE90" s="1251"/>
      <c r="JF90" s="1251"/>
      <c r="JG90" s="1251"/>
      <c r="JH90" s="1251"/>
      <c r="JI90" s="1251"/>
      <c r="JJ90" s="1251"/>
      <c r="JK90" s="1251"/>
      <c r="JL90" s="1251"/>
      <c r="JM90" s="1251"/>
      <c r="JN90" s="1251"/>
      <c r="JO90" s="1251"/>
      <c r="JP90" s="1251"/>
      <c r="JQ90" s="1251"/>
      <c r="JR90" s="1251"/>
      <c r="JS90" s="1251"/>
      <c r="JT90" s="1251"/>
      <c r="JU90" s="1251"/>
      <c r="JV90" s="1251"/>
      <c r="JW90" s="1251"/>
      <c r="JX90" s="1251"/>
      <c r="JY90" s="1251"/>
      <c r="JZ90" s="1251"/>
      <c r="KA90" s="1251"/>
      <c r="KB90" s="1251"/>
      <c r="KC90" s="1251"/>
      <c r="KD90" s="1251"/>
      <c r="KE90" s="1251"/>
      <c r="KF90" s="1251"/>
      <c r="KG90" s="1251"/>
      <c r="KH90" s="1251"/>
      <c r="KI90" s="1251"/>
      <c r="KJ90" s="1251"/>
      <c r="KK90" s="1251"/>
      <c r="KL90" s="1251"/>
      <c r="KM90" s="1251"/>
      <c r="KN90" s="1251"/>
      <c r="KO90" s="1251"/>
      <c r="KP90" s="1251"/>
      <c r="KQ90" s="1251"/>
      <c r="KR90" s="1251"/>
      <c r="KS90" s="1251"/>
      <c r="KT90" s="1251"/>
      <c r="KU90" s="1251"/>
      <c r="KV90" s="1251"/>
      <c r="KW90" s="1251"/>
      <c r="KX90" s="1251"/>
      <c r="KY90" s="1251"/>
      <c r="KZ90" s="1251"/>
      <c r="LA90" s="1251"/>
      <c r="LB90" s="1251"/>
      <c r="LC90" s="1251"/>
      <c r="LD90" s="1251"/>
      <c r="LE90" s="1251"/>
      <c r="LF90" s="1251"/>
      <c r="LG90" s="1251"/>
      <c r="LH90" s="1251"/>
      <c r="LI90" s="1251"/>
      <c r="LJ90" s="1251"/>
      <c r="LK90" s="1251"/>
      <c r="LL90" s="1251"/>
      <c r="LM90" s="1251"/>
      <c r="LN90" s="1251"/>
      <c r="LO90" s="1251"/>
      <c r="LP90" s="1251"/>
      <c r="LQ90" s="1251"/>
      <c r="LR90" s="1251"/>
      <c r="LS90" s="1251"/>
      <c r="LT90" s="1251"/>
      <c r="LU90" s="1251"/>
      <c r="LV90" s="1251"/>
      <c r="LW90" s="1251"/>
      <c r="LX90" s="1251"/>
      <c r="LY90" s="1251"/>
      <c r="LZ90" s="1251"/>
      <c r="MA90" s="1251"/>
      <c r="MB90" s="1251"/>
      <c r="MC90" s="1251"/>
      <c r="MD90" s="1251"/>
      <c r="ME90" s="1251"/>
      <c r="MF90" s="1251"/>
      <c r="MG90" s="1251"/>
      <c r="MH90" s="1251"/>
      <c r="MI90" s="1251"/>
      <c r="MJ90" s="1251"/>
      <c r="MK90" s="1251"/>
      <c r="ML90" s="1251"/>
      <c r="MM90" s="1251"/>
      <c r="MN90" s="1251"/>
      <c r="MO90" s="1251"/>
      <c r="MP90" s="1251"/>
      <c r="MQ90" s="1251"/>
      <c r="MR90" s="1251"/>
      <c r="MS90" s="1251"/>
      <c r="MT90" s="1251"/>
      <c r="MU90" s="1251"/>
      <c r="MV90" s="1251"/>
      <c r="MW90" s="1251"/>
      <c r="MX90" s="1251"/>
      <c r="MY90" s="1251"/>
      <c r="MZ90" s="1251"/>
      <c r="NA90" s="1251"/>
      <c r="NB90" s="1251"/>
      <c r="NC90" s="1251"/>
      <c r="ND90" s="1251"/>
      <c r="NE90" s="1251"/>
      <c r="NF90" s="1251"/>
      <c r="NG90" s="1251"/>
      <c r="NH90" s="1251"/>
      <c r="NI90" s="1251"/>
      <c r="NJ90" s="1251"/>
      <c r="NK90" s="1251"/>
      <c r="NL90" s="1251"/>
      <c r="NM90" s="1251"/>
      <c r="NN90" s="1251"/>
      <c r="NO90" s="1251"/>
      <c r="NP90" s="1251"/>
      <c r="NQ90" s="1251"/>
      <c r="NR90" s="1251"/>
      <c r="NS90" s="1251"/>
      <c r="NT90" s="1251"/>
      <c r="NU90" s="1251"/>
      <c r="NV90" s="1251"/>
      <c r="NW90" s="1251"/>
      <c r="NX90" s="1251"/>
      <c r="NY90" s="1251"/>
      <c r="NZ90" s="1251"/>
      <c r="OA90" s="1251"/>
      <c r="OB90" s="1251"/>
      <c r="OC90" s="1251"/>
      <c r="OD90" s="1251"/>
      <c r="OE90" s="1251"/>
      <c r="OF90" s="1251"/>
      <c r="OG90" s="1251"/>
      <c r="OH90" s="1251"/>
      <c r="OI90" s="1251"/>
      <c r="OJ90" s="1251"/>
      <c r="OK90" s="1251"/>
      <c r="OL90" s="1251"/>
      <c r="OM90" s="1251"/>
      <c r="ON90" s="1251"/>
      <c r="OO90" s="1251"/>
      <c r="OP90" s="1251"/>
      <c r="OQ90" s="1251"/>
      <c r="OR90" s="1251"/>
      <c r="OS90" s="1251"/>
      <c r="OT90" s="1251"/>
      <c r="OU90" s="1251"/>
      <c r="OV90" s="1251"/>
      <c r="OW90" s="1251"/>
      <c r="OX90" s="1251"/>
      <c r="OY90" s="1251"/>
      <c r="OZ90" s="1251"/>
      <c r="PA90" s="1251"/>
      <c r="PB90" s="1251"/>
      <c r="PC90" s="1251"/>
      <c r="PD90" s="1251"/>
      <c r="PE90" s="1251"/>
      <c r="PF90" s="1251"/>
      <c r="PG90" s="1251"/>
      <c r="PH90" s="1251"/>
      <c r="PI90" s="1251"/>
      <c r="PJ90" s="1251"/>
      <c r="PK90" s="1251"/>
      <c r="PL90" s="1251"/>
      <c r="PM90" s="1251"/>
      <c r="PN90" s="1251"/>
      <c r="PO90" s="1251"/>
      <c r="PP90" s="1251"/>
      <c r="PQ90" s="1251"/>
      <c r="PR90" s="1251"/>
      <c r="PS90" s="1251"/>
      <c r="PT90" s="1251"/>
      <c r="PU90" s="1251"/>
      <c r="PV90" s="1251"/>
      <c r="PW90" s="1251"/>
      <c r="PX90" s="1251"/>
      <c r="PY90" s="1251"/>
      <c r="PZ90" s="1251"/>
      <c r="QA90" s="1251"/>
      <c r="QB90" s="1251"/>
      <c r="QC90" s="1251"/>
      <c r="QD90" s="1251"/>
      <c r="QE90" s="1251"/>
      <c r="QF90" s="1251"/>
      <c r="QG90" s="1251"/>
      <c r="QH90" s="1251"/>
      <c r="QI90" s="1251"/>
      <c r="QJ90" s="1251"/>
      <c r="QK90" s="1251"/>
      <c r="QL90" s="1251"/>
      <c r="QM90" s="1251"/>
      <c r="QN90" s="1251"/>
      <c r="QO90" s="1251"/>
      <c r="QP90" s="1251"/>
      <c r="QQ90" s="1251"/>
      <c r="QR90" s="1251"/>
      <c r="QS90" s="1251"/>
      <c r="QT90" s="1251"/>
      <c r="QU90" s="1251"/>
      <c r="QV90" s="1251"/>
      <c r="QW90" s="1251"/>
      <c r="QX90" s="1251"/>
      <c r="QY90" s="1251"/>
      <c r="QZ90" s="1251"/>
      <c r="RA90" s="1251"/>
      <c r="RB90" s="1251"/>
      <c r="RC90" s="1251"/>
      <c r="RD90" s="1251"/>
      <c r="RE90" s="1251"/>
      <c r="RF90" s="1251"/>
      <c r="RG90" s="1251"/>
      <c r="RH90" s="1251"/>
      <c r="RI90" s="1251"/>
      <c r="RJ90" s="1251"/>
      <c r="RK90" s="1251"/>
      <c r="RL90" s="1251"/>
      <c r="RM90" s="1251"/>
      <c r="RN90" s="1251"/>
      <c r="RO90" s="1251"/>
      <c r="RP90" s="1251"/>
      <c r="RQ90" s="1251"/>
      <c r="RR90" s="1251"/>
      <c r="RS90" s="1251"/>
      <c r="RT90" s="1251"/>
      <c r="RU90" s="1251"/>
      <c r="RV90" s="1251"/>
      <c r="RW90" s="1251"/>
      <c r="RX90" s="1251"/>
      <c r="RY90" s="1251"/>
      <c r="RZ90" s="1251"/>
      <c r="SA90" s="1251"/>
      <c r="SB90" s="1251"/>
      <c r="SC90" s="1251"/>
      <c r="SD90" s="1251"/>
      <c r="SE90" s="1251"/>
      <c r="SF90" s="1251"/>
      <c r="SG90" s="1251"/>
      <c r="SH90" s="1251"/>
      <c r="SI90" s="1251"/>
      <c r="SJ90" s="1251"/>
      <c r="SK90" s="1251"/>
      <c r="SL90" s="1251"/>
      <c r="SM90" s="1251"/>
      <c r="SN90" s="1251"/>
      <c r="SO90" s="1251"/>
      <c r="SP90" s="1251"/>
      <c r="SQ90" s="1251"/>
      <c r="SR90" s="1251"/>
      <c r="SS90" s="1251"/>
      <c r="ST90" s="1251"/>
      <c r="SU90" s="1251"/>
      <c r="SV90" s="1251"/>
      <c r="SW90" s="1251"/>
      <c r="SX90" s="1251"/>
      <c r="SY90" s="1251"/>
      <c r="SZ90" s="1251"/>
      <c r="TA90" s="1251"/>
      <c r="TB90" s="1251"/>
      <c r="TC90" s="1251"/>
      <c r="TD90" s="1251"/>
      <c r="TE90" s="1251"/>
      <c r="TF90" s="1251"/>
      <c r="TG90" s="1251"/>
      <c r="TH90" s="1251"/>
      <c r="TI90" s="1251"/>
      <c r="TJ90" s="1251"/>
      <c r="TK90" s="1251"/>
      <c r="TL90" s="1251"/>
      <c r="TM90" s="1251"/>
      <c r="TN90" s="1251"/>
      <c r="TO90" s="1251"/>
      <c r="TP90" s="1251"/>
      <c r="TQ90" s="1251"/>
      <c r="TR90" s="1251"/>
      <c r="TS90" s="1251"/>
      <c r="TT90" s="1251"/>
      <c r="TU90" s="1251"/>
      <c r="TV90" s="1251"/>
      <c r="TW90" s="1251"/>
      <c r="TX90" s="1251"/>
      <c r="TY90" s="1251"/>
      <c r="TZ90" s="1251"/>
      <c r="UA90" s="1251"/>
      <c r="UB90" s="1251"/>
      <c r="UC90" s="1251"/>
      <c r="UD90" s="1251"/>
      <c r="UE90" s="1251"/>
      <c r="UF90" s="1251"/>
      <c r="UG90" s="1251"/>
      <c r="UH90" s="1251"/>
      <c r="UI90" s="1251"/>
      <c r="UJ90" s="1251"/>
      <c r="UK90" s="1251"/>
      <c r="UL90" s="1251"/>
      <c r="UM90" s="1251"/>
      <c r="UN90" s="1251"/>
      <c r="UO90" s="1251"/>
      <c r="UP90" s="1251"/>
      <c r="UQ90" s="1251"/>
      <c r="UR90" s="1251"/>
      <c r="US90" s="1251"/>
      <c r="UT90" s="1251"/>
      <c r="UU90" s="1251"/>
      <c r="UV90" s="1251"/>
      <c r="UW90" s="1251"/>
      <c r="UX90" s="1251"/>
      <c r="UY90" s="1251"/>
      <c r="UZ90" s="1251"/>
      <c r="VA90" s="1251"/>
      <c r="VB90" s="1251"/>
      <c r="VC90" s="1251"/>
      <c r="VD90" s="1251"/>
      <c r="VE90" s="1251"/>
      <c r="VF90" s="1251"/>
      <c r="VG90" s="1251"/>
      <c r="VH90" s="1251"/>
      <c r="VI90" s="1251"/>
      <c r="VJ90" s="1251"/>
      <c r="VK90" s="1251"/>
      <c r="VL90" s="1251"/>
      <c r="VM90" s="1251"/>
      <c r="VN90" s="1251"/>
      <c r="VO90" s="1251"/>
      <c r="VP90" s="1251"/>
      <c r="VQ90" s="1251"/>
      <c r="VR90" s="1251"/>
      <c r="VS90" s="1251"/>
      <c r="VT90" s="1251"/>
      <c r="VU90" s="1251"/>
      <c r="VV90" s="1251"/>
      <c r="VW90" s="1251"/>
      <c r="VX90" s="1251"/>
      <c r="VY90" s="1251"/>
      <c r="VZ90" s="1251"/>
      <c r="WA90" s="1251"/>
      <c r="WB90" s="1251"/>
      <c r="WC90" s="1251"/>
      <c r="WD90" s="1251"/>
      <c r="WE90" s="1251"/>
      <c r="WF90" s="1251"/>
      <c r="WG90" s="1251"/>
      <c r="WH90" s="1251"/>
      <c r="WI90" s="1251"/>
      <c r="WJ90" s="1251"/>
      <c r="WK90" s="1251"/>
      <c r="WL90" s="1251"/>
      <c r="WM90" s="1251"/>
      <c r="WN90" s="1251"/>
      <c r="WO90" s="1251"/>
      <c r="WP90" s="1251"/>
      <c r="WQ90" s="1251"/>
      <c r="WR90" s="1251"/>
      <c r="WS90" s="1251"/>
      <c r="WT90" s="1251"/>
      <c r="WU90" s="1251"/>
      <c r="WV90" s="1251"/>
      <c r="WW90" s="1251"/>
      <c r="WX90" s="1251"/>
      <c r="WY90" s="1251"/>
      <c r="WZ90" s="1251"/>
      <c r="XA90" s="1251"/>
      <c r="XB90" s="1251"/>
      <c r="XC90" s="1251"/>
      <c r="XD90" s="1251"/>
      <c r="XE90" s="1251"/>
      <c r="XF90" s="1251"/>
      <c r="XG90" s="1251"/>
      <c r="XH90" s="1251"/>
      <c r="XI90" s="1251"/>
      <c r="XJ90" s="1251"/>
      <c r="XK90" s="1251"/>
      <c r="XL90" s="1251"/>
      <c r="XM90" s="1251"/>
      <c r="XN90" s="1251"/>
      <c r="XO90" s="1251"/>
      <c r="XP90" s="1251"/>
      <c r="XQ90" s="1251"/>
      <c r="XR90" s="1251"/>
      <c r="XS90" s="1251"/>
      <c r="XT90" s="1251"/>
      <c r="XU90" s="1251"/>
      <c r="XV90" s="1251"/>
      <c r="XW90" s="1251"/>
      <c r="XX90" s="1251"/>
      <c r="XY90" s="1251"/>
      <c r="XZ90" s="1251"/>
      <c r="YA90" s="1251"/>
      <c r="YB90" s="1251"/>
      <c r="YC90" s="1251"/>
      <c r="YD90" s="1251"/>
      <c r="YE90" s="1251"/>
      <c r="YF90" s="1251"/>
      <c r="YG90" s="1251"/>
      <c r="YH90" s="1251"/>
      <c r="YI90" s="1251"/>
      <c r="YJ90" s="1251"/>
      <c r="YK90" s="1251"/>
      <c r="YL90" s="1251"/>
      <c r="YM90" s="1251"/>
      <c r="YN90" s="1251"/>
      <c r="YO90" s="1251"/>
      <c r="YP90" s="1251"/>
      <c r="YQ90" s="1251"/>
      <c r="YR90" s="1251"/>
      <c r="YS90" s="1251"/>
      <c r="YT90" s="1251"/>
      <c r="YU90" s="1251"/>
      <c r="YV90" s="1251"/>
      <c r="YW90" s="1251"/>
      <c r="YX90" s="1251"/>
      <c r="YY90" s="1251"/>
      <c r="YZ90" s="1251"/>
      <c r="ZA90" s="1251"/>
      <c r="ZB90" s="1251"/>
      <c r="ZC90" s="1251"/>
      <c r="ZD90" s="1251"/>
      <c r="ZE90" s="1251"/>
      <c r="ZF90" s="1251"/>
      <c r="ZG90" s="1251"/>
      <c r="ZH90" s="1251"/>
      <c r="ZI90" s="1251"/>
      <c r="ZJ90" s="1251"/>
      <c r="ZK90" s="1251"/>
      <c r="ZL90" s="1251"/>
      <c r="ZM90" s="1251"/>
      <c r="ZN90" s="1251"/>
      <c r="ZO90" s="1251"/>
      <c r="ZP90" s="1251"/>
      <c r="ZQ90" s="1251"/>
      <c r="ZR90" s="1251"/>
      <c r="ZS90" s="1251"/>
      <c r="ZT90" s="1251"/>
      <c r="ZU90" s="1251"/>
      <c r="ZV90" s="1251"/>
      <c r="ZW90" s="1251"/>
      <c r="ZX90" s="1251"/>
      <c r="ZY90" s="1251"/>
      <c r="ZZ90" s="1251"/>
      <c r="AAA90" s="1251"/>
      <c r="AAB90" s="1251"/>
      <c r="AAC90" s="1251"/>
      <c r="AAD90" s="1251"/>
      <c r="AAE90" s="1251"/>
      <c r="AAF90" s="1251"/>
      <c r="AAG90" s="1251"/>
      <c r="AAH90" s="1251"/>
      <c r="AAI90" s="1251"/>
      <c r="AAJ90" s="1251"/>
      <c r="AAK90" s="1251"/>
      <c r="AAL90" s="1251"/>
      <c r="AAM90" s="1251"/>
      <c r="AAN90" s="1251"/>
      <c r="AAO90" s="1251"/>
      <c r="AAP90" s="1251"/>
      <c r="AAQ90" s="1251"/>
      <c r="AAR90" s="1251"/>
      <c r="AAS90" s="1251"/>
      <c r="AAT90" s="1251"/>
      <c r="AAU90" s="1251"/>
      <c r="AAV90" s="1251"/>
      <c r="AAW90" s="1251"/>
      <c r="AAX90" s="1251"/>
      <c r="AAY90" s="1251"/>
      <c r="AAZ90" s="1251"/>
      <c r="ABA90" s="1251"/>
      <c r="ABB90" s="1251"/>
      <c r="ABC90" s="1251"/>
      <c r="ABD90" s="1251"/>
      <c r="ABE90" s="1251"/>
      <c r="ABF90" s="1251"/>
      <c r="ABG90" s="1251"/>
      <c r="ABH90" s="1251"/>
      <c r="ABI90" s="1251"/>
      <c r="ABJ90" s="1251"/>
      <c r="ABK90" s="1251"/>
      <c r="ABL90" s="1251"/>
      <c r="ABM90" s="1251"/>
      <c r="ABN90" s="1251"/>
      <c r="ABO90" s="1251"/>
      <c r="ABP90" s="1251"/>
      <c r="ABQ90" s="1251"/>
      <c r="ABR90" s="1251"/>
      <c r="ABS90" s="1251"/>
      <c r="ABT90" s="1251"/>
      <c r="ABU90" s="1251"/>
      <c r="ABV90" s="1251"/>
      <c r="ABW90" s="1251"/>
      <c r="ABX90" s="1251"/>
      <c r="ABY90" s="1251"/>
      <c r="ABZ90" s="1251"/>
      <c r="ACA90" s="1251"/>
      <c r="ACB90" s="1251"/>
      <c r="ACC90" s="1251"/>
      <c r="ACD90" s="1251"/>
      <c r="ACE90" s="1251"/>
      <c r="ACF90" s="1251"/>
      <c r="ACG90" s="1251"/>
      <c r="ACH90" s="1251"/>
      <c r="ACI90" s="1251"/>
      <c r="ACJ90" s="1251"/>
      <c r="ACK90" s="1251"/>
      <c r="ACL90" s="1251"/>
      <c r="ACM90" s="1251"/>
      <c r="ACN90" s="1251"/>
      <c r="ACO90" s="1251"/>
      <c r="ACP90" s="1251"/>
      <c r="ACQ90" s="1251"/>
      <c r="ACR90" s="1251"/>
      <c r="ACS90" s="1251"/>
      <c r="ACT90" s="1251"/>
      <c r="ACU90" s="1251"/>
      <c r="ACV90" s="1251"/>
      <c r="ACW90" s="1251"/>
      <c r="ACX90" s="1251"/>
      <c r="ACY90" s="1251"/>
      <c r="ACZ90" s="1251"/>
      <c r="ADA90" s="1251"/>
      <c r="ADB90" s="1251"/>
      <c r="ADC90" s="1251"/>
      <c r="ADD90" s="1251"/>
      <c r="ADE90" s="1251"/>
      <c r="ADF90" s="1251"/>
      <c r="ADG90" s="1251"/>
      <c r="ADH90" s="1251"/>
      <c r="ADI90" s="1251"/>
      <c r="ADJ90" s="1251"/>
      <c r="ADK90" s="1251"/>
      <c r="ADL90" s="1251"/>
      <c r="ADM90" s="1251"/>
      <c r="ADN90" s="1251"/>
      <c r="ADO90" s="1251"/>
      <c r="ADP90" s="1251"/>
      <c r="ADQ90" s="1251"/>
      <c r="ADR90" s="1251"/>
      <c r="ADS90" s="1251"/>
      <c r="ADT90" s="1251"/>
      <c r="ADU90" s="1251"/>
      <c r="ADV90" s="1251"/>
      <c r="ADW90" s="1251"/>
      <c r="ADX90" s="1251"/>
      <c r="ADY90" s="1251"/>
      <c r="ADZ90" s="1251"/>
      <c r="AEA90" s="1251"/>
      <c r="AEB90" s="1251"/>
      <c r="AEC90" s="1251"/>
      <c r="AED90" s="1251"/>
      <c r="AEE90" s="1251"/>
      <c r="AEF90" s="1251"/>
      <c r="AEG90" s="1251"/>
      <c r="AEH90" s="1251"/>
      <c r="AEI90" s="1251"/>
      <c r="AEJ90" s="1251"/>
      <c r="AEK90" s="1251"/>
      <c r="AEL90" s="1251"/>
      <c r="AEM90" s="1251"/>
      <c r="AEN90" s="1251"/>
      <c r="AEO90" s="1251"/>
      <c r="AEP90" s="1251"/>
      <c r="AEQ90" s="1251"/>
      <c r="AER90" s="1251"/>
      <c r="AES90" s="1251"/>
      <c r="AET90" s="1251"/>
      <c r="AEU90" s="1251"/>
      <c r="AEV90" s="1251"/>
      <c r="AEW90" s="1251"/>
      <c r="AEX90" s="1251"/>
      <c r="AEY90" s="1251"/>
      <c r="AEZ90" s="1251"/>
      <c r="AFA90" s="1251"/>
      <c r="AFB90" s="1251"/>
      <c r="AFC90" s="1251"/>
      <c r="AFD90" s="1251"/>
      <c r="AFE90" s="1251"/>
      <c r="AFF90" s="1251"/>
      <c r="AFG90" s="1251"/>
      <c r="AFH90" s="1251"/>
      <c r="AFI90" s="1251"/>
      <c r="AFJ90" s="1251"/>
      <c r="AFK90" s="1251"/>
      <c r="AFL90" s="1251"/>
      <c r="AFM90" s="1251"/>
      <c r="AFN90" s="1251"/>
      <c r="AFO90" s="1251"/>
      <c r="AFP90" s="1251"/>
      <c r="AFQ90" s="1251"/>
      <c r="AFR90" s="1251"/>
      <c r="AFS90" s="1251"/>
      <c r="AFT90" s="1251"/>
      <c r="AFU90" s="1251"/>
      <c r="AFV90" s="1251"/>
      <c r="AFW90" s="1251"/>
      <c r="AFX90" s="1251"/>
      <c r="AFY90" s="1251"/>
      <c r="AFZ90" s="1251"/>
      <c r="AGA90" s="1251"/>
      <c r="AGB90" s="1251"/>
      <c r="AGC90" s="1251"/>
      <c r="AGD90" s="1251"/>
      <c r="AGE90" s="1251"/>
      <c r="AGF90" s="1251"/>
      <c r="AGG90" s="1251"/>
      <c r="AGH90" s="1251"/>
      <c r="AGI90" s="1251"/>
      <c r="AGJ90" s="1251"/>
      <c r="AGK90" s="1251"/>
      <c r="AGL90" s="1251"/>
      <c r="AGM90" s="1251"/>
      <c r="AGN90" s="1251"/>
      <c r="AGO90" s="1251"/>
      <c r="AGP90" s="1251"/>
      <c r="AGQ90" s="1251"/>
      <c r="AGR90" s="1251"/>
      <c r="AGS90" s="1251"/>
      <c r="AGT90" s="1251"/>
      <c r="AGU90" s="1251"/>
      <c r="AGV90" s="1251"/>
      <c r="AGW90" s="1251"/>
      <c r="AGX90" s="1251"/>
      <c r="AGY90" s="1251"/>
      <c r="AGZ90" s="1251"/>
      <c r="AHA90" s="1251"/>
      <c r="AHB90" s="1251"/>
      <c r="AHC90" s="1251"/>
      <c r="AHD90" s="1251"/>
      <c r="AHE90" s="1251"/>
      <c r="AHF90" s="1251"/>
      <c r="AHG90" s="1251"/>
      <c r="AHH90" s="1251"/>
      <c r="AHI90" s="1251"/>
      <c r="AHJ90" s="1251"/>
      <c r="AHK90" s="1251"/>
      <c r="AHL90" s="1251"/>
      <c r="AHM90" s="1251"/>
      <c r="AHN90" s="1251"/>
      <c r="AHO90" s="1251"/>
      <c r="AHP90" s="1251"/>
      <c r="AHQ90" s="1251"/>
      <c r="AHR90" s="1251"/>
      <c r="AHS90" s="1251"/>
      <c r="AHT90" s="1251"/>
      <c r="AHU90" s="1251"/>
      <c r="AHV90" s="1251"/>
      <c r="AHW90" s="1251"/>
      <c r="AHX90" s="1251"/>
      <c r="AHY90" s="1251"/>
      <c r="AHZ90" s="1251"/>
      <c r="AIA90" s="1251"/>
      <c r="AIB90" s="1251"/>
      <c r="AIC90" s="1251"/>
      <c r="AID90" s="1251"/>
      <c r="AIE90" s="1251"/>
      <c r="AIF90" s="1251"/>
      <c r="AIG90" s="1251"/>
      <c r="AIH90" s="1251"/>
      <c r="AII90" s="1251"/>
      <c r="AIJ90" s="1251"/>
      <c r="AIK90" s="1251"/>
      <c r="AIL90" s="1251"/>
      <c r="AIM90" s="1251"/>
      <c r="AIN90" s="1251"/>
      <c r="AIO90" s="1251"/>
      <c r="AIP90" s="1251"/>
      <c r="AIQ90" s="1251"/>
      <c r="AIR90" s="1251"/>
      <c r="AIS90" s="1251"/>
      <c r="AIT90" s="1251"/>
      <c r="AIU90" s="1251"/>
      <c r="AIV90" s="1251"/>
      <c r="AIW90" s="1251"/>
      <c r="AIX90" s="1251"/>
      <c r="AIY90" s="1251"/>
      <c r="AIZ90" s="1251"/>
      <c r="AJA90" s="1251"/>
      <c r="AJB90" s="1251"/>
      <c r="AJC90" s="1251"/>
      <c r="AJD90" s="1251"/>
      <c r="AJE90" s="1251"/>
      <c r="AJF90" s="1251"/>
      <c r="AJG90" s="1251"/>
      <c r="AJH90" s="1251"/>
      <c r="AJI90" s="1251"/>
      <c r="AJJ90" s="1251"/>
      <c r="AJK90" s="1251"/>
      <c r="AJL90" s="1251"/>
      <c r="AJM90" s="1251"/>
      <c r="AJN90" s="1251"/>
      <c r="AJO90" s="1251"/>
      <c r="AJP90" s="1251"/>
      <c r="AJQ90" s="1251"/>
      <c r="AJR90" s="1251"/>
      <c r="AJS90" s="1251"/>
      <c r="AJT90" s="1251"/>
      <c r="AJU90" s="1251"/>
      <c r="AJV90" s="1251"/>
      <c r="AJW90" s="1251"/>
      <c r="AJX90" s="1251"/>
      <c r="AJY90" s="1251"/>
      <c r="AJZ90" s="1251"/>
      <c r="AKA90" s="1251"/>
      <c r="AKB90" s="1251"/>
      <c r="AKC90" s="1251"/>
      <c r="AKD90" s="1251"/>
      <c r="AKE90" s="1251"/>
      <c r="AKF90" s="1251"/>
      <c r="AKG90" s="1251"/>
      <c r="AKH90" s="1251"/>
      <c r="AKI90" s="1251"/>
      <c r="AKJ90" s="1251"/>
      <c r="AKK90" s="1251"/>
      <c r="AKL90" s="1251"/>
      <c r="AKM90" s="1251"/>
      <c r="AKN90" s="1251"/>
      <c r="AKO90" s="1251"/>
      <c r="AKP90" s="1251"/>
      <c r="AKQ90" s="1251"/>
      <c r="AKR90" s="1251"/>
      <c r="AKS90" s="1251"/>
      <c r="AKT90" s="1251"/>
      <c r="AKU90" s="1251"/>
      <c r="AKV90" s="1251"/>
      <c r="AKW90" s="1251"/>
      <c r="AKX90" s="1251"/>
      <c r="AKY90" s="1251"/>
      <c r="AKZ90" s="1251"/>
      <c r="ALA90" s="1251"/>
      <c r="ALB90" s="1251"/>
      <c r="ALC90" s="1251"/>
      <c r="ALD90" s="1251"/>
      <c r="ALE90" s="1251"/>
      <c r="ALF90" s="1251"/>
      <c r="ALG90" s="1251"/>
      <c r="ALH90" s="1251"/>
      <c r="ALI90" s="1251"/>
      <c r="ALJ90" s="1251"/>
      <c r="ALK90" s="1251"/>
      <c r="ALL90" s="1251"/>
      <c r="ALM90" s="1251"/>
      <c r="ALN90" s="1251"/>
      <c r="ALO90" s="1251"/>
      <c r="ALP90" s="1251"/>
      <c r="ALQ90" s="1251"/>
      <c r="ALR90" s="1251"/>
      <c r="ALS90" s="1251"/>
      <c r="ALT90" s="1251"/>
      <c r="ALU90" s="1251"/>
      <c r="ALV90" s="1251"/>
      <c r="ALW90" s="1251"/>
      <c r="ALX90" s="1251"/>
      <c r="ALY90" s="1251"/>
      <c r="ALZ90" s="1251"/>
      <c r="AMA90" s="1251"/>
      <c r="AMB90" s="1251"/>
      <c r="AMC90" s="1251"/>
      <c r="AMD90" s="1251"/>
      <c r="AME90" s="1251"/>
      <c r="AMF90" s="1251"/>
      <c r="AMG90" s="1251"/>
      <c r="AMH90" s="1251"/>
      <c r="AMI90" s="1251"/>
      <c r="AMJ90" s="1251"/>
      <c r="AMK90" s="1251"/>
      <c r="AML90" s="1251"/>
      <c r="AMM90" s="1251"/>
      <c r="AMN90" s="1251"/>
      <c r="AMO90" s="1251"/>
      <c r="AMP90" s="1251"/>
      <c r="AMQ90" s="1251"/>
      <c r="AMR90" s="1251"/>
      <c r="AMS90" s="1251"/>
      <c r="AMT90" s="1251"/>
      <c r="AMU90" s="1251"/>
      <c r="AMV90" s="1251"/>
      <c r="AMW90" s="1251"/>
      <c r="AMX90" s="1251"/>
      <c r="AMY90" s="1251"/>
      <c r="AMZ90" s="1251"/>
      <c r="ANA90" s="1251"/>
      <c r="ANB90" s="1251"/>
      <c r="ANC90" s="1251"/>
      <c r="AND90" s="1251"/>
      <c r="ANE90" s="1251"/>
      <c r="ANF90" s="1251"/>
      <c r="ANG90" s="1251"/>
      <c r="ANH90" s="1251"/>
      <c r="ANI90" s="1251"/>
      <c r="ANJ90" s="1251"/>
      <c r="ANK90" s="1251"/>
      <c r="ANL90" s="1251"/>
      <c r="ANM90" s="1251"/>
      <c r="ANN90" s="1251"/>
      <c r="ANO90" s="1251"/>
      <c r="ANP90" s="1251"/>
      <c r="ANQ90" s="1251"/>
      <c r="ANR90" s="1251"/>
      <c r="ANS90" s="1251"/>
      <c r="ANT90" s="1251"/>
      <c r="ANU90" s="1251"/>
      <c r="ANV90" s="1251"/>
      <c r="ANW90" s="1251"/>
      <c r="ANX90" s="1251"/>
      <c r="ANY90" s="1251"/>
      <c r="ANZ90" s="1251"/>
      <c r="AOA90" s="1251"/>
      <c r="AOB90" s="1251"/>
      <c r="AOC90" s="1251"/>
      <c r="AOD90" s="1251"/>
      <c r="AOE90" s="1251"/>
      <c r="AOF90" s="1251"/>
      <c r="AOG90" s="1251"/>
      <c r="AOH90" s="1251"/>
      <c r="AOI90" s="1251"/>
      <c r="AOJ90" s="1251"/>
      <c r="AOK90" s="1251"/>
      <c r="AOL90" s="1251"/>
      <c r="AOM90" s="1251"/>
      <c r="AON90" s="1251"/>
      <c r="AOO90" s="1251"/>
      <c r="AOP90" s="1251"/>
      <c r="AOQ90" s="1251"/>
      <c r="AOR90" s="1251"/>
      <c r="AOS90" s="1251"/>
      <c r="AOT90" s="1251"/>
      <c r="AOU90" s="1251"/>
      <c r="AOV90" s="1251"/>
      <c r="AOW90" s="1251"/>
      <c r="AOX90" s="1251"/>
      <c r="AOY90" s="1251"/>
      <c r="AOZ90" s="1251"/>
      <c r="APA90" s="1251"/>
      <c r="APB90" s="1251"/>
      <c r="APC90" s="1251"/>
      <c r="APD90" s="1251"/>
      <c r="APE90" s="1251"/>
      <c r="APF90" s="1251"/>
      <c r="APG90" s="1251"/>
      <c r="APH90" s="1251"/>
      <c r="API90" s="1251"/>
      <c r="APJ90" s="1251"/>
      <c r="APK90" s="1251"/>
      <c r="APL90" s="1251"/>
      <c r="APM90" s="1251"/>
      <c r="APN90" s="1251"/>
      <c r="APO90" s="1251"/>
      <c r="APP90" s="1251"/>
      <c r="APQ90" s="1251"/>
      <c r="APR90" s="1251"/>
      <c r="APS90" s="1251"/>
      <c r="APT90" s="1251"/>
      <c r="APU90" s="1251"/>
      <c r="APV90" s="1251"/>
      <c r="APW90" s="1251"/>
      <c r="APX90" s="1251"/>
      <c r="APY90" s="1251"/>
      <c r="APZ90" s="1251"/>
      <c r="AQA90" s="1251"/>
      <c r="AQB90" s="1251"/>
      <c r="AQC90" s="1251"/>
      <c r="AQD90" s="1251"/>
      <c r="AQE90" s="1251"/>
      <c r="AQF90" s="1251"/>
      <c r="AQG90" s="1251"/>
      <c r="AQH90" s="1251"/>
      <c r="AQI90" s="1251"/>
      <c r="AQJ90" s="1251"/>
      <c r="AQK90" s="1251"/>
      <c r="AQL90" s="1251"/>
      <c r="AQM90" s="1251"/>
      <c r="AQN90" s="1251"/>
      <c r="AQO90" s="1251"/>
      <c r="AQP90" s="1251"/>
      <c r="AQQ90" s="1251"/>
      <c r="AQR90" s="1251"/>
      <c r="AQS90" s="1251"/>
      <c r="AQT90" s="1251"/>
      <c r="AQU90" s="1251"/>
      <c r="AQV90" s="1251"/>
      <c r="AQW90" s="1251"/>
      <c r="AQX90" s="1251"/>
      <c r="AQY90" s="1251"/>
      <c r="AQZ90" s="1251"/>
      <c r="ARA90" s="1251"/>
      <c r="ARB90" s="1251"/>
      <c r="ARC90" s="1251"/>
      <c r="ARD90" s="1251"/>
      <c r="ARE90" s="1251"/>
      <c r="ARF90" s="1251"/>
      <c r="ARG90" s="1251"/>
      <c r="ARH90" s="1251"/>
      <c r="ARI90" s="1251"/>
      <c r="ARJ90" s="1251"/>
      <c r="ARK90" s="1251"/>
      <c r="ARL90" s="1251"/>
      <c r="ARM90" s="1251"/>
      <c r="ARN90" s="1251"/>
      <c r="ARO90" s="1251"/>
      <c r="ARP90" s="1251"/>
      <c r="ARQ90" s="1251"/>
      <c r="ARR90" s="1251"/>
      <c r="ARS90" s="1251"/>
      <c r="ART90" s="1251"/>
      <c r="ARU90" s="1251"/>
      <c r="ARV90" s="1251"/>
      <c r="ARW90" s="1251"/>
      <c r="ARX90" s="1251"/>
      <c r="ARY90" s="1251"/>
      <c r="ARZ90" s="1251"/>
      <c r="ASA90" s="1251"/>
      <c r="ASB90" s="1251"/>
      <c r="ASC90" s="1251"/>
      <c r="ASD90" s="1251"/>
      <c r="ASE90" s="1251"/>
      <c r="ASF90" s="1251"/>
      <c r="ASG90" s="1251"/>
      <c r="ASH90" s="1251"/>
      <c r="ASI90" s="1251"/>
      <c r="ASJ90" s="1251"/>
      <c r="ASK90" s="1251"/>
      <c r="ASL90" s="1251"/>
      <c r="ASM90" s="1251"/>
      <c r="ASN90" s="1251"/>
      <c r="ASO90" s="1251"/>
      <c r="ASP90" s="1251"/>
      <c r="ASQ90" s="1251"/>
      <c r="ASR90" s="1251"/>
      <c r="ASS90" s="1251"/>
      <c r="AST90" s="1251"/>
      <c r="ASU90" s="1251"/>
      <c r="ASV90" s="1251"/>
      <c r="ASW90" s="1251"/>
      <c r="ASX90" s="1251"/>
      <c r="ASY90" s="1251"/>
      <c r="ASZ90" s="1251"/>
      <c r="ATA90" s="1251"/>
      <c r="ATB90" s="1251"/>
      <c r="ATC90" s="1251"/>
      <c r="ATD90" s="1251"/>
      <c r="ATE90" s="1251"/>
      <c r="ATF90" s="1251"/>
      <c r="ATG90" s="1251"/>
      <c r="ATH90" s="1251"/>
      <c r="ATI90" s="1251"/>
      <c r="ATJ90" s="1251"/>
      <c r="ATK90" s="1251"/>
      <c r="ATL90" s="1251"/>
      <c r="ATM90" s="1251"/>
      <c r="ATN90" s="1251"/>
      <c r="ATO90" s="1251"/>
      <c r="ATP90" s="1251"/>
      <c r="ATQ90" s="1251"/>
      <c r="ATR90" s="1251"/>
      <c r="ATS90" s="1251"/>
      <c r="ATT90" s="1251"/>
      <c r="ATU90" s="1251"/>
      <c r="ATV90" s="1251"/>
      <c r="ATW90" s="1251"/>
      <c r="ATX90" s="1251"/>
      <c r="ATY90" s="1251"/>
      <c r="ATZ90" s="1251"/>
      <c r="AUA90" s="1251"/>
      <c r="AUB90" s="1251"/>
      <c r="AUC90" s="1251"/>
      <c r="AUD90" s="1251"/>
      <c r="AUE90" s="1251"/>
      <c r="AUF90" s="1251"/>
      <c r="AUG90" s="1251"/>
      <c r="AUH90" s="1251"/>
      <c r="AUI90" s="1251"/>
      <c r="AUJ90" s="1251"/>
      <c r="AUK90" s="1251"/>
      <c r="AUL90" s="1251"/>
      <c r="AUM90" s="1251"/>
      <c r="AUN90" s="1251"/>
      <c r="AUO90" s="1251"/>
      <c r="AUP90" s="1251"/>
      <c r="AUQ90" s="1251"/>
      <c r="AUR90" s="1251"/>
      <c r="AUS90" s="1251"/>
      <c r="AUT90" s="1251"/>
      <c r="AUU90" s="1251"/>
      <c r="AUV90" s="1251"/>
      <c r="AUW90" s="1251"/>
      <c r="AUX90" s="1251"/>
      <c r="AUY90" s="1251"/>
      <c r="AUZ90" s="1251"/>
      <c r="AVA90" s="1251"/>
      <c r="AVB90" s="1251"/>
      <c r="AVC90" s="1251"/>
      <c r="AVD90" s="1251"/>
      <c r="AVE90" s="1251"/>
      <c r="AVF90" s="1251"/>
      <c r="AVG90" s="1251"/>
      <c r="AVH90" s="1251"/>
      <c r="AVI90" s="1251"/>
      <c r="AVJ90" s="1251"/>
      <c r="AVK90" s="1251"/>
      <c r="AVL90" s="1251"/>
      <c r="AVM90" s="1251"/>
      <c r="AVN90" s="1251"/>
      <c r="AVO90" s="1251"/>
      <c r="AVP90" s="1251"/>
      <c r="AVQ90" s="1251"/>
      <c r="AVR90" s="1251"/>
      <c r="AVS90" s="1251"/>
      <c r="AVT90" s="1251"/>
      <c r="AVU90" s="1251"/>
      <c r="AVV90" s="1251"/>
      <c r="AVW90" s="1251"/>
      <c r="AVX90" s="1251"/>
      <c r="AVY90" s="1251"/>
      <c r="AVZ90" s="1251"/>
      <c r="AWA90" s="1251"/>
      <c r="AWB90" s="1251"/>
      <c r="AWC90" s="1251"/>
      <c r="AWD90" s="1251"/>
      <c r="AWE90" s="1251"/>
      <c r="AWF90" s="1251"/>
      <c r="AWG90" s="1251"/>
      <c r="AWH90" s="1251"/>
      <c r="AWI90" s="1251"/>
      <c r="AWJ90" s="1251"/>
      <c r="AWK90" s="1251"/>
      <c r="AWL90" s="1251"/>
      <c r="AWM90" s="1251"/>
      <c r="AWN90" s="1251"/>
      <c r="AWO90" s="1251"/>
      <c r="AWP90" s="1251"/>
      <c r="AWQ90" s="1251"/>
      <c r="AWR90" s="1251"/>
      <c r="AWS90" s="1251"/>
      <c r="AWT90" s="1251"/>
      <c r="AWU90" s="1251"/>
      <c r="AWV90" s="1251"/>
      <c r="AWW90" s="1251"/>
      <c r="AWX90" s="1251"/>
      <c r="AWY90" s="1251"/>
      <c r="AWZ90" s="1251"/>
      <c r="AXA90" s="1251"/>
      <c r="AXB90" s="1251"/>
      <c r="AXC90" s="1251"/>
      <c r="AXD90" s="1251"/>
      <c r="AXE90" s="1251"/>
      <c r="AXF90" s="1251"/>
      <c r="AXG90" s="1251"/>
      <c r="AXH90" s="1251"/>
      <c r="AXI90" s="1251"/>
      <c r="AXJ90" s="1251"/>
      <c r="AXK90" s="1251"/>
      <c r="AXL90" s="1251"/>
      <c r="AXM90" s="1251"/>
      <c r="AXN90" s="1251"/>
      <c r="AXO90" s="1251"/>
      <c r="AXP90" s="1251"/>
      <c r="AXQ90" s="1251"/>
      <c r="AXR90" s="1251"/>
      <c r="AXS90" s="1251"/>
      <c r="AXT90" s="1251"/>
      <c r="AXU90" s="1251"/>
      <c r="AXV90" s="1251"/>
      <c r="AXW90" s="1251"/>
      <c r="AXX90" s="1251"/>
      <c r="AXY90" s="1251"/>
      <c r="AXZ90" s="1251"/>
      <c r="AYA90" s="1251"/>
      <c r="AYB90" s="1251"/>
      <c r="AYC90" s="1251"/>
      <c r="AYD90" s="1251"/>
      <c r="AYE90" s="1251"/>
      <c r="AYF90" s="1251"/>
      <c r="AYG90" s="1251"/>
      <c r="AYH90" s="1251"/>
      <c r="AYI90" s="1251"/>
      <c r="AYJ90" s="1251"/>
      <c r="AYK90" s="1251"/>
      <c r="AYL90" s="1251"/>
      <c r="AYM90" s="1251"/>
      <c r="AYN90" s="1251"/>
      <c r="AYO90" s="1251"/>
      <c r="AYP90" s="1251"/>
      <c r="AYQ90" s="1251"/>
      <c r="AYR90" s="1251"/>
      <c r="AYS90" s="1251"/>
      <c r="AYT90" s="1251"/>
      <c r="AYU90" s="1251"/>
      <c r="AYV90" s="1251"/>
      <c r="AYW90" s="1251"/>
      <c r="AYX90" s="1251"/>
      <c r="AYY90" s="1251"/>
      <c r="AYZ90" s="1251"/>
      <c r="AZA90" s="1251"/>
      <c r="AZB90" s="1251"/>
      <c r="AZC90" s="1251"/>
      <c r="AZD90" s="1251"/>
      <c r="AZE90" s="1251"/>
      <c r="AZF90" s="1251"/>
      <c r="AZG90" s="1251"/>
      <c r="AZH90" s="1251"/>
      <c r="AZI90" s="1251"/>
      <c r="AZJ90" s="1251"/>
      <c r="AZK90" s="1251"/>
      <c r="AZL90" s="1251"/>
      <c r="AZM90" s="1251"/>
      <c r="AZN90" s="1251"/>
      <c r="AZO90" s="1251"/>
      <c r="AZP90" s="1251"/>
      <c r="AZQ90" s="1251"/>
      <c r="AZR90" s="1251"/>
      <c r="AZS90" s="1251"/>
      <c r="AZT90" s="1251"/>
      <c r="AZU90" s="1251"/>
      <c r="AZV90" s="1251"/>
      <c r="AZW90" s="1251"/>
      <c r="AZX90" s="1251"/>
      <c r="AZY90" s="1251"/>
      <c r="AZZ90" s="1251"/>
      <c r="BAA90" s="1251"/>
      <c r="BAB90" s="1251"/>
      <c r="BAC90" s="1251"/>
      <c r="BAD90" s="1251"/>
      <c r="BAE90" s="1251"/>
      <c r="BAF90" s="1251"/>
      <c r="BAG90" s="1251"/>
      <c r="BAH90" s="1251"/>
      <c r="BAI90" s="1251"/>
      <c r="BAJ90" s="1251"/>
      <c r="BAK90" s="1251"/>
      <c r="BAL90" s="1251"/>
      <c r="BAM90" s="1251"/>
      <c r="BAN90" s="1251"/>
      <c r="BAO90" s="1251"/>
      <c r="BAP90" s="1251"/>
      <c r="BAQ90" s="1251"/>
      <c r="BAR90" s="1251"/>
      <c r="BAS90" s="1251"/>
      <c r="BAT90" s="1251"/>
      <c r="BAU90" s="1251"/>
      <c r="BAV90" s="1251"/>
      <c r="BAW90" s="1251"/>
      <c r="BAX90" s="1251"/>
      <c r="BAY90" s="1251"/>
      <c r="BAZ90" s="1251"/>
      <c r="BBA90" s="1251"/>
      <c r="BBB90" s="1251"/>
      <c r="BBC90" s="1251"/>
      <c r="BBD90" s="1251"/>
      <c r="BBE90" s="1251"/>
      <c r="BBF90" s="1251"/>
      <c r="BBG90" s="1251"/>
      <c r="BBH90" s="1251"/>
      <c r="BBI90" s="1251"/>
      <c r="BBJ90" s="1251"/>
      <c r="BBK90" s="1251"/>
      <c r="BBL90" s="1251"/>
      <c r="BBM90" s="1251"/>
      <c r="BBN90" s="1251"/>
      <c r="BBO90" s="1251"/>
      <c r="BBP90" s="1251"/>
      <c r="BBQ90" s="1251"/>
      <c r="BBR90" s="1251"/>
      <c r="BBS90" s="1251"/>
      <c r="BBT90" s="1251"/>
      <c r="BBU90" s="1251"/>
      <c r="BBV90" s="1251"/>
      <c r="BBW90" s="1251"/>
      <c r="BBX90" s="1251"/>
      <c r="BBY90" s="1251"/>
      <c r="BBZ90" s="1251"/>
      <c r="BCA90" s="1251"/>
      <c r="BCB90" s="1251"/>
      <c r="BCC90" s="1251"/>
      <c r="BCD90" s="1251"/>
      <c r="BCE90" s="1251"/>
      <c r="BCF90" s="1251"/>
      <c r="BCG90" s="1251"/>
      <c r="BCH90" s="1251"/>
      <c r="BCI90" s="1251"/>
      <c r="BCJ90" s="1251"/>
      <c r="BCK90" s="1251"/>
      <c r="BCL90" s="1251"/>
      <c r="BCM90" s="1251"/>
      <c r="BCN90" s="1251"/>
      <c r="BCO90" s="1251"/>
      <c r="BCP90" s="1251"/>
      <c r="BCQ90" s="1251"/>
      <c r="BCR90" s="1251"/>
      <c r="BCS90" s="1251"/>
      <c r="BCT90" s="1251"/>
      <c r="BCU90" s="1251"/>
      <c r="BCV90" s="1251"/>
      <c r="BCW90" s="1251"/>
      <c r="BCX90" s="1251"/>
      <c r="BCY90" s="1251"/>
      <c r="BCZ90" s="1251"/>
      <c r="BDA90" s="1251"/>
      <c r="BDB90" s="1251"/>
      <c r="BDC90" s="1251"/>
      <c r="BDD90" s="1251"/>
      <c r="BDE90" s="1251"/>
      <c r="BDF90" s="1251"/>
      <c r="BDG90" s="1251"/>
      <c r="BDH90" s="1251"/>
      <c r="BDI90" s="1251"/>
      <c r="BDJ90" s="1251"/>
      <c r="BDK90" s="1251"/>
      <c r="BDL90" s="1251"/>
      <c r="BDM90" s="1251"/>
      <c r="BDN90" s="1251"/>
      <c r="BDO90" s="1251"/>
      <c r="BDP90" s="1251"/>
      <c r="BDQ90" s="1251"/>
      <c r="BDR90" s="1251"/>
      <c r="BDS90" s="1251"/>
      <c r="BDT90" s="1251"/>
      <c r="BDU90" s="1251"/>
      <c r="BDV90" s="1251"/>
      <c r="BDW90" s="1251"/>
      <c r="BDX90" s="1251"/>
      <c r="BDY90" s="1251"/>
      <c r="BDZ90" s="1251"/>
      <c r="BEA90" s="1251"/>
      <c r="BEB90" s="1251"/>
      <c r="BEC90" s="1251"/>
      <c r="BED90" s="1251"/>
      <c r="BEE90" s="1251"/>
      <c r="BEF90" s="1251"/>
      <c r="BEG90" s="1251"/>
      <c r="BEH90" s="1251"/>
      <c r="BEI90" s="1251"/>
      <c r="BEJ90" s="1251"/>
      <c r="BEK90" s="1251"/>
      <c r="BEL90" s="1251"/>
      <c r="BEM90" s="1251"/>
      <c r="BEN90" s="1251"/>
      <c r="BEO90" s="1251"/>
      <c r="BEP90" s="1251"/>
      <c r="BEQ90" s="1251"/>
      <c r="BER90" s="1251"/>
      <c r="BES90" s="1251"/>
      <c r="BET90" s="1251"/>
      <c r="BEU90" s="1251"/>
      <c r="BEV90" s="1251"/>
      <c r="BEW90" s="1251"/>
      <c r="BEX90" s="1251"/>
      <c r="BEY90" s="1251"/>
      <c r="BEZ90" s="1251"/>
      <c r="BFA90" s="1251"/>
      <c r="BFB90" s="1251"/>
      <c r="BFC90" s="1251"/>
      <c r="BFD90" s="1251"/>
      <c r="BFE90" s="1251"/>
      <c r="BFF90" s="1251"/>
      <c r="BFG90" s="1251"/>
      <c r="BFH90" s="1251"/>
      <c r="BFI90" s="1251"/>
      <c r="BFJ90" s="1251"/>
      <c r="BFK90" s="1251"/>
      <c r="BFL90" s="1251"/>
      <c r="BFM90" s="1251"/>
      <c r="BFN90" s="1251"/>
      <c r="BFO90" s="1251"/>
      <c r="BFP90" s="1251"/>
      <c r="BFQ90" s="1251"/>
      <c r="BFR90" s="1251"/>
      <c r="BFS90" s="1251"/>
      <c r="BFT90" s="1251"/>
      <c r="BFU90" s="1251"/>
      <c r="BFV90" s="1251"/>
      <c r="BFW90" s="1251"/>
      <c r="BFX90" s="1251"/>
      <c r="BFY90" s="1251"/>
      <c r="BFZ90" s="1251"/>
      <c r="BGA90" s="1251"/>
      <c r="BGB90" s="1251"/>
      <c r="BGC90" s="1251"/>
      <c r="BGD90" s="1251"/>
      <c r="BGE90" s="1251"/>
      <c r="BGF90" s="1251"/>
      <c r="BGG90" s="1251"/>
      <c r="BGH90" s="1251"/>
      <c r="BGI90" s="1251"/>
      <c r="BGJ90" s="1251"/>
      <c r="BGK90" s="1251"/>
      <c r="BGL90" s="1251"/>
      <c r="BGM90" s="1251"/>
      <c r="BGN90" s="1251"/>
      <c r="BGO90" s="1251"/>
      <c r="BGP90" s="1251"/>
      <c r="BGQ90" s="1251"/>
      <c r="BGR90" s="1251"/>
      <c r="BGS90" s="1251"/>
      <c r="BGT90" s="1251"/>
      <c r="BGU90" s="1251"/>
      <c r="BGV90" s="1251"/>
      <c r="BGW90" s="1251"/>
      <c r="BGX90" s="1251"/>
      <c r="BGY90" s="1251"/>
      <c r="BGZ90" s="1251"/>
      <c r="BHA90" s="1251"/>
      <c r="BHB90" s="1251"/>
      <c r="BHC90" s="1251"/>
      <c r="BHD90" s="1251"/>
      <c r="BHE90" s="1251"/>
      <c r="BHF90" s="1251"/>
      <c r="BHG90" s="1251"/>
      <c r="BHH90" s="1251"/>
      <c r="BHI90" s="1251"/>
      <c r="BHJ90" s="1251"/>
      <c r="BHK90" s="1251"/>
      <c r="BHL90" s="1251"/>
      <c r="BHM90" s="1251"/>
      <c r="BHN90" s="1251"/>
      <c r="BHO90" s="1251"/>
      <c r="BHP90" s="1251"/>
      <c r="BHQ90" s="1251"/>
      <c r="BHR90" s="1251"/>
      <c r="BHS90" s="1251"/>
      <c r="BHT90" s="1251"/>
      <c r="BHU90" s="1251"/>
      <c r="BHV90" s="1251"/>
      <c r="BHW90" s="1251"/>
      <c r="BHX90" s="1251"/>
      <c r="BHY90" s="1251"/>
      <c r="BHZ90" s="1251"/>
      <c r="BIA90" s="1251"/>
      <c r="BIB90" s="1251"/>
      <c r="BIC90" s="1251"/>
      <c r="BID90" s="1251"/>
      <c r="BIE90" s="1251"/>
      <c r="BIF90" s="1251"/>
      <c r="BIG90" s="1251"/>
      <c r="BIH90" s="1251"/>
      <c r="BII90" s="1251"/>
      <c r="BIJ90" s="1251"/>
      <c r="BIK90" s="1251"/>
      <c r="BIL90" s="1251"/>
      <c r="BIM90" s="1251"/>
      <c r="BIN90" s="1251"/>
      <c r="BIO90" s="1251"/>
      <c r="BIP90" s="1251"/>
      <c r="BIQ90" s="1251"/>
      <c r="BIR90" s="1251"/>
      <c r="BIS90" s="1251"/>
      <c r="BIT90" s="1251"/>
      <c r="BIU90" s="1251"/>
      <c r="BIV90" s="1251"/>
      <c r="BIW90" s="1251"/>
      <c r="BIX90" s="1251"/>
      <c r="BIY90" s="1251"/>
      <c r="BIZ90" s="1251"/>
      <c r="BJA90" s="1251"/>
      <c r="BJB90" s="1251"/>
      <c r="BJC90" s="1251"/>
      <c r="BJD90" s="1251"/>
      <c r="BJE90" s="1251"/>
      <c r="BJF90" s="1251"/>
      <c r="BJG90" s="1251"/>
      <c r="BJH90" s="1251"/>
      <c r="BJI90" s="1251"/>
      <c r="BJJ90" s="1251"/>
      <c r="BJK90" s="1251"/>
      <c r="BJL90" s="1251"/>
      <c r="BJM90" s="1251"/>
      <c r="BJN90" s="1251"/>
      <c r="BJO90" s="1251"/>
      <c r="BJP90" s="1251"/>
      <c r="BJQ90" s="1251"/>
      <c r="BJR90" s="1251"/>
      <c r="BJS90" s="1251"/>
      <c r="BJT90" s="1251"/>
      <c r="BJU90" s="1251"/>
      <c r="BJV90" s="1251"/>
      <c r="BJW90" s="1251"/>
      <c r="BJX90" s="1251"/>
      <c r="BJY90" s="1251"/>
      <c r="BJZ90" s="1251"/>
      <c r="BKA90" s="1251"/>
      <c r="BKB90" s="1251"/>
      <c r="BKC90" s="1251"/>
      <c r="BKD90" s="1251"/>
      <c r="BKE90" s="1251"/>
      <c r="BKF90" s="1251"/>
      <c r="BKG90" s="1251"/>
      <c r="BKH90" s="1251"/>
      <c r="BKI90" s="1251"/>
      <c r="BKJ90" s="1251"/>
      <c r="BKK90" s="1251"/>
      <c r="BKL90" s="1251"/>
      <c r="BKM90" s="1251"/>
      <c r="BKN90" s="1251"/>
      <c r="BKO90" s="1251"/>
      <c r="BKP90" s="1251"/>
      <c r="BKQ90" s="1251"/>
      <c r="BKR90" s="1251"/>
      <c r="BKS90" s="1251"/>
      <c r="BKT90" s="1251"/>
      <c r="BKU90" s="1251"/>
      <c r="BKV90" s="1251"/>
      <c r="BKW90" s="1251"/>
      <c r="BKX90" s="1251"/>
      <c r="BKY90" s="1251"/>
      <c r="BKZ90" s="1251"/>
      <c r="BLA90" s="1251"/>
      <c r="BLB90" s="1251"/>
      <c r="BLC90" s="1251"/>
      <c r="BLD90" s="1251"/>
      <c r="BLE90" s="1251"/>
      <c r="BLF90" s="1251"/>
      <c r="BLG90" s="1251"/>
      <c r="BLH90" s="1251"/>
      <c r="BLI90" s="1251"/>
      <c r="BLJ90" s="1251"/>
      <c r="BLK90" s="1251"/>
      <c r="BLL90" s="1251"/>
      <c r="BLM90" s="1251"/>
      <c r="BLN90" s="1251"/>
      <c r="BLO90" s="1251"/>
      <c r="BLP90" s="1251"/>
      <c r="BLQ90" s="1251"/>
      <c r="BLR90" s="1251"/>
      <c r="BLS90" s="1251"/>
      <c r="BLT90" s="1251"/>
      <c r="BLU90" s="1251"/>
      <c r="BLV90" s="1251"/>
      <c r="BLW90" s="1251"/>
      <c r="BLX90" s="1251"/>
      <c r="BLY90" s="1251"/>
      <c r="BLZ90" s="1251"/>
      <c r="BMA90" s="1251"/>
      <c r="BMB90" s="1251"/>
      <c r="BMC90" s="1251"/>
      <c r="BMD90" s="1251"/>
      <c r="BME90" s="1251"/>
      <c r="BMF90" s="1251"/>
      <c r="BMG90" s="1251"/>
      <c r="BMH90" s="1251"/>
      <c r="BMI90" s="1251"/>
      <c r="BMJ90" s="1251"/>
      <c r="BMK90" s="1251"/>
      <c r="BML90" s="1251"/>
      <c r="BMM90" s="1251"/>
      <c r="BMN90" s="1251"/>
      <c r="BMO90" s="1251"/>
      <c r="BMP90" s="1251"/>
      <c r="BMQ90" s="1251"/>
      <c r="BMR90" s="1251"/>
      <c r="BMS90" s="1251"/>
      <c r="BMT90" s="1251"/>
      <c r="BMU90" s="1251"/>
      <c r="BMV90" s="1251"/>
      <c r="BMW90" s="1251"/>
      <c r="BMX90" s="1251"/>
      <c r="BMY90" s="1251"/>
      <c r="BMZ90" s="1251"/>
      <c r="BNA90" s="1251"/>
      <c r="BNB90" s="1251"/>
      <c r="BNC90" s="1251"/>
      <c r="BND90" s="1251"/>
      <c r="BNE90" s="1251"/>
      <c r="BNF90" s="1251"/>
      <c r="BNG90" s="1251"/>
      <c r="BNH90" s="1251"/>
      <c r="BNI90" s="1251"/>
      <c r="BNJ90" s="1251"/>
      <c r="BNK90" s="1251"/>
      <c r="BNL90" s="1251"/>
      <c r="BNM90" s="1251"/>
      <c r="BNN90" s="1251"/>
      <c r="BNO90" s="1251"/>
      <c r="BNP90" s="1251"/>
      <c r="BNQ90" s="1251"/>
      <c r="BNR90" s="1251"/>
      <c r="BNS90" s="1251"/>
      <c r="BNT90" s="1251"/>
      <c r="BNU90" s="1251"/>
      <c r="BNV90" s="1251"/>
      <c r="BNW90" s="1251"/>
      <c r="BNX90" s="1251"/>
      <c r="BNY90" s="1251"/>
      <c r="BNZ90" s="1251"/>
      <c r="BOA90" s="1251"/>
      <c r="BOB90" s="1251"/>
      <c r="BOC90" s="1251"/>
      <c r="BOD90" s="1251"/>
      <c r="BOE90" s="1251"/>
      <c r="BOF90" s="1251"/>
      <c r="BOG90" s="1251"/>
      <c r="BOH90" s="1251"/>
      <c r="BOI90" s="1251"/>
      <c r="BOJ90" s="1251"/>
      <c r="BOK90" s="1251"/>
      <c r="BOL90" s="1251"/>
      <c r="BOM90" s="1251"/>
      <c r="BON90" s="1251"/>
      <c r="BOO90" s="1251"/>
      <c r="BOP90" s="1251"/>
      <c r="BOQ90" s="1251"/>
      <c r="BOR90" s="1251"/>
      <c r="BOS90" s="1251"/>
      <c r="BOT90" s="1251"/>
      <c r="BOU90" s="1251"/>
      <c r="BOV90" s="1251"/>
      <c r="BOW90" s="1251"/>
      <c r="BOX90" s="1251"/>
      <c r="BOY90" s="1251"/>
      <c r="BOZ90" s="1251"/>
      <c r="BPA90" s="1251"/>
      <c r="BPB90" s="1251"/>
      <c r="BPC90" s="1251"/>
      <c r="BPD90" s="1251"/>
      <c r="BPE90" s="1251"/>
      <c r="BPF90" s="1251"/>
      <c r="BPG90" s="1251"/>
      <c r="BPH90" s="1251"/>
      <c r="BPI90" s="1251"/>
      <c r="BPJ90" s="1251"/>
      <c r="BPK90" s="1251"/>
      <c r="BPL90" s="1251"/>
      <c r="BPM90" s="1251"/>
      <c r="BPN90" s="1251"/>
      <c r="BPO90" s="1251"/>
      <c r="BPP90" s="1251"/>
      <c r="BPQ90" s="1251"/>
      <c r="BPR90" s="1251"/>
      <c r="BPS90" s="1251"/>
      <c r="BPT90" s="1251"/>
      <c r="BPU90" s="1251"/>
      <c r="BPV90" s="1251"/>
      <c r="BPW90" s="1251"/>
      <c r="BPX90" s="1251"/>
      <c r="BPY90" s="1251"/>
      <c r="BPZ90" s="1251"/>
      <c r="BQA90" s="1251"/>
      <c r="BQB90" s="1251"/>
      <c r="BQC90" s="1251"/>
      <c r="BQD90" s="1251"/>
      <c r="BQE90" s="1251"/>
      <c r="BQF90" s="1251"/>
      <c r="BQG90" s="1251"/>
      <c r="BQH90" s="1251"/>
      <c r="BQI90" s="1251"/>
      <c r="BQJ90" s="1251"/>
      <c r="BQK90" s="1251"/>
      <c r="BQL90" s="1251"/>
      <c r="BQM90" s="1251"/>
      <c r="BQN90" s="1251"/>
      <c r="BQO90" s="1251"/>
      <c r="BQP90" s="1251"/>
      <c r="BQQ90" s="1251"/>
      <c r="BQR90" s="1251"/>
      <c r="BQS90" s="1251"/>
      <c r="BQT90" s="1251"/>
      <c r="BQU90" s="1251"/>
      <c r="BQV90" s="1251"/>
      <c r="BQW90" s="1251"/>
      <c r="BQX90" s="1251"/>
      <c r="BQY90" s="1251"/>
      <c r="BQZ90" s="1251"/>
      <c r="BRA90" s="1251"/>
      <c r="BRB90" s="1251"/>
      <c r="BRC90" s="1251"/>
      <c r="BRD90" s="1251"/>
      <c r="BRE90" s="1251"/>
      <c r="BRF90" s="1251"/>
      <c r="BRG90" s="1251"/>
      <c r="BRH90" s="1251"/>
      <c r="BRI90" s="1251"/>
      <c r="BRJ90" s="1251"/>
      <c r="BRK90" s="1251"/>
      <c r="BRL90" s="1251"/>
      <c r="BRM90" s="1251"/>
      <c r="BRN90" s="1251"/>
      <c r="BRO90" s="1251"/>
      <c r="BRP90" s="1251"/>
      <c r="BRQ90" s="1251"/>
      <c r="BRR90" s="1251"/>
      <c r="BRS90" s="1251"/>
      <c r="BRT90" s="1251"/>
      <c r="BRU90" s="1251"/>
      <c r="BRV90" s="1251"/>
      <c r="BRW90" s="1251"/>
      <c r="BRX90" s="1251"/>
      <c r="BRY90" s="1251"/>
      <c r="BRZ90" s="1251"/>
      <c r="BSA90" s="1251"/>
      <c r="BSB90" s="1251"/>
      <c r="BSC90" s="1251"/>
      <c r="BSD90" s="1251"/>
      <c r="BSE90" s="1251"/>
      <c r="BSF90" s="1251"/>
      <c r="BSG90" s="1251"/>
      <c r="BSH90" s="1251"/>
      <c r="BSI90" s="1251"/>
      <c r="BSJ90" s="1251"/>
      <c r="BSK90" s="1251"/>
      <c r="BSL90" s="1251"/>
      <c r="BSM90" s="1251"/>
      <c r="BSN90" s="1251"/>
      <c r="BSO90" s="1251"/>
      <c r="BSP90" s="1251"/>
      <c r="BSQ90" s="1251"/>
      <c r="BSR90" s="1251"/>
      <c r="BSS90" s="1251"/>
      <c r="BST90" s="1251"/>
      <c r="BSU90" s="1251"/>
      <c r="BSV90" s="1251"/>
      <c r="BSW90" s="1251"/>
      <c r="BSX90" s="1251"/>
      <c r="BSY90" s="1251"/>
      <c r="BSZ90" s="1251"/>
      <c r="BTA90" s="1251"/>
      <c r="BTB90" s="1251"/>
      <c r="BTC90" s="1251"/>
      <c r="BTD90" s="1251"/>
      <c r="BTE90" s="1251"/>
      <c r="BTF90" s="1251"/>
      <c r="BTG90" s="1251"/>
      <c r="BTH90" s="1251"/>
      <c r="BTI90" s="1251"/>
    </row>
    <row r="91" spans="1:1881" s="1261" customFormat="1" ht="115.5" hidden="1" customHeight="1" thickBot="1" x14ac:dyDescent="0.35">
      <c r="A91" s="1248">
        <v>585</v>
      </c>
      <c r="B91" s="807" t="s">
        <v>1193</v>
      </c>
      <c r="C91" s="807" t="s">
        <v>1194</v>
      </c>
      <c r="D91" s="24" t="s">
        <v>1196</v>
      </c>
      <c r="E91" s="1249" t="e">
        <f>HLOOKUP($D$2,'2020 Data(H)'!$C$1:$CZ$426,235,FALSE)</f>
        <v>#N/A</v>
      </c>
      <c r="F91" s="1263">
        <v>0</v>
      </c>
      <c r="G91" s="727"/>
      <c r="H91" s="730"/>
      <c r="I91" s="760"/>
      <c r="J91" s="1251"/>
      <c r="K91" s="1251"/>
      <c r="L91" s="701"/>
      <c r="M91" s="1251"/>
      <c r="N91" s="1253"/>
      <c r="O91" s="1251"/>
      <c r="P91" s="1251"/>
      <c r="Q91" s="1251"/>
      <c r="R91" s="1251"/>
      <c r="S91" s="1251"/>
      <c r="T91" s="1251"/>
      <c r="U91" s="1251"/>
      <c r="V91" s="1251"/>
      <c r="W91" s="1251"/>
      <c r="X91" s="1251"/>
      <c r="Y91" s="1251"/>
      <c r="Z91" s="1248"/>
      <c r="AA91" s="1248"/>
      <c r="AB91" s="1248"/>
      <c r="AC91" s="1248"/>
      <c r="AD91" s="1248"/>
      <c r="AE91" s="1248"/>
      <c r="AF91" s="1248"/>
      <c r="AG91" s="1248"/>
      <c r="AH91" s="1248"/>
      <c r="AI91" s="1248"/>
      <c r="AJ91" s="1248"/>
      <c r="AK91" s="1248"/>
      <c r="AL91" s="1248"/>
      <c r="AM91" s="1248"/>
      <c r="AN91" s="1248"/>
      <c r="AO91" s="1248"/>
      <c r="AP91" s="1248"/>
      <c r="AQ91" s="1248"/>
      <c r="AR91" s="1248"/>
      <c r="AS91" s="1251"/>
      <c r="AT91" s="1251"/>
      <c r="AU91" s="1251"/>
      <c r="AV91" s="1251"/>
      <c r="AW91" s="1251"/>
      <c r="AX91" s="1251"/>
      <c r="AY91" s="1251"/>
      <c r="AZ91" s="1251"/>
      <c r="BA91" s="1251"/>
      <c r="BB91" s="1251"/>
      <c r="BC91" s="1251"/>
      <c r="BD91" s="1251"/>
      <c r="BE91" s="1251"/>
      <c r="BF91" s="1251"/>
      <c r="BG91" s="1251"/>
      <c r="BH91" s="1251"/>
      <c r="BI91" s="1251"/>
      <c r="BJ91" s="1251"/>
      <c r="BK91" s="1251"/>
      <c r="BL91" s="1251"/>
      <c r="BM91" s="1251"/>
      <c r="BN91" s="1251"/>
      <c r="BO91" s="1251"/>
      <c r="BP91" s="1251"/>
      <c r="BQ91" s="1251"/>
      <c r="BR91" s="1251"/>
      <c r="BS91" s="1251"/>
      <c r="BT91" s="1251"/>
      <c r="BU91" s="1251"/>
      <c r="BV91" s="1251"/>
      <c r="BW91" s="1251"/>
      <c r="BX91" s="1251"/>
      <c r="BY91" s="1251"/>
      <c r="BZ91" s="1251"/>
      <c r="CA91" s="1251"/>
      <c r="CB91" s="1251"/>
      <c r="CC91" s="1251"/>
      <c r="CD91" s="1251"/>
      <c r="CE91" s="1251"/>
      <c r="CF91" s="1251"/>
      <c r="CG91" s="1251"/>
      <c r="CH91" s="1251"/>
      <c r="CI91" s="1251"/>
      <c r="CJ91" s="1251"/>
      <c r="CK91" s="1251"/>
      <c r="CL91" s="1251"/>
      <c r="CM91" s="1251"/>
      <c r="CN91" s="1251"/>
      <c r="CO91" s="1251"/>
      <c r="CP91" s="1251"/>
      <c r="CQ91" s="1251"/>
      <c r="CR91" s="1251"/>
      <c r="CS91" s="1251"/>
      <c r="CT91" s="1251"/>
      <c r="CU91" s="1251"/>
      <c r="CV91" s="1251"/>
      <c r="CW91" s="1251"/>
      <c r="CX91" s="1251"/>
      <c r="CY91" s="1251"/>
      <c r="CZ91" s="1251"/>
      <c r="DA91" s="1251"/>
      <c r="DB91" s="1251"/>
      <c r="DC91" s="1251"/>
      <c r="DD91" s="1251"/>
      <c r="DE91" s="1251"/>
      <c r="DF91" s="1251"/>
      <c r="DG91" s="1251"/>
      <c r="DH91" s="1251"/>
      <c r="DI91" s="1251"/>
      <c r="DJ91" s="1251"/>
      <c r="DK91" s="1251"/>
      <c r="DL91" s="1251"/>
      <c r="DM91" s="1251"/>
      <c r="DN91" s="1251"/>
      <c r="DO91" s="1251"/>
      <c r="DP91" s="1251"/>
      <c r="DQ91" s="1251"/>
      <c r="DR91" s="1251"/>
      <c r="DS91" s="1251"/>
      <c r="DT91" s="1251"/>
      <c r="DU91" s="1251"/>
      <c r="DV91" s="1251"/>
      <c r="DW91" s="1251"/>
      <c r="DX91" s="1251"/>
      <c r="DY91" s="1251"/>
      <c r="DZ91" s="1251"/>
      <c r="EA91" s="1251"/>
      <c r="EB91" s="1251"/>
      <c r="EC91" s="1251"/>
      <c r="ED91" s="1251"/>
      <c r="EE91" s="1251"/>
      <c r="EF91" s="1251"/>
      <c r="EG91" s="1251"/>
      <c r="EH91" s="1251"/>
      <c r="EI91" s="1251"/>
      <c r="EJ91" s="1251"/>
      <c r="EK91" s="1251"/>
      <c r="EL91" s="1251"/>
      <c r="EM91" s="1251"/>
      <c r="EN91" s="1251"/>
      <c r="EO91" s="1251"/>
      <c r="EP91" s="1251"/>
      <c r="EQ91" s="1251"/>
      <c r="ER91" s="1251"/>
      <c r="ES91" s="1251"/>
      <c r="ET91" s="1251"/>
      <c r="EU91" s="1251"/>
      <c r="EV91" s="1251"/>
      <c r="EW91" s="1251"/>
      <c r="EX91" s="1251"/>
      <c r="EY91" s="1251"/>
      <c r="EZ91" s="1251"/>
      <c r="FA91" s="1251"/>
      <c r="FB91" s="1251"/>
      <c r="FC91" s="1251"/>
      <c r="FD91" s="1251"/>
      <c r="FE91" s="1251"/>
      <c r="FF91" s="1251"/>
      <c r="FG91" s="1251"/>
      <c r="FH91" s="1251"/>
      <c r="FI91" s="1251"/>
      <c r="FJ91" s="1251"/>
      <c r="FK91" s="1251"/>
      <c r="FL91" s="1251"/>
      <c r="FM91" s="1251"/>
      <c r="FN91" s="1251"/>
      <c r="FO91" s="1251"/>
      <c r="FP91" s="1251"/>
      <c r="FQ91" s="1251"/>
      <c r="FR91" s="1251"/>
      <c r="FS91" s="1251"/>
      <c r="FT91" s="1251"/>
      <c r="FU91" s="1251"/>
      <c r="FV91" s="1251"/>
      <c r="FW91" s="1251"/>
      <c r="FX91" s="1251"/>
      <c r="FY91" s="1251"/>
      <c r="FZ91" s="1251"/>
      <c r="GA91" s="1251"/>
      <c r="GB91" s="1251"/>
      <c r="GC91" s="1251"/>
      <c r="GD91" s="1251"/>
      <c r="GE91" s="1251"/>
      <c r="GF91" s="1251"/>
      <c r="GG91" s="1251"/>
      <c r="GH91" s="1251"/>
      <c r="GI91" s="1251"/>
      <c r="GJ91" s="1251"/>
      <c r="GK91" s="1251"/>
      <c r="GL91" s="1251"/>
      <c r="GM91" s="1251"/>
      <c r="GN91" s="1251"/>
      <c r="GO91" s="1251"/>
      <c r="GP91" s="1251"/>
      <c r="GQ91" s="1251"/>
      <c r="GR91" s="1251"/>
      <c r="GS91" s="1251"/>
      <c r="GT91" s="1251"/>
      <c r="GU91" s="1251"/>
      <c r="GV91" s="1251"/>
      <c r="GW91" s="1251"/>
      <c r="GX91" s="1251"/>
      <c r="GY91" s="1251"/>
      <c r="GZ91" s="1251"/>
      <c r="HA91" s="1251"/>
      <c r="HB91" s="1251"/>
      <c r="HC91" s="1251"/>
      <c r="HD91" s="1251"/>
      <c r="HE91" s="1251"/>
      <c r="HF91" s="1251"/>
      <c r="HG91" s="1251"/>
      <c r="HH91" s="1251"/>
      <c r="HI91" s="1251"/>
      <c r="HJ91" s="1251"/>
      <c r="HK91" s="1251"/>
      <c r="HL91" s="1251"/>
      <c r="HM91" s="1251"/>
      <c r="HN91" s="1251"/>
      <c r="HO91" s="1251"/>
      <c r="HP91" s="1251"/>
      <c r="HQ91" s="1251"/>
      <c r="HR91" s="1251"/>
      <c r="HS91" s="1251"/>
      <c r="HT91" s="1251"/>
      <c r="HU91" s="1251"/>
      <c r="HV91" s="1251"/>
      <c r="HW91" s="1251"/>
      <c r="HX91" s="1251"/>
      <c r="HY91" s="1251"/>
      <c r="HZ91" s="1251"/>
      <c r="IA91" s="1251"/>
      <c r="IB91" s="1251"/>
      <c r="IC91" s="1251"/>
      <c r="ID91" s="1251"/>
      <c r="IE91" s="1251"/>
      <c r="IF91" s="1251"/>
      <c r="IG91" s="1251"/>
      <c r="IH91" s="1251"/>
      <c r="II91" s="1251"/>
      <c r="IJ91" s="1251"/>
      <c r="IK91" s="1251"/>
      <c r="IL91" s="1251"/>
      <c r="IM91" s="1251"/>
      <c r="IN91" s="1251"/>
      <c r="IO91" s="1251"/>
      <c r="IP91" s="1251"/>
      <c r="IQ91" s="1251"/>
      <c r="IR91" s="1251"/>
      <c r="IS91" s="1251"/>
      <c r="IT91" s="1251"/>
      <c r="IU91" s="1251"/>
      <c r="IV91" s="1251"/>
      <c r="IW91" s="1251"/>
      <c r="IX91" s="1251"/>
      <c r="IY91" s="1251"/>
      <c r="IZ91" s="1251"/>
      <c r="JA91" s="1251"/>
      <c r="JB91" s="1251"/>
      <c r="JC91" s="1251"/>
      <c r="JD91" s="1251"/>
      <c r="JE91" s="1251"/>
      <c r="JF91" s="1251"/>
      <c r="JG91" s="1251"/>
      <c r="JH91" s="1251"/>
      <c r="JI91" s="1251"/>
      <c r="JJ91" s="1251"/>
      <c r="JK91" s="1251"/>
      <c r="JL91" s="1251"/>
      <c r="JM91" s="1251"/>
      <c r="JN91" s="1251"/>
      <c r="JO91" s="1251"/>
      <c r="JP91" s="1251"/>
      <c r="JQ91" s="1251"/>
      <c r="JR91" s="1251"/>
      <c r="JS91" s="1251"/>
      <c r="JT91" s="1251"/>
      <c r="JU91" s="1251"/>
      <c r="JV91" s="1251"/>
      <c r="JW91" s="1251"/>
      <c r="JX91" s="1251"/>
      <c r="JY91" s="1251"/>
      <c r="JZ91" s="1251"/>
      <c r="KA91" s="1251"/>
      <c r="KB91" s="1251"/>
      <c r="KC91" s="1251"/>
      <c r="KD91" s="1251"/>
      <c r="KE91" s="1251"/>
      <c r="KF91" s="1251"/>
      <c r="KG91" s="1251"/>
      <c r="KH91" s="1251"/>
      <c r="KI91" s="1251"/>
      <c r="KJ91" s="1251"/>
      <c r="KK91" s="1251"/>
      <c r="KL91" s="1251"/>
      <c r="KM91" s="1251"/>
      <c r="KN91" s="1251"/>
      <c r="KO91" s="1251"/>
      <c r="KP91" s="1251"/>
      <c r="KQ91" s="1251"/>
      <c r="KR91" s="1251"/>
      <c r="KS91" s="1251"/>
      <c r="KT91" s="1251"/>
      <c r="KU91" s="1251"/>
      <c r="KV91" s="1251"/>
      <c r="KW91" s="1251"/>
      <c r="KX91" s="1251"/>
      <c r="KY91" s="1251"/>
      <c r="KZ91" s="1251"/>
      <c r="LA91" s="1251"/>
      <c r="LB91" s="1251"/>
      <c r="LC91" s="1251"/>
      <c r="LD91" s="1251"/>
      <c r="LE91" s="1251"/>
      <c r="LF91" s="1251"/>
      <c r="LG91" s="1251"/>
      <c r="LH91" s="1251"/>
      <c r="LI91" s="1251"/>
      <c r="LJ91" s="1251"/>
      <c r="LK91" s="1251"/>
      <c r="LL91" s="1251"/>
      <c r="LM91" s="1251"/>
      <c r="LN91" s="1251"/>
      <c r="LO91" s="1251"/>
      <c r="LP91" s="1251"/>
      <c r="LQ91" s="1251"/>
      <c r="LR91" s="1251"/>
      <c r="LS91" s="1251"/>
      <c r="LT91" s="1251"/>
      <c r="LU91" s="1251"/>
      <c r="LV91" s="1251"/>
      <c r="LW91" s="1251"/>
      <c r="LX91" s="1251"/>
      <c r="LY91" s="1251"/>
      <c r="LZ91" s="1251"/>
      <c r="MA91" s="1251"/>
      <c r="MB91" s="1251"/>
      <c r="MC91" s="1251"/>
      <c r="MD91" s="1251"/>
      <c r="ME91" s="1251"/>
      <c r="MF91" s="1251"/>
      <c r="MG91" s="1251"/>
      <c r="MH91" s="1251"/>
      <c r="MI91" s="1251"/>
      <c r="MJ91" s="1251"/>
      <c r="MK91" s="1251"/>
      <c r="ML91" s="1251"/>
      <c r="MM91" s="1251"/>
      <c r="MN91" s="1251"/>
      <c r="MO91" s="1251"/>
      <c r="MP91" s="1251"/>
      <c r="MQ91" s="1251"/>
      <c r="MR91" s="1251"/>
      <c r="MS91" s="1251"/>
      <c r="MT91" s="1251"/>
      <c r="MU91" s="1251"/>
      <c r="MV91" s="1251"/>
      <c r="MW91" s="1251"/>
      <c r="MX91" s="1251"/>
      <c r="MY91" s="1251"/>
      <c r="MZ91" s="1251"/>
      <c r="NA91" s="1251"/>
      <c r="NB91" s="1251"/>
      <c r="NC91" s="1251"/>
      <c r="ND91" s="1251"/>
      <c r="NE91" s="1251"/>
      <c r="NF91" s="1251"/>
      <c r="NG91" s="1251"/>
      <c r="NH91" s="1251"/>
      <c r="NI91" s="1251"/>
      <c r="NJ91" s="1251"/>
      <c r="NK91" s="1251"/>
      <c r="NL91" s="1251"/>
      <c r="NM91" s="1251"/>
      <c r="NN91" s="1251"/>
      <c r="NO91" s="1251"/>
      <c r="NP91" s="1251"/>
      <c r="NQ91" s="1251"/>
      <c r="NR91" s="1251"/>
      <c r="NS91" s="1251"/>
      <c r="NT91" s="1251"/>
      <c r="NU91" s="1251"/>
      <c r="NV91" s="1251"/>
      <c r="NW91" s="1251"/>
      <c r="NX91" s="1251"/>
      <c r="NY91" s="1251"/>
      <c r="NZ91" s="1251"/>
      <c r="OA91" s="1251"/>
      <c r="OB91" s="1251"/>
      <c r="OC91" s="1251"/>
      <c r="OD91" s="1251"/>
      <c r="OE91" s="1251"/>
      <c r="OF91" s="1251"/>
      <c r="OG91" s="1251"/>
      <c r="OH91" s="1251"/>
      <c r="OI91" s="1251"/>
      <c r="OJ91" s="1251"/>
      <c r="OK91" s="1251"/>
      <c r="OL91" s="1251"/>
      <c r="OM91" s="1251"/>
      <c r="ON91" s="1251"/>
      <c r="OO91" s="1251"/>
      <c r="OP91" s="1251"/>
      <c r="OQ91" s="1251"/>
      <c r="OR91" s="1251"/>
      <c r="OS91" s="1251"/>
      <c r="OT91" s="1251"/>
      <c r="OU91" s="1251"/>
      <c r="OV91" s="1251"/>
      <c r="OW91" s="1251"/>
      <c r="OX91" s="1251"/>
      <c r="OY91" s="1251"/>
      <c r="OZ91" s="1251"/>
      <c r="PA91" s="1251"/>
      <c r="PB91" s="1251"/>
      <c r="PC91" s="1251"/>
      <c r="PD91" s="1251"/>
      <c r="PE91" s="1251"/>
      <c r="PF91" s="1251"/>
      <c r="PG91" s="1251"/>
      <c r="PH91" s="1251"/>
      <c r="PI91" s="1251"/>
      <c r="PJ91" s="1251"/>
      <c r="PK91" s="1251"/>
      <c r="PL91" s="1251"/>
      <c r="PM91" s="1251"/>
      <c r="PN91" s="1251"/>
      <c r="PO91" s="1251"/>
      <c r="PP91" s="1251"/>
      <c r="PQ91" s="1251"/>
      <c r="PR91" s="1251"/>
      <c r="PS91" s="1251"/>
      <c r="PT91" s="1251"/>
      <c r="PU91" s="1251"/>
      <c r="PV91" s="1251"/>
      <c r="PW91" s="1251"/>
      <c r="PX91" s="1251"/>
      <c r="PY91" s="1251"/>
      <c r="PZ91" s="1251"/>
      <c r="QA91" s="1251"/>
      <c r="QB91" s="1251"/>
      <c r="QC91" s="1251"/>
      <c r="QD91" s="1251"/>
      <c r="QE91" s="1251"/>
      <c r="QF91" s="1251"/>
      <c r="QG91" s="1251"/>
      <c r="QH91" s="1251"/>
      <c r="QI91" s="1251"/>
      <c r="QJ91" s="1251"/>
      <c r="QK91" s="1251"/>
      <c r="QL91" s="1251"/>
      <c r="QM91" s="1251"/>
      <c r="QN91" s="1251"/>
      <c r="QO91" s="1251"/>
      <c r="QP91" s="1251"/>
      <c r="QQ91" s="1251"/>
      <c r="QR91" s="1251"/>
      <c r="QS91" s="1251"/>
      <c r="QT91" s="1251"/>
      <c r="QU91" s="1251"/>
      <c r="QV91" s="1251"/>
      <c r="QW91" s="1251"/>
      <c r="QX91" s="1251"/>
      <c r="QY91" s="1251"/>
      <c r="QZ91" s="1251"/>
      <c r="RA91" s="1251"/>
      <c r="RB91" s="1251"/>
      <c r="RC91" s="1251"/>
      <c r="RD91" s="1251"/>
      <c r="RE91" s="1251"/>
      <c r="RF91" s="1251"/>
      <c r="RG91" s="1251"/>
      <c r="RH91" s="1251"/>
      <c r="RI91" s="1251"/>
      <c r="RJ91" s="1251"/>
      <c r="RK91" s="1251"/>
      <c r="RL91" s="1251"/>
      <c r="RM91" s="1251"/>
      <c r="RN91" s="1251"/>
      <c r="RO91" s="1251"/>
      <c r="RP91" s="1251"/>
      <c r="RQ91" s="1251"/>
      <c r="RR91" s="1251"/>
      <c r="RS91" s="1251"/>
      <c r="RT91" s="1251"/>
      <c r="RU91" s="1251"/>
      <c r="RV91" s="1251"/>
      <c r="RW91" s="1251"/>
      <c r="RX91" s="1251"/>
      <c r="RY91" s="1251"/>
      <c r="RZ91" s="1251"/>
      <c r="SA91" s="1251"/>
      <c r="SB91" s="1251"/>
      <c r="SC91" s="1251"/>
      <c r="SD91" s="1251"/>
      <c r="SE91" s="1251"/>
      <c r="SF91" s="1251"/>
      <c r="SG91" s="1251"/>
      <c r="SH91" s="1251"/>
      <c r="SI91" s="1251"/>
      <c r="SJ91" s="1251"/>
      <c r="SK91" s="1251"/>
      <c r="SL91" s="1251"/>
      <c r="SM91" s="1251"/>
      <c r="SN91" s="1251"/>
      <c r="SO91" s="1251"/>
      <c r="SP91" s="1251"/>
      <c r="SQ91" s="1251"/>
      <c r="SR91" s="1251"/>
      <c r="SS91" s="1251"/>
      <c r="ST91" s="1251"/>
      <c r="SU91" s="1251"/>
      <c r="SV91" s="1251"/>
      <c r="SW91" s="1251"/>
      <c r="SX91" s="1251"/>
      <c r="SY91" s="1251"/>
      <c r="SZ91" s="1251"/>
      <c r="TA91" s="1251"/>
      <c r="TB91" s="1251"/>
      <c r="TC91" s="1251"/>
      <c r="TD91" s="1251"/>
      <c r="TE91" s="1251"/>
      <c r="TF91" s="1251"/>
      <c r="TG91" s="1251"/>
      <c r="TH91" s="1251"/>
      <c r="TI91" s="1251"/>
      <c r="TJ91" s="1251"/>
      <c r="TK91" s="1251"/>
      <c r="TL91" s="1251"/>
      <c r="TM91" s="1251"/>
      <c r="TN91" s="1251"/>
      <c r="TO91" s="1251"/>
      <c r="TP91" s="1251"/>
      <c r="TQ91" s="1251"/>
      <c r="TR91" s="1251"/>
      <c r="TS91" s="1251"/>
      <c r="TT91" s="1251"/>
      <c r="TU91" s="1251"/>
      <c r="TV91" s="1251"/>
      <c r="TW91" s="1251"/>
      <c r="TX91" s="1251"/>
      <c r="TY91" s="1251"/>
      <c r="TZ91" s="1251"/>
      <c r="UA91" s="1251"/>
      <c r="UB91" s="1251"/>
      <c r="UC91" s="1251"/>
      <c r="UD91" s="1251"/>
      <c r="UE91" s="1251"/>
      <c r="UF91" s="1251"/>
      <c r="UG91" s="1251"/>
      <c r="UH91" s="1251"/>
      <c r="UI91" s="1251"/>
      <c r="UJ91" s="1251"/>
      <c r="UK91" s="1251"/>
      <c r="UL91" s="1251"/>
      <c r="UM91" s="1251"/>
      <c r="UN91" s="1251"/>
      <c r="UO91" s="1251"/>
      <c r="UP91" s="1251"/>
      <c r="UQ91" s="1251"/>
      <c r="UR91" s="1251"/>
      <c r="US91" s="1251"/>
      <c r="UT91" s="1251"/>
      <c r="UU91" s="1251"/>
      <c r="UV91" s="1251"/>
      <c r="UW91" s="1251"/>
      <c r="UX91" s="1251"/>
      <c r="UY91" s="1251"/>
      <c r="UZ91" s="1251"/>
      <c r="VA91" s="1251"/>
      <c r="VB91" s="1251"/>
      <c r="VC91" s="1251"/>
      <c r="VD91" s="1251"/>
      <c r="VE91" s="1251"/>
      <c r="VF91" s="1251"/>
      <c r="VG91" s="1251"/>
      <c r="VH91" s="1251"/>
      <c r="VI91" s="1251"/>
      <c r="VJ91" s="1251"/>
      <c r="VK91" s="1251"/>
      <c r="VL91" s="1251"/>
      <c r="VM91" s="1251"/>
      <c r="VN91" s="1251"/>
      <c r="VO91" s="1251"/>
      <c r="VP91" s="1251"/>
      <c r="VQ91" s="1251"/>
      <c r="VR91" s="1251"/>
      <c r="VS91" s="1251"/>
      <c r="VT91" s="1251"/>
      <c r="VU91" s="1251"/>
      <c r="VV91" s="1251"/>
      <c r="VW91" s="1251"/>
      <c r="VX91" s="1251"/>
      <c r="VY91" s="1251"/>
      <c r="VZ91" s="1251"/>
      <c r="WA91" s="1251"/>
      <c r="WB91" s="1251"/>
      <c r="WC91" s="1251"/>
      <c r="WD91" s="1251"/>
      <c r="WE91" s="1251"/>
      <c r="WF91" s="1251"/>
      <c r="WG91" s="1251"/>
      <c r="WH91" s="1251"/>
      <c r="WI91" s="1251"/>
      <c r="WJ91" s="1251"/>
      <c r="WK91" s="1251"/>
      <c r="WL91" s="1251"/>
      <c r="WM91" s="1251"/>
      <c r="WN91" s="1251"/>
      <c r="WO91" s="1251"/>
      <c r="WP91" s="1251"/>
      <c r="WQ91" s="1251"/>
      <c r="WR91" s="1251"/>
      <c r="WS91" s="1251"/>
      <c r="WT91" s="1251"/>
      <c r="WU91" s="1251"/>
      <c r="WV91" s="1251"/>
      <c r="WW91" s="1251"/>
      <c r="WX91" s="1251"/>
      <c r="WY91" s="1251"/>
      <c r="WZ91" s="1251"/>
      <c r="XA91" s="1251"/>
      <c r="XB91" s="1251"/>
      <c r="XC91" s="1251"/>
      <c r="XD91" s="1251"/>
      <c r="XE91" s="1251"/>
      <c r="XF91" s="1251"/>
      <c r="XG91" s="1251"/>
      <c r="XH91" s="1251"/>
      <c r="XI91" s="1251"/>
      <c r="XJ91" s="1251"/>
      <c r="XK91" s="1251"/>
      <c r="XL91" s="1251"/>
      <c r="XM91" s="1251"/>
      <c r="XN91" s="1251"/>
      <c r="XO91" s="1251"/>
      <c r="XP91" s="1251"/>
      <c r="XQ91" s="1251"/>
      <c r="XR91" s="1251"/>
      <c r="XS91" s="1251"/>
      <c r="XT91" s="1251"/>
      <c r="XU91" s="1251"/>
      <c r="XV91" s="1251"/>
      <c r="XW91" s="1251"/>
      <c r="XX91" s="1251"/>
      <c r="XY91" s="1251"/>
      <c r="XZ91" s="1251"/>
      <c r="YA91" s="1251"/>
      <c r="YB91" s="1251"/>
      <c r="YC91" s="1251"/>
      <c r="YD91" s="1251"/>
      <c r="YE91" s="1251"/>
      <c r="YF91" s="1251"/>
      <c r="YG91" s="1251"/>
      <c r="YH91" s="1251"/>
      <c r="YI91" s="1251"/>
      <c r="YJ91" s="1251"/>
      <c r="YK91" s="1251"/>
      <c r="YL91" s="1251"/>
      <c r="YM91" s="1251"/>
      <c r="YN91" s="1251"/>
      <c r="YO91" s="1251"/>
      <c r="YP91" s="1251"/>
      <c r="YQ91" s="1251"/>
      <c r="YR91" s="1251"/>
      <c r="YS91" s="1251"/>
      <c r="YT91" s="1251"/>
      <c r="YU91" s="1251"/>
      <c r="YV91" s="1251"/>
      <c r="YW91" s="1251"/>
      <c r="YX91" s="1251"/>
      <c r="YY91" s="1251"/>
      <c r="YZ91" s="1251"/>
      <c r="ZA91" s="1251"/>
      <c r="ZB91" s="1251"/>
      <c r="ZC91" s="1251"/>
      <c r="ZD91" s="1251"/>
      <c r="ZE91" s="1251"/>
      <c r="ZF91" s="1251"/>
      <c r="ZG91" s="1251"/>
      <c r="ZH91" s="1251"/>
      <c r="ZI91" s="1251"/>
      <c r="ZJ91" s="1251"/>
      <c r="ZK91" s="1251"/>
      <c r="ZL91" s="1251"/>
      <c r="ZM91" s="1251"/>
      <c r="ZN91" s="1251"/>
      <c r="ZO91" s="1251"/>
      <c r="ZP91" s="1251"/>
      <c r="ZQ91" s="1251"/>
      <c r="ZR91" s="1251"/>
      <c r="ZS91" s="1251"/>
      <c r="ZT91" s="1251"/>
      <c r="ZU91" s="1251"/>
      <c r="ZV91" s="1251"/>
      <c r="ZW91" s="1251"/>
      <c r="ZX91" s="1251"/>
      <c r="ZY91" s="1251"/>
      <c r="ZZ91" s="1251"/>
      <c r="AAA91" s="1251"/>
      <c r="AAB91" s="1251"/>
      <c r="AAC91" s="1251"/>
      <c r="AAD91" s="1251"/>
      <c r="AAE91" s="1251"/>
      <c r="AAF91" s="1251"/>
      <c r="AAG91" s="1251"/>
      <c r="AAH91" s="1251"/>
      <c r="AAI91" s="1251"/>
      <c r="AAJ91" s="1251"/>
      <c r="AAK91" s="1251"/>
      <c r="AAL91" s="1251"/>
      <c r="AAM91" s="1251"/>
      <c r="AAN91" s="1251"/>
      <c r="AAO91" s="1251"/>
      <c r="AAP91" s="1251"/>
      <c r="AAQ91" s="1251"/>
      <c r="AAR91" s="1251"/>
      <c r="AAS91" s="1251"/>
      <c r="AAT91" s="1251"/>
      <c r="AAU91" s="1251"/>
      <c r="AAV91" s="1251"/>
      <c r="AAW91" s="1251"/>
      <c r="AAX91" s="1251"/>
      <c r="AAY91" s="1251"/>
      <c r="AAZ91" s="1251"/>
      <c r="ABA91" s="1251"/>
      <c r="ABB91" s="1251"/>
      <c r="ABC91" s="1251"/>
      <c r="ABD91" s="1251"/>
      <c r="ABE91" s="1251"/>
      <c r="ABF91" s="1251"/>
      <c r="ABG91" s="1251"/>
      <c r="ABH91" s="1251"/>
      <c r="ABI91" s="1251"/>
      <c r="ABJ91" s="1251"/>
      <c r="ABK91" s="1251"/>
      <c r="ABL91" s="1251"/>
      <c r="ABM91" s="1251"/>
      <c r="ABN91" s="1251"/>
      <c r="ABO91" s="1251"/>
      <c r="ABP91" s="1251"/>
      <c r="ABQ91" s="1251"/>
      <c r="ABR91" s="1251"/>
      <c r="ABS91" s="1251"/>
      <c r="ABT91" s="1251"/>
      <c r="ABU91" s="1251"/>
      <c r="ABV91" s="1251"/>
      <c r="ABW91" s="1251"/>
      <c r="ABX91" s="1251"/>
      <c r="ABY91" s="1251"/>
      <c r="ABZ91" s="1251"/>
      <c r="ACA91" s="1251"/>
      <c r="ACB91" s="1251"/>
      <c r="ACC91" s="1251"/>
      <c r="ACD91" s="1251"/>
      <c r="ACE91" s="1251"/>
      <c r="ACF91" s="1251"/>
      <c r="ACG91" s="1251"/>
      <c r="ACH91" s="1251"/>
      <c r="ACI91" s="1251"/>
      <c r="ACJ91" s="1251"/>
      <c r="ACK91" s="1251"/>
      <c r="ACL91" s="1251"/>
      <c r="ACM91" s="1251"/>
      <c r="ACN91" s="1251"/>
      <c r="ACO91" s="1251"/>
      <c r="ACP91" s="1251"/>
      <c r="ACQ91" s="1251"/>
      <c r="ACR91" s="1251"/>
      <c r="ACS91" s="1251"/>
      <c r="ACT91" s="1251"/>
      <c r="ACU91" s="1251"/>
      <c r="ACV91" s="1251"/>
      <c r="ACW91" s="1251"/>
      <c r="ACX91" s="1251"/>
      <c r="ACY91" s="1251"/>
      <c r="ACZ91" s="1251"/>
      <c r="ADA91" s="1251"/>
      <c r="ADB91" s="1251"/>
      <c r="ADC91" s="1251"/>
      <c r="ADD91" s="1251"/>
      <c r="ADE91" s="1251"/>
      <c r="ADF91" s="1251"/>
      <c r="ADG91" s="1251"/>
      <c r="ADH91" s="1251"/>
      <c r="ADI91" s="1251"/>
      <c r="ADJ91" s="1251"/>
      <c r="ADK91" s="1251"/>
      <c r="ADL91" s="1251"/>
      <c r="ADM91" s="1251"/>
      <c r="ADN91" s="1251"/>
      <c r="ADO91" s="1251"/>
      <c r="ADP91" s="1251"/>
      <c r="ADQ91" s="1251"/>
      <c r="ADR91" s="1251"/>
      <c r="ADS91" s="1251"/>
      <c r="ADT91" s="1251"/>
      <c r="ADU91" s="1251"/>
      <c r="ADV91" s="1251"/>
      <c r="ADW91" s="1251"/>
      <c r="ADX91" s="1251"/>
      <c r="ADY91" s="1251"/>
      <c r="ADZ91" s="1251"/>
      <c r="AEA91" s="1251"/>
      <c r="AEB91" s="1251"/>
      <c r="AEC91" s="1251"/>
      <c r="AED91" s="1251"/>
      <c r="AEE91" s="1251"/>
      <c r="AEF91" s="1251"/>
      <c r="AEG91" s="1251"/>
      <c r="AEH91" s="1251"/>
      <c r="AEI91" s="1251"/>
      <c r="AEJ91" s="1251"/>
      <c r="AEK91" s="1251"/>
      <c r="AEL91" s="1251"/>
      <c r="AEM91" s="1251"/>
      <c r="AEN91" s="1251"/>
      <c r="AEO91" s="1251"/>
      <c r="AEP91" s="1251"/>
      <c r="AEQ91" s="1251"/>
      <c r="AER91" s="1251"/>
      <c r="AES91" s="1251"/>
      <c r="AET91" s="1251"/>
      <c r="AEU91" s="1251"/>
      <c r="AEV91" s="1251"/>
      <c r="AEW91" s="1251"/>
      <c r="AEX91" s="1251"/>
      <c r="AEY91" s="1251"/>
      <c r="AEZ91" s="1251"/>
      <c r="AFA91" s="1251"/>
      <c r="AFB91" s="1251"/>
      <c r="AFC91" s="1251"/>
      <c r="AFD91" s="1251"/>
      <c r="AFE91" s="1251"/>
      <c r="AFF91" s="1251"/>
      <c r="AFG91" s="1251"/>
      <c r="AFH91" s="1251"/>
      <c r="AFI91" s="1251"/>
      <c r="AFJ91" s="1251"/>
      <c r="AFK91" s="1251"/>
      <c r="AFL91" s="1251"/>
      <c r="AFM91" s="1251"/>
      <c r="AFN91" s="1251"/>
      <c r="AFO91" s="1251"/>
      <c r="AFP91" s="1251"/>
      <c r="AFQ91" s="1251"/>
      <c r="AFR91" s="1251"/>
      <c r="AFS91" s="1251"/>
      <c r="AFT91" s="1251"/>
      <c r="AFU91" s="1251"/>
      <c r="AFV91" s="1251"/>
      <c r="AFW91" s="1251"/>
      <c r="AFX91" s="1251"/>
      <c r="AFY91" s="1251"/>
      <c r="AFZ91" s="1251"/>
      <c r="AGA91" s="1251"/>
      <c r="AGB91" s="1251"/>
      <c r="AGC91" s="1251"/>
      <c r="AGD91" s="1251"/>
      <c r="AGE91" s="1251"/>
      <c r="AGF91" s="1251"/>
      <c r="AGG91" s="1251"/>
      <c r="AGH91" s="1251"/>
      <c r="AGI91" s="1251"/>
      <c r="AGJ91" s="1251"/>
      <c r="AGK91" s="1251"/>
      <c r="AGL91" s="1251"/>
      <c r="AGM91" s="1251"/>
      <c r="AGN91" s="1251"/>
      <c r="AGO91" s="1251"/>
      <c r="AGP91" s="1251"/>
      <c r="AGQ91" s="1251"/>
      <c r="AGR91" s="1251"/>
      <c r="AGS91" s="1251"/>
      <c r="AGT91" s="1251"/>
      <c r="AGU91" s="1251"/>
      <c r="AGV91" s="1251"/>
      <c r="AGW91" s="1251"/>
      <c r="AGX91" s="1251"/>
      <c r="AGY91" s="1251"/>
      <c r="AGZ91" s="1251"/>
      <c r="AHA91" s="1251"/>
      <c r="AHB91" s="1251"/>
      <c r="AHC91" s="1251"/>
      <c r="AHD91" s="1251"/>
      <c r="AHE91" s="1251"/>
      <c r="AHF91" s="1251"/>
      <c r="AHG91" s="1251"/>
      <c r="AHH91" s="1251"/>
      <c r="AHI91" s="1251"/>
      <c r="AHJ91" s="1251"/>
      <c r="AHK91" s="1251"/>
      <c r="AHL91" s="1251"/>
      <c r="AHM91" s="1251"/>
      <c r="AHN91" s="1251"/>
      <c r="AHO91" s="1251"/>
      <c r="AHP91" s="1251"/>
      <c r="AHQ91" s="1251"/>
      <c r="AHR91" s="1251"/>
      <c r="AHS91" s="1251"/>
      <c r="AHT91" s="1251"/>
      <c r="AHU91" s="1251"/>
      <c r="AHV91" s="1251"/>
      <c r="AHW91" s="1251"/>
      <c r="AHX91" s="1251"/>
      <c r="AHY91" s="1251"/>
      <c r="AHZ91" s="1251"/>
      <c r="AIA91" s="1251"/>
      <c r="AIB91" s="1251"/>
      <c r="AIC91" s="1251"/>
      <c r="AID91" s="1251"/>
      <c r="AIE91" s="1251"/>
      <c r="AIF91" s="1251"/>
      <c r="AIG91" s="1251"/>
      <c r="AIH91" s="1251"/>
      <c r="AII91" s="1251"/>
      <c r="AIJ91" s="1251"/>
      <c r="AIK91" s="1251"/>
      <c r="AIL91" s="1251"/>
      <c r="AIM91" s="1251"/>
      <c r="AIN91" s="1251"/>
      <c r="AIO91" s="1251"/>
      <c r="AIP91" s="1251"/>
      <c r="AIQ91" s="1251"/>
      <c r="AIR91" s="1251"/>
      <c r="AIS91" s="1251"/>
      <c r="AIT91" s="1251"/>
      <c r="AIU91" s="1251"/>
      <c r="AIV91" s="1251"/>
      <c r="AIW91" s="1251"/>
      <c r="AIX91" s="1251"/>
      <c r="AIY91" s="1251"/>
      <c r="AIZ91" s="1251"/>
      <c r="AJA91" s="1251"/>
      <c r="AJB91" s="1251"/>
      <c r="AJC91" s="1251"/>
      <c r="AJD91" s="1251"/>
      <c r="AJE91" s="1251"/>
      <c r="AJF91" s="1251"/>
      <c r="AJG91" s="1251"/>
      <c r="AJH91" s="1251"/>
      <c r="AJI91" s="1251"/>
      <c r="AJJ91" s="1251"/>
      <c r="AJK91" s="1251"/>
      <c r="AJL91" s="1251"/>
      <c r="AJM91" s="1251"/>
      <c r="AJN91" s="1251"/>
      <c r="AJO91" s="1251"/>
      <c r="AJP91" s="1251"/>
      <c r="AJQ91" s="1251"/>
      <c r="AJR91" s="1251"/>
      <c r="AJS91" s="1251"/>
      <c r="AJT91" s="1251"/>
      <c r="AJU91" s="1251"/>
      <c r="AJV91" s="1251"/>
      <c r="AJW91" s="1251"/>
      <c r="AJX91" s="1251"/>
      <c r="AJY91" s="1251"/>
      <c r="AJZ91" s="1251"/>
      <c r="AKA91" s="1251"/>
      <c r="AKB91" s="1251"/>
      <c r="AKC91" s="1251"/>
      <c r="AKD91" s="1251"/>
      <c r="AKE91" s="1251"/>
      <c r="AKF91" s="1251"/>
      <c r="AKG91" s="1251"/>
      <c r="AKH91" s="1251"/>
      <c r="AKI91" s="1251"/>
      <c r="AKJ91" s="1251"/>
      <c r="AKK91" s="1251"/>
      <c r="AKL91" s="1251"/>
      <c r="AKM91" s="1251"/>
      <c r="AKN91" s="1251"/>
      <c r="AKO91" s="1251"/>
      <c r="AKP91" s="1251"/>
      <c r="AKQ91" s="1251"/>
      <c r="AKR91" s="1251"/>
      <c r="AKS91" s="1251"/>
      <c r="AKT91" s="1251"/>
      <c r="AKU91" s="1251"/>
      <c r="AKV91" s="1251"/>
      <c r="AKW91" s="1251"/>
      <c r="AKX91" s="1251"/>
      <c r="AKY91" s="1251"/>
      <c r="AKZ91" s="1251"/>
      <c r="ALA91" s="1251"/>
      <c r="ALB91" s="1251"/>
      <c r="ALC91" s="1251"/>
      <c r="ALD91" s="1251"/>
      <c r="ALE91" s="1251"/>
      <c r="ALF91" s="1251"/>
      <c r="ALG91" s="1251"/>
      <c r="ALH91" s="1251"/>
      <c r="ALI91" s="1251"/>
      <c r="ALJ91" s="1251"/>
      <c r="ALK91" s="1251"/>
      <c r="ALL91" s="1251"/>
      <c r="ALM91" s="1251"/>
      <c r="ALN91" s="1251"/>
      <c r="ALO91" s="1251"/>
      <c r="ALP91" s="1251"/>
      <c r="ALQ91" s="1251"/>
      <c r="ALR91" s="1251"/>
      <c r="ALS91" s="1251"/>
      <c r="ALT91" s="1251"/>
      <c r="ALU91" s="1251"/>
      <c r="ALV91" s="1251"/>
      <c r="ALW91" s="1251"/>
      <c r="ALX91" s="1251"/>
      <c r="ALY91" s="1251"/>
      <c r="ALZ91" s="1251"/>
      <c r="AMA91" s="1251"/>
      <c r="AMB91" s="1251"/>
      <c r="AMC91" s="1251"/>
      <c r="AMD91" s="1251"/>
      <c r="AME91" s="1251"/>
      <c r="AMF91" s="1251"/>
      <c r="AMG91" s="1251"/>
      <c r="AMH91" s="1251"/>
      <c r="AMI91" s="1251"/>
      <c r="AMJ91" s="1251"/>
      <c r="AMK91" s="1251"/>
      <c r="AML91" s="1251"/>
      <c r="AMM91" s="1251"/>
      <c r="AMN91" s="1251"/>
      <c r="AMO91" s="1251"/>
      <c r="AMP91" s="1251"/>
      <c r="AMQ91" s="1251"/>
      <c r="AMR91" s="1251"/>
      <c r="AMS91" s="1251"/>
      <c r="AMT91" s="1251"/>
      <c r="AMU91" s="1251"/>
      <c r="AMV91" s="1251"/>
      <c r="AMW91" s="1251"/>
      <c r="AMX91" s="1251"/>
      <c r="AMY91" s="1251"/>
      <c r="AMZ91" s="1251"/>
      <c r="ANA91" s="1251"/>
      <c r="ANB91" s="1251"/>
      <c r="ANC91" s="1251"/>
      <c r="AND91" s="1251"/>
      <c r="ANE91" s="1251"/>
      <c r="ANF91" s="1251"/>
      <c r="ANG91" s="1251"/>
      <c r="ANH91" s="1251"/>
      <c r="ANI91" s="1251"/>
      <c r="ANJ91" s="1251"/>
      <c r="ANK91" s="1251"/>
      <c r="ANL91" s="1251"/>
      <c r="ANM91" s="1251"/>
      <c r="ANN91" s="1251"/>
      <c r="ANO91" s="1251"/>
      <c r="ANP91" s="1251"/>
      <c r="ANQ91" s="1251"/>
      <c r="ANR91" s="1251"/>
      <c r="ANS91" s="1251"/>
      <c r="ANT91" s="1251"/>
      <c r="ANU91" s="1251"/>
      <c r="ANV91" s="1251"/>
      <c r="ANW91" s="1251"/>
      <c r="ANX91" s="1251"/>
      <c r="ANY91" s="1251"/>
      <c r="ANZ91" s="1251"/>
      <c r="AOA91" s="1251"/>
      <c r="AOB91" s="1251"/>
      <c r="AOC91" s="1251"/>
      <c r="AOD91" s="1251"/>
      <c r="AOE91" s="1251"/>
      <c r="AOF91" s="1251"/>
      <c r="AOG91" s="1251"/>
      <c r="AOH91" s="1251"/>
      <c r="AOI91" s="1251"/>
      <c r="AOJ91" s="1251"/>
      <c r="AOK91" s="1251"/>
      <c r="AOL91" s="1251"/>
      <c r="AOM91" s="1251"/>
      <c r="AON91" s="1251"/>
      <c r="AOO91" s="1251"/>
      <c r="AOP91" s="1251"/>
      <c r="AOQ91" s="1251"/>
      <c r="AOR91" s="1251"/>
      <c r="AOS91" s="1251"/>
      <c r="AOT91" s="1251"/>
      <c r="AOU91" s="1251"/>
      <c r="AOV91" s="1251"/>
      <c r="AOW91" s="1251"/>
      <c r="AOX91" s="1251"/>
      <c r="AOY91" s="1251"/>
      <c r="AOZ91" s="1251"/>
      <c r="APA91" s="1251"/>
      <c r="APB91" s="1251"/>
      <c r="APC91" s="1251"/>
      <c r="APD91" s="1251"/>
      <c r="APE91" s="1251"/>
      <c r="APF91" s="1251"/>
      <c r="APG91" s="1251"/>
      <c r="APH91" s="1251"/>
      <c r="API91" s="1251"/>
      <c r="APJ91" s="1251"/>
      <c r="APK91" s="1251"/>
      <c r="APL91" s="1251"/>
      <c r="APM91" s="1251"/>
      <c r="APN91" s="1251"/>
      <c r="APO91" s="1251"/>
      <c r="APP91" s="1251"/>
      <c r="APQ91" s="1251"/>
      <c r="APR91" s="1251"/>
      <c r="APS91" s="1251"/>
      <c r="APT91" s="1251"/>
      <c r="APU91" s="1251"/>
      <c r="APV91" s="1251"/>
      <c r="APW91" s="1251"/>
      <c r="APX91" s="1251"/>
      <c r="APY91" s="1251"/>
      <c r="APZ91" s="1251"/>
      <c r="AQA91" s="1251"/>
      <c r="AQB91" s="1251"/>
      <c r="AQC91" s="1251"/>
      <c r="AQD91" s="1251"/>
      <c r="AQE91" s="1251"/>
      <c r="AQF91" s="1251"/>
      <c r="AQG91" s="1251"/>
      <c r="AQH91" s="1251"/>
      <c r="AQI91" s="1251"/>
      <c r="AQJ91" s="1251"/>
      <c r="AQK91" s="1251"/>
      <c r="AQL91" s="1251"/>
      <c r="AQM91" s="1251"/>
      <c r="AQN91" s="1251"/>
      <c r="AQO91" s="1251"/>
      <c r="AQP91" s="1251"/>
      <c r="AQQ91" s="1251"/>
      <c r="AQR91" s="1251"/>
      <c r="AQS91" s="1251"/>
      <c r="AQT91" s="1251"/>
      <c r="AQU91" s="1251"/>
      <c r="AQV91" s="1251"/>
      <c r="AQW91" s="1251"/>
      <c r="AQX91" s="1251"/>
      <c r="AQY91" s="1251"/>
      <c r="AQZ91" s="1251"/>
      <c r="ARA91" s="1251"/>
      <c r="ARB91" s="1251"/>
      <c r="ARC91" s="1251"/>
      <c r="ARD91" s="1251"/>
      <c r="ARE91" s="1251"/>
      <c r="ARF91" s="1251"/>
      <c r="ARG91" s="1251"/>
      <c r="ARH91" s="1251"/>
      <c r="ARI91" s="1251"/>
      <c r="ARJ91" s="1251"/>
      <c r="ARK91" s="1251"/>
      <c r="ARL91" s="1251"/>
      <c r="ARM91" s="1251"/>
      <c r="ARN91" s="1251"/>
      <c r="ARO91" s="1251"/>
      <c r="ARP91" s="1251"/>
      <c r="ARQ91" s="1251"/>
      <c r="ARR91" s="1251"/>
      <c r="ARS91" s="1251"/>
      <c r="ART91" s="1251"/>
      <c r="ARU91" s="1251"/>
      <c r="ARV91" s="1251"/>
      <c r="ARW91" s="1251"/>
      <c r="ARX91" s="1251"/>
      <c r="ARY91" s="1251"/>
      <c r="ARZ91" s="1251"/>
      <c r="ASA91" s="1251"/>
      <c r="ASB91" s="1251"/>
      <c r="ASC91" s="1251"/>
      <c r="ASD91" s="1251"/>
      <c r="ASE91" s="1251"/>
      <c r="ASF91" s="1251"/>
      <c r="ASG91" s="1251"/>
      <c r="ASH91" s="1251"/>
      <c r="ASI91" s="1251"/>
      <c r="ASJ91" s="1251"/>
      <c r="ASK91" s="1251"/>
      <c r="ASL91" s="1251"/>
      <c r="ASM91" s="1251"/>
      <c r="ASN91" s="1251"/>
      <c r="ASO91" s="1251"/>
      <c r="ASP91" s="1251"/>
      <c r="ASQ91" s="1251"/>
      <c r="ASR91" s="1251"/>
      <c r="ASS91" s="1251"/>
      <c r="AST91" s="1251"/>
      <c r="ASU91" s="1251"/>
      <c r="ASV91" s="1251"/>
      <c r="ASW91" s="1251"/>
      <c r="ASX91" s="1251"/>
      <c r="ASY91" s="1251"/>
      <c r="ASZ91" s="1251"/>
      <c r="ATA91" s="1251"/>
      <c r="ATB91" s="1251"/>
      <c r="ATC91" s="1251"/>
      <c r="ATD91" s="1251"/>
      <c r="ATE91" s="1251"/>
      <c r="ATF91" s="1251"/>
      <c r="ATG91" s="1251"/>
      <c r="ATH91" s="1251"/>
      <c r="ATI91" s="1251"/>
      <c r="ATJ91" s="1251"/>
      <c r="ATK91" s="1251"/>
      <c r="ATL91" s="1251"/>
      <c r="ATM91" s="1251"/>
      <c r="ATN91" s="1251"/>
      <c r="ATO91" s="1251"/>
      <c r="ATP91" s="1251"/>
      <c r="ATQ91" s="1251"/>
      <c r="ATR91" s="1251"/>
      <c r="ATS91" s="1251"/>
      <c r="ATT91" s="1251"/>
      <c r="ATU91" s="1251"/>
      <c r="ATV91" s="1251"/>
      <c r="ATW91" s="1251"/>
      <c r="ATX91" s="1251"/>
      <c r="ATY91" s="1251"/>
      <c r="ATZ91" s="1251"/>
      <c r="AUA91" s="1251"/>
      <c r="AUB91" s="1251"/>
      <c r="AUC91" s="1251"/>
      <c r="AUD91" s="1251"/>
      <c r="AUE91" s="1251"/>
      <c r="AUF91" s="1251"/>
      <c r="AUG91" s="1251"/>
      <c r="AUH91" s="1251"/>
      <c r="AUI91" s="1251"/>
      <c r="AUJ91" s="1251"/>
      <c r="AUK91" s="1251"/>
      <c r="AUL91" s="1251"/>
      <c r="AUM91" s="1251"/>
      <c r="AUN91" s="1251"/>
      <c r="AUO91" s="1251"/>
      <c r="AUP91" s="1251"/>
      <c r="AUQ91" s="1251"/>
      <c r="AUR91" s="1251"/>
      <c r="AUS91" s="1251"/>
      <c r="AUT91" s="1251"/>
      <c r="AUU91" s="1251"/>
      <c r="AUV91" s="1251"/>
      <c r="AUW91" s="1251"/>
      <c r="AUX91" s="1251"/>
      <c r="AUY91" s="1251"/>
      <c r="AUZ91" s="1251"/>
      <c r="AVA91" s="1251"/>
      <c r="AVB91" s="1251"/>
      <c r="AVC91" s="1251"/>
      <c r="AVD91" s="1251"/>
      <c r="AVE91" s="1251"/>
      <c r="AVF91" s="1251"/>
      <c r="AVG91" s="1251"/>
      <c r="AVH91" s="1251"/>
      <c r="AVI91" s="1251"/>
      <c r="AVJ91" s="1251"/>
      <c r="AVK91" s="1251"/>
      <c r="AVL91" s="1251"/>
      <c r="AVM91" s="1251"/>
      <c r="AVN91" s="1251"/>
      <c r="AVO91" s="1251"/>
      <c r="AVP91" s="1251"/>
      <c r="AVQ91" s="1251"/>
      <c r="AVR91" s="1251"/>
      <c r="AVS91" s="1251"/>
      <c r="AVT91" s="1251"/>
      <c r="AVU91" s="1251"/>
      <c r="AVV91" s="1251"/>
      <c r="AVW91" s="1251"/>
      <c r="AVX91" s="1251"/>
      <c r="AVY91" s="1251"/>
      <c r="AVZ91" s="1251"/>
      <c r="AWA91" s="1251"/>
      <c r="AWB91" s="1251"/>
      <c r="AWC91" s="1251"/>
      <c r="AWD91" s="1251"/>
      <c r="AWE91" s="1251"/>
      <c r="AWF91" s="1251"/>
      <c r="AWG91" s="1251"/>
      <c r="AWH91" s="1251"/>
      <c r="AWI91" s="1251"/>
      <c r="AWJ91" s="1251"/>
      <c r="AWK91" s="1251"/>
      <c r="AWL91" s="1251"/>
      <c r="AWM91" s="1251"/>
      <c r="AWN91" s="1251"/>
      <c r="AWO91" s="1251"/>
      <c r="AWP91" s="1251"/>
      <c r="AWQ91" s="1251"/>
      <c r="AWR91" s="1251"/>
      <c r="AWS91" s="1251"/>
      <c r="AWT91" s="1251"/>
      <c r="AWU91" s="1251"/>
      <c r="AWV91" s="1251"/>
      <c r="AWW91" s="1251"/>
      <c r="AWX91" s="1251"/>
      <c r="AWY91" s="1251"/>
      <c r="AWZ91" s="1251"/>
      <c r="AXA91" s="1251"/>
      <c r="AXB91" s="1251"/>
      <c r="AXC91" s="1251"/>
      <c r="AXD91" s="1251"/>
      <c r="AXE91" s="1251"/>
      <c r="AXF91" s="1251"/>
      <c r="AXG91" s="1251"/>
      <c r="AXH91" s="1251"/>
      <c r="AXI91" s="1251"/>
      <c r="AXJ91" s="1251"/>
      <c r="AXK91" s="1251"/>
      <c r="AXL91" s="1251"/>
      <c r="AXM91" s="1251"/>
      <c r="AXN91" s="1251"/>
      <c r="AXO91" s="1251"/>
      <c r="AXP91" s="1251"/>
      <c r="AXQ91" s="1251"/>
      <c r="AXR91" s="1251"/>
      <c r="AXS91" s="1251"/>
      <c r="AXT91" s="1251"/>
      <c r="AXU91" s="1251"/>
      <c r="AXV91" s="1251"/>
      <c r="AXW91" s="1251"/>
      <c r="AXX91" s="1251"/>
      <c r="AXY91" s="1251"/>
      <c r="AXZ91" s="1251"/>
      <c r="AYA91" s="1251"/>
      <c r="AYB91" s="1251"/>
      <c r="AYC91" s="1251"/>
      <c r="AYD91" s="1251"/>
      <c r="AYE91" s="1251"/>
      <c r="AYF91" s="1251"/>
      <c r="AYG91" s="1251"/>
      <c r="AYH91" s="1251"/>
      <c r="AYI91" s="1251"/>
      <c r="AYJ91" s="1251"/>
      <c r="AYK91" s="1251"/>
      <c r="AYL91" s="1251"/>
      <c r="AYM91" s="1251"/>
      <c r="AYN91" s="1251"/>
      <c r="AYO91" s="1251"/>
      <c r="AYP91" s="1251"/>
      <c r="AYQ91" s="1251"/>
      <c r="AYR91" s="1251"/>
      <c r="AYS91" s="1251"/>
      <c r="AYT91" s="1251"/>
      <c r="AYU91" s="1251"/>
      <c r="AYV91" s="1251"/>
      <c r="AYW91" s="1251"/>
      <c r="AYX91" s="1251"/>
      <c r="AYY91" s="1251"/>
      <c r="AYZ91" s="1251"/>
      <c r="AZA91" s="1251"/>
      <c r="AZB91" s="1251"/>
      <c r="AZC91" s="1251"/>
      <c r="AZD91" s="1251"/>
      <c r="AZE91" s="1251"/>
      <c r="AZF91" s="1251"/>
      <c r="AZG91" s="1251"/>
      <c r="AZH91" s="1251"/>
      <c r="AZI91" s="1251"/>
      <c r="AZJ91" s="1251"/>
      <c r="AZK91" s="1251"/>
      <c r="AZL91" s="1251"/>
      <c r="AZM91" s="1251"/>
      <c r="AZN91" s="1251"/>
      <c r="AZO91" s="1251"/>
      <c r="AZP91" s="1251"/>
      <c r="AZQ91" s="1251"/>
      <c r="AZR91" s="1251"/>
      <c r="AZS91" s="1251"/>
      <c r="AZT91" s="1251"/>
      <c r="AZU91" s="1251"/>
      <c r="AZV91" s="1251"/>
      <c r="AZW91" s="1251"/>
      <c r="AZX91" s="1251"/>
      <c r="AZY91" s="1251"/>
      <c r="AZZ91" s="1251"/>
      <c r="BAA91" s="1251"/>
      <c r="BAB91" s="1251"/>
      <c r="BAC91" s="1251"/>
      <c r="BAD91" s="1251"/>
      <c r="BAE91" s="1251"/>
      <c r="BAF91" s="1251"/>
      <c r="BAG91" s="1251"/>
      <c r="BAH91" s="1251"/>
      <c r="BAI91" s="1251"/>
      <c r="BAJ91" s="1251"/>
      <c r="BAK91" s="1251"/>
      <c r="BAL91" s="1251"/>
      <c r="BAM91" s="1251"/>
      <c r="BAN91" s="1251"/>
      <c r="BAO91" s="1251"/>
      <c r="BAP91" s="1251"/>
      <c r="BAQ91" s="1251"/>
      <c r="BAR91" s="1251"/>
      <c r="BAS91" s="1251"/>
      <c r="BAT91" s="1251"/>
      <c r="BAU91" s="1251"/>
      <c r="BAV91" s="1251"/>
      <c r="BAW91" s="1251"/>
      <c r="BAX91" s="1251"/>
      <c r="BAY91" s="1251"/>
      <c r="BAZ91" s="1251"/>
      <c r="BBA91" s="1251"/>
      <c r="BBB91" s="1251"/>
      <c r="BBC91" s="1251"/>
      <c r="BBD91" s="1251"/>
      <c r="BBE91" s="1251"/>
      <c r="BBF91" s="1251"/>
      <c r="BBG91" s="1251"/>
      <c r="BBH91" s="1251"/>
      <c r="BBI91" s="1251"/>
      <c r="BBJ91" s="1251"/>
      <c r="BBK91" s="1251"/>
      <c r="BBL91" s="1251"/>
      <c r="BBM91" s="1251"/>
      <c r="BBN91" s="1251"/>
      <c r="BBO91" s="1251"/>
      <c r="BBP91" s="1251"/>
      <c r="BBQ91" s="1251"/>
      <c r="BBR91" s="1251"/>
      <c r="BBS91" s="1251"/>
      <c r="BBT91" s="1251"/>
      <c r="BBU91" s="1251"/>
      <c r="BBV91" s="1251"/>
      <c r="BBW91" s="1251"/>
      <c r="BBX91" s="1251"/>
      <c r="BBY91" s="1251"/>
      <c r="BBZ91" s="1251"/>
      <c r="BCA91" s="1251"/>
      <c r="BCB91" s="1251"/>
      <c r="BCC91" s="1251"/>
      <c r="BCD91" s="1251"/>
      <c r="BCE91" s="1251"/>
      <c r="BCF91" s="1251"/>
      <c r="BCG91" s="1251"/>
      <c r="BCH91" s="1251"/>
      <c r="BCI91" s="1251"/>
      <c r="BCJ91" s="1251"/>
      <c r="BCK91" s="1251"/>
      <c r="BCL91" s="1251"/>
      <c r="BCM91" s="1251"/>
      <c r="BCN91" s="1251"/>
      <c r="BCO91" s="1251"/>
      <c r="BCP91" s="1251"/>
      <c r="BCQ91" s="1251"/>
      <c r="BCR91" s="1251"/>
      <c r="BCS91" s="1251"/>
      <c r="BCT91" s="1251"/>
      <c r="BCU91" s="1251"/>
      <c r="BCV91" s="1251"/>
      <c r="BCW91" s="1251"/>
      <c r="BCX91" s="1251"/>
      <c r="BCY91" s="1251"/>
      <c r="BCZ91" s="1251"/>
      <c r="BDA91" s="1251"/>
      <c r="BDB91" s="1251"/>
      <c r="BDC91" s="1251"/>
      <c r="BDD91" s="1251"/>
      <c r="BDE91" s="1251"/>
      <c r="BDF91" s="1251"/>
      <c r="BDG91" s="1251"/>
      <c r="BDH91" s="1251"/>
      <c r="BDI91" s="1251"/>
      <c r="BDJ91" s="1251"/>
      <c r="BDK91" s="1251"/>
      <c r="BDL91" s="1251"/>
      <c r="BDM91" s="1251"/>
      <c r="BDN91" s="1251"/>
      <c r="BDO91" s="1251"/>
      <c r="BDP91" s="1251"/>
      <c r="BDQ91" s="1251"/>
      <c r="BDR91" s="1251"/>
      <c r="BDS91" s="1251"/>
      <c r="BDT91" s="1251"/>
      <c r="BDU91" s="1251"/>
      <c r="BDV91" s="1251"/>
      <c r="BDW91" s="1251"/>
      <c r="BDX91" s="1251"/>
      <c r="BDY91" s="1251"/>
      <c r="BDZ91" s="1251"/>
      <c r="BEA91" s="1251"/>
      <c r="BEB91" s="1251"/>
      <c r="BEC91" s="1251"/>
      <c r="BED91" s="1251"/>
      <c r="BEE91" s="1251"/>
      <c r="BEF91" s="1251"/>
      <c r="BEG91" s="1251"/>
      <c r="BEH91" s="1251"/>
      <c r="BEI91" s="1251"/>
      <c r="BEJ91" s="1251"/>
      <c r="BEK91" s="1251"/>
      <c r="BEL91" s="1251"/>
      <c r="BEM91" s="1251"/>
      <c r="BEN91" s="1251"/>
      <c r="BEO91" s="1251"/>
      <c r="BEP91" s="1251"/>
      <c r="BEQ91" s="1251"/>
      <c r="BER91" s="1251"/>
      <c r="BES91" s="1251"/>
      <c r="BET91" s="1251"/>
      <c r="BEU91" s="1251"/>
      <c r="BEV91" s="1251"/>
      <c r="BEW91" s="1251"/>
      <c r="BEX91" s="1251"/>
      <c r="BEY91" s="1251"/>
      <c r="BEZ91" s="1251"/>
      <c r="BFA91" s="1251"/>
      <c r="BFB91" s="1251"/>
      <c r="BFC91" s="1251"/>
      <c r="BFD91" s="1251"/>
      <c r="BFE91" s="1251"/>
      <c r="BFF91" s="1251"/>
      <c r="BFG91" s="1251"/>
      <c r="BFH91" s="1251"/>
      <c r="BFI91" s="1251"/>
      <c r="BFJ91" s="1251"/>
      <c r="BFK91" s="1251"/>
      <c r="BFL91" s="1251"/>
      <c r="BFM91" s="1251"/>
      <c r="BFN91" s="1251"/>
      <c r="BFO91" s="1251"/>
      <c r="BFP91" s="1251"/>
      <c r="BFQ91" s="1251"/>
      <c r="BFR91" s="1251"/>
      <c r="BFS91" s="1251"/>
      <c r="BFT91" s="1251"/>
      <c r="BFU91" s="1251"/>
      <c r="BFV91" s="1251"/>
      <c r="BFW91" s="1251"/>
      <c r="BFX91" s="1251"/>
      <c r="BFY91" s="1251"/>
      <c r="BFZ91" s="1251"/>
      <c r="BGA91" s="1251"/>
      <c r="BGB91" s="1251"/>
      <c r="BGC91" s="1251"/>
      <c r="BGD91" s="1251"/>
      <c r="BGE91" s="1251"/>
      <c r="BGF91" s="1251"/>
      <c r="BGG91" s="1251"/>
      <c r="BGH91" s="1251"/>
      <c r="BGI91" s="1251"/>
      <c r="BGJ91" s="1251"/>
      <c r="BGK91" s="1251"/>
      <c r="BGL91" s="1251"/>
      <c r="BGM91" s="1251"/>
      <c r="BGN91" s="1251"/>
      <c r="BGO91" s="1251"/>
      <c r="BGP91" s="1251"/>
      <c r="BGQ91" s="1251"/>
      <c r="BGR91" s="1251"/>
      <c r="BGS91" s="1251"/>
      <c r="BGT91" s="1251"/>
      <c r="BGU91" s="1251"/>
      <c r="BGV91" s="1251"/>
      <c r="BGW91" s="1251"/>
      <c r="BGX91" s="1251"/>
      <c r="BGY91" s="1251"/>
      <c r="BGZ91" s="1251"/>
      <c r="BHA91" s="1251"/>
      <c r="BHB91" s="1251"/>
      <c r="BHC91" s="1251"/>
      <c r="BHD91" s="1251"/>
      <c r="BHE91" s="1251"/>
      <c r="BHF91" s="1251"/>
      <c r="BHG91" s="1251"/>
      <c r="BHH91" s="1251"/>
      <c r="BHI91" s="1251"/>
      <c r="BHJ91" s="1251"/>
      <c r="BHK91" s="1251"/>
      <c r="BHL91" s="1251"/>
      <c r="BHM91" s="1251"/>
      <c r="BHN91" s="1251"/>
      <c r="BHO91" s="1251"/>
      <c r="BHP91" s="1251"/>
      <c r="BHQ91" s="1251"/>
      <c r="BHR91" s="1251"/>
      <c r="BHS91" s="1251"/>
      <c r="BHT91" s="1251"/>
      <c r="BHU91" s="1251"/>
      <c r="BHV91" s="1251"/>
      <c r="BHW91" s="1251"/>
      <c r="BHX91" s="1251"/>
      <c r="BHY91" s="1251"/>
      <c r="BHZ91" s="1251"/>
      <c r="BIA91" s="1251"/>
      <c r="BIB91" s="1251"/>
      <c r="BIC91" s="1251"/>
      <c r="BID91" s="1251"/>
      <c r="BIE91" s="1251"/>
      <c r="BIF91" s="1251"/>
      <c r="BIG91" s="1251"/>
      <c r="BIH91" s="1251"/>
      <c r="BII91" s="1251"/>
      <c r="BIJ91" s="1251"/>
      <c r="BIK91" s="1251"/>
      <c r="BIL91" s="1251"/>
      <c r="BIM91" s="1251"/>
      <c r="BIN91" s="1251"/>
      <c r="BIO91" s="1251"/>
      <c r="BIP91" s="1251"/>
      <c r="BIQ91" s="1251"/>
      <c r="BIR91" s="1251"/>
      <c r="BIS91" s="1251"/>
      <c r="BIT91" s="1251"/>
      <c r="BIU91" s="1251"/>
      <c r="BIV91" s="1251"/>
      <c r="BIW91" s="1251"/>
      <c r="BIX91" s="1251"/>
      <c r="BIY91" s="1251"/>
      <c r="BIZ91" s="1251"/>
      <c r="BJA91" s="1251"/>
      <c r="BJB91" s="1251"/>
      <c r="BJC91" s="1251"/>
      <c r="BJD91" s="1251"/>
      <c r="BJE91" s="1251"/>
      <c r="BJF91" s="1251"/>
      <c r="BJG91" s="1251"/>
      <c r="BJH91" s="1251"/>
      <c r="BJI91" s="1251"/>
      <c r="BJJ91" s="1251"/>
      <c r="BJK91" s="1251"/>
      <c r="BJL91" s="1251"/>
      <c r="BJM91" s="1251"/>
      <c r="BJN91" s="1251"/>
      <c r="BJO91" s="1251"/>
      <c r="BJP91" s="1251"/>
      <c r="BJQ91" s="1251"/>
      <c r="BJR91" s="1251"/>
      <c r="BJS91" s="1251"/>
      <c r="BJT91" s="1251"/>
      <c r="BJU91" s="1251"/>
      <c r="BJV91" s="1251"/>
      <c r="BJW91" s="1251"/>
      <c r="BJX91" s="1251"/>
      <c r="BJY91" s="1251"/>
      <c r="BJZ91" s="1251"/>
      <c r="BKA91" s="1251"/>
      <c r="BKB91" s="1251"/>
      <c r="BKC91" s="1251"/>
      <c r="BKD91" s="1251"/>
      <c r="BKE91" s="1251"/>
      <c r="BKF91" s="1251"/>
      <c r="BKG91" s="1251"/>
      <c r="BKH91" s="1251"/>
      <c r="BKI91" s="1251"/>
      <c r="BKJ91" s="1251"/>
      <c r="BKK91" s="1251"/>
      <c r="BKL91" s="1251"/>
      <c r="BKM91" s="1251"/>
      <c r="BKN91" s="1251"/>
      <c r="BKO91" s="1251"/>
      <c r="BKP91" s="1251"/>
      <c r="BKQ91" s="1251"/>
      <c r="BKR91" s="1251"/>
      <c r="BKS91" s="1251"/>
      <c r="BKT91" s="1251"/>
      <c r="BKU91" s="1251"/>
      <c r="BKV91" s="1251"/>
      <c r="BKW91" s="1251"/>
      <c r="BKX91" s="1251"/>
      <c r="BKY91" s="1251"/>
      <c r="BKZ91" s="1251"/>
      <c r="BLA91" s="1251"/>
      <c r="BLB91" s="1251"/>
      <c r="BLC91" s="1251"/>
      <c r="BLD91" s="1251"/>
      <c r="BLE91" s="1251"/>
      <c r="BLF91" s="1251"/>
      <c r="BLG91" s="1251"/>
      <c r="BLH91" s="1251"/>
      <c r="BLI91" s="1251"/>
      <c r="BLJ91" s="1251"/>
      <c r="BLK91" s="1251"/>
      <c r="BLL91" s="1251"/>
      <c r="BLM91" s="1251"/>
      <c r="BLN91" s="1251"/>
      <c r="BLO91" s="1251"/>
      <c r="BLP91" s="1251"/>
      <c r="BLQ91" s="1251"/>
      <c r="BLR91" s="1251"/>
      <c r="BLS91" s="1251"/>
      <c r="BLT91" s="1251"/>
      <c r="BLU91" s="1251"/>
      <c r="BLV91" s="1251"/>
      <c r="BLW91" s="1251"/>
      <c r="BLX91" s="1251"/>
      <c r="BLY91" s="1251"/>
      <c r="BLZ91" s="1251"/>
      <c r="BMA91" s="1251"/>
      <c r="BMB91" s="1251"/>
      <c r="BMC91" s="1251"/>
      <c r="BMD91" s="1251"/>
      <c r="BME91" s="1251"/>
      <c r="BMF91" s="1251"/>
      <c r="BMG91" s="1251"/>
      <c r="BMH91" s="1251"/>
      <c r="BMI91" s="1251"/>
      <c r="BMJ91" s="1251"/>
      <c r="BMK91" s="1251"/>
      <c r="BML91" s="1251"/>
      <c r="BMM91" s="1251"/>
      <c r="BMN91" s="1251"/>
      <c r="BMO91" s="1251"/>
      <c r="BMP91" s="1251"/>
      <c r="BMQ91" s="1251"/>
      <c r="BMR91" s="1251"/>
      <c r="BMS91" s="1251"/>
      <c r="BMT91" s="1251"/>
      <c r="BMU91" s="1251"/>
      <c r="BMV91" s="1251"/>
      <c r="BMW91" s="1251"/>
      <c r="BMX91" s="1251"/>
      <c r="BMY91" s="1251"/>
      <c r="BMZ91" s="1251"/>
      <c r="BNA91" s="1251"/>
      <c r="BNB91" s="1251"/>
      <c r="BNC91" s="1251"/>
      <c r="BND91" s="1251"/>
      <c r="BNE91" s="1251"/>
      <c r="BNF91" s="1251"/>
      <c r="BNG91" s="1251"/>
      <c r="BNH91" s="1251"/>
      <c r="BNI91" s="1251"/>
      <c r="BNJ91" s="1251"/>
      <c r="BNK91" s="1251"/>
      <c r="BNL91" s="1251"/>
      <c r="BNM91" s="1251"/>
      <c r="BNN91" s="1251"/>
      <c r="BNO91" s="1251"/>
      <c r="BNP91" s="1251"/>
      <c r="BNQ91" s="1251"/>
      <c r="BNR91" s="1251"/>
      <c r="BNS91" s="1251"/>
      <c r="BNT91" s="1251"/>
      <c r="BNU91" s="1251"/>
      <c r="BNV91" s="1251"/>
      <c r="BNW91" s="1251"/>
      <c r="BNX91" s="1251"/>
      <c r="BNY91" s="1251"/>
      <c r="BNZ91" s="1251"/>
      <c r="BOA91" s="1251"/>
      <c r="BOB91" s="1251"/>
      <c r="BOC91" s="1251"/>
      <c r="BOD91" s="1251"/>
      <c r="BOE91" s="1251"/>
      <c r="BOF91" s="1251"/>
      <c r="BOG91" s="1251"/>
      <c r="BOH91" s="1251"/>
      <c r="BOI91" s="1251"/>
      <c r="BOJ91" s="1251"/>
      <c r="BOK91" s="1251"/>
      <c r="BOL91" s="1251"/>
      <c r="BOM91" s="1251"/>
      <c r="BON91" s="1251"/>
      <c r="BOO91" s="1251"/>
      <c r="BOP91" s="1251"/>
      <c r="BOQ91" s="1251"/>
      <c r="BOR91" s="1251"/>
      <c r="BOS91" s="1251"/>
      <c r="BOT91" s="1251"/>
      <c r="BOU91" s="1251"/>
      <c r="BOV91" s="1251"/>
      <c r="BOW91" s="1251"/>
      <c r="BOX91" s="1251"/>
      <c r="BOY91" s="1251"/>
      <c r="BOZ91" s="1251"/>
      <c r="BPA91" s="1251"/>
      <c r="BPB91" s="1251"/>
      <c r="BPC91" s="1251"/>
      <c r="BPD91" s="1251"/>
      <c r="BPE91" s="1251"/>
      <c r="BPF91" s="1251"/>
      <c r="BPG91" s="1251"/>
      <c r="BPH91" s="1251"/>
      <c r="BPI91" s="1251"/>
      <c r="BPJ91" s="1251"/>
      <c r="BPK91" s="1251"/>
      <c r="BPL91" s="1251"/>
      <c r="BPM91" s="1251"/>
      <c r="BPN91" s="1251"/>
      <c r="BPO91" s="1251"/>
      <c r="BPP91" s="1251"/>
      <c r="BPQ91" s="1251"/>
      <c r="BPR91" s="1251"/>
      <c r="BPS91" s="1251"/>
      <c r="BPT91" s="1251"/>
      <c r="BPU91" s="1251"/>
      <c r="BPV91" s="1251"/>
      <c r="BPW91" s="1251"/>
      <c r="BPX91" s="1251"/>
      <c r="BPY91" s="1251"/>
      <c r="BPZ91" s="1251"/>
      <c r="BQA91" s="1251"/>
      <c r="BQB91" s="1251"/>
      <c r="BQC91" s="1251"/>
      <c r="BQD91" s="1251"/>
      <c r="BQE91" s="1251"/>
      <c r="BQF91" s="1251"/>
      <c r="BQG91" s="1251"/>
      <c r="BQH91" s="1251"/>
      <c r="BQI91" s="1251"/>
      <c r="BQJ91" s="1251"/>
      <c r="BQK91" s="1251"/>
      <c r="BQL91" s="1251"/>
      <c r="BQM91" s="1251"/>
      <c r="BQN91" s="1251"/>
      <c r="BQO91" s="1251"/>
      <c r="BQP91" s="1251"/>
      <c r="BQQ91" s="1251"/>
      <c r="BQR91" s="1251"/>
      <c r="BQS91" s="1251"/>
      <c r="BQT91" s="1251"/>
      <c r="BQU91" s="1251"/>
      <c r="BQV91" s="1251"/>
      <c r="BQW91" s="1251"/>
      <c r="BQX91" s="1251"/>
      <c r="BQY91" s="1251"/>
      <c r="BQZ91" s="1251"/>
      <c r="BRA91" s="1251"/>
      <c r="BRB91" s="1251"/>
      <c r="BRC91" s="1251"/>
      <c r="BRD91" s="1251"/>
      <c r="BRE91" s="1251"/>
      <c r="BRF91" s="1251"/>
      <c r="BRG91" s="1251"/>
      <c r="BRH91" s="1251"/>
      <c r="BRI91" s="1251"/>
      <c r="BRJ91" s="1251"/>
      <c r="BRK91" s="1251"/>
      <c r="BRL91" s="1251"/>
      <c r="BRM91" s="1251"/>
      <c r="BRN91" s="1251"/>
      <c r="BRO91" s="1251"/>
      <c r="BRP91" s="1251"/>
      <c r="BRQ91" s="1251"/>
      <c r="BRR91" s="1251"/>
      <c r="BRS91" s="1251"/>
      <c r="BRT91" s="1251"/>
      <c r="BRU91" s="1251"/>
      <c r="BRV91" s="1251"/>
      <c r="BRW91" s="1251"/>
      <c r="BRX91" s="1251"/>
      <c r="BRY91" s="1251"/>
      <c r="BRZ91" s="1251"/>
      <c r="BSA91" s="1251"/>
      <c r="BSB91" s="1251"/>
      <c r="BSC91" s="1251"/>
      <c r="BSD91" s="1251"/>
      <c r="BSE91" s="1251"/>
      <c r="BSF91" s="1251"/>
      <c r="BSG91" s="1251"/>
      <c r="BSH91" s="1251"/>
      <c r="BSI91" s="1251"/>
      <c r="BSJ91" s="1251"/>
      <c r="BSK91" s="1251"/>
      <c r="BSL91" s="1251"/>
      <c r="BSM91" s="1251"/>
      <c r="BSN91" s="1251"/>
      <c r="BSO91" s="1251"/>
      <c r="BSP91" s="1251"/>
      <c r="BSQ91" s="1251"/>
      <c r="BSR91" s="1251"/>
      <c r="BSS91" s="1251"/>
      <c r="BST91" s="1251"/>
      <c r="BSU91" s="1251"/>
      <c r="BSV91" s="1251"/>
      <c r="BSW91" s="1251"/>
      <c r="BSX91" s="1251"/>
      <c r="BSY91" s="1251"/>
      <c r="BSZ91" s="1251"/>
      <c r="BTA91" s="1251"/>
      <c r="BTB91" s="1251"/>
      <c r="BTC91" s="1251"/>
      <c r="BTD91" s="1251"/>
      <c r="BTE91" s="1251"/>
      <c r="BTF91" s="1251"/>
      <c r="BTG91" s="1251"/>
      <c r="BTH91" s="1251"/>
      <c r="BTI91" s="1251"/>
    </row>
    <row r="92" spans="1:1881" s="1261" customFormat="1" ht="115.5" hidden="1" customHeight="1" thickBot="1" x14ac:dyDescent="0.35">
      <c r="A92" s="1248">
        <v>546</v>
      </c>
      <c r="B92" s="807" t="s">
        <v>1193</v>
      </c>
      <c r="C92" s="807" t="s">
        <v>1194</v>
      </c>
      <c r="D92" s="24" t="s">
        <v>1197</v>
      </c>
      <c r="E92" s="1249" t="e">
        <f>HLOOKUP($D$2,'2020 Data(H)'!$C$1:$CZ$426,196,FALSE)</f>
        <v>#N/A</v>
      </c>
      <c r="F92" s="1263">
        <v>0</v>
      </c>
      <c r="G92" s="727"/>
      <c r="H92" s="730"/>
      <c r="I92" s="760"/>
      <c r="J92" s="1251"/>
      <c r="K92" s="1251"/>
      <c r="L92" s="701"/>
      <c r="M92" s="1251"/>
      <c r="N92" s="1253"/>
      <c r="O92" s="1251"/>
      <c r="P92" s="1251"/>
      <c r="Q92" s="1251"/>
      <c r="R92" s="1251"/>
      <c r="S92" s="1251"/>
      <c r="T92" s="1251"/>
      <c r="U92" s="1251"/>
      <c r="V92" s="1251"/>
      <c r="W92" s="1251"/>
      <c r="X92" s="1251"/>
      <c r="Y92" s="1251"/>
      <c r="Z92" s="1248"/>
      <c r="AA92" s="1248"/>
      <c r="AB92" s="1248"/>
      <c r="AC92" s="1248"/>
      <c r="AD92" s="1248"/>
      <c r="AE92" s="1248"/>
      <c r="AF92" s="1248"/>
      <c r="AG92" s="1248"/>
      <c r="AH92" s="1248"/>
      <c r="AI92" s="1248"/>
      <c r="AJ92" s="1248"/>
      <c r="AK92" s="1248"/>
      <c r="AL92" s="1248"/>
      <c r="AM92" s="1248"/>
      <c r="AN92" s="1248"/>
      <c r="AO92" s="1248"/>
      <c r="AP92" s="1248"/>
      <c r="AQ92" s="1248"/>
      <c r="AR92" s="1248"/>
      <c r="AS92" s="1251"/>
      <c r="AT92" s="1251"/>
      <c r="AU92" s="1251"/>
      <c r="AV92" s="1251"/>
      <c r="AW92" s="1251"/>
      <c r="AX92" s="1251"/>
      <c r="AY92" s="1251"/>
      <c r="AZ92" s="1251"/>
      <c r="BA92" s="1251"/>
      <c r="BB92" s="1251"/>
      <c r="BC92" s="1251"/>
      <c r="BD92" s="1251"/>
      <c r="BE92" s="1251"/>
      <c r="BF92" s="1251"/>
      <c r="BG92" s="1251"/>
      <c r="BH92" s="1251"/>
      <c r="BI92" s="1251"/>
      <c r="BJ92" s="1251"/>
      <c r="BK92" s="1251"/>
      <c r="BL92" s="1251"/>
      <c r="BM92" s="1251"/>
      <c r="BN92" s="1251"/>
      <c r="BO92" s="1251"/>
      <c r="BP92" s="1251"/>
      <c r="BQ92" s="1251"/>
      <c r="BR92" s="1251"/>
      <c r="BS92" s="1251"/>
      <c r="BT92" s="1251"/>
      <c r="BU92" s="1251"/>
      <c r="BV92" s="1251"/>
      <c r="BW92" s="1251"/>
      <c r="BX92" s="1251"/>
      <c r="BY92" s="1251"/>
      <c r="BZ92" s="1251"/>
      <c r="CA92" s="1251"/>
      <c r="CB92" s="1251"/>
      <c r="CC92" s="1251"/>
      <c r="CD92" s="1251"/>
      <c r="CE92" s="1251"/>
      <c r="CF92" s="1251"/>
      <c r="CG92" s="1251"/>
      <c r="CH92" s="1251"/>
      <c r="CI92" s="1251"/>
      <c r="CJ92" s="1251"/>
      <c r="CK92" s="1251"/>
      <c r="CL92" s="1251"/>
      <c r="CM92" s="1251"/>
      <c r="CN92" s="1251"/>
      <c r="CO92" s="1251"/>
      <c r="CP92" s="1251"/>
      <c r="CQ92" s="1251"/>
      <c r="CR92" s="1251"/>
      <c r="CS92" s="1251"/>
      <c r="CT92" s="1251"/>
      <c r="CU92" s="1251"/>
      <c r="CV92" s="1251"/>
      <c r="CW92" s="1251"/>
      <c r="CX92" s="1251"/>
      <c r="CY92" s="1251"/>
      <c r="CZ92" s="1251"/>
      <c r="DA92" s="1251"/>
      <c r="DB92" s="1251"/>
      <c r="DC92" s="1251"/>
      <c r="DD92" s="1251"/>
      <c r="DE92" s="1251"/>
      <c r="DF92" s="1251"/>
      <c r="DG92" s="1251"/>
      <c r="DH92" s="1251"/>
      <c r="DI92" s="1251"/>
      <c r="DJ92" s="1251"/>
      <c r="DK92" s="1251"/>
      <c r="DL92" s="1251"/>
      <c r="DM92" s="1251"/>
      <c r="DN92" s="1251"/>
      <c r="DO92" s="1251"/>
      <c r="DP92" s="1251"/>
      <c r="DQ92" s="1251"/>
      <c r="DR92" s="1251"/>
      <c r="DS92" s="1251"/>
      <c r="DT92" s="1251"/>
      <c r="DU92" s="1251"/>
      <c r="DV92" s="1251"/>
      <c r="DW92" s="1251"/>
      <c r="DX92" s="1251"/>
      <c r="DY92" s="1251"/>
      <c r="DZ92" s="1251"/>
      <c r="EA92" s="1251"/>
      <c r="EB92" s="1251"/>
      <c r="EC92" s="1251"/>
      <c r="ED92" s="1251"/>
      <c r="EE92" s="1251"/>
      <c r="EF92" s="1251"/>
      <c r="EG92" s="1251"/>
      <c r="EH92" s="1251"/>
      <c r="EI92" s="1251"/>
      <c r="EJ92" s="1251"/>
      <c r="EK92" s="1251"/>
      <c r="EL92" s="1251"/>
      <c r="EM92" s="1251"/>
      <c r="EN92" s="1251"/>
      <c r="EO92" s="1251"/>
      <c r="EP92" s="1251"/>
      <c r="EQ92" s="1251"/>
      <c r="ER92" s="1251"/>
      <c r="ES92" s="1251"/>
      <c r="ET92" s="1251"/>
      <c r="EU92" s="1251"/>
      <c r="EV92" s="1251"/>
      <c r="EW92" s="1251"/>
      <c r="EX92" s="1251"/>
      <c r="EY92" s="1251"/>
      <c r="EZ92" s="1251"/>
      <c r="FA92" s="1251"/>
      <c r="FB92" s="1251"/>
      <c r="FC92" s="1251"/>
      <c r="FD92" s="1251"/>
      <c r="FE92" s="1251"/>
      <c r="FF92" s="1251"/>
      <c r="FG92" s="1251"/>
      <c r="FH92" s="1251"/>
      <c r="FI92" s="1251"/>
      <c r="FJ92" s="1251"/>
      <c r="FK92" s="1251"/>
      <c r="FL92" s="1251"/>
      <c r="FM92" s="1251"/>
      <c r="FN92" s="1251"/>
      <c r="FO92" s="1251"/>
      <c r="FP92" s="1251"/>
      <c r="FQ92" s="1251"/>
      <c r="FR92" s="1251"/>
      <c r="FS92" s="1251"/>
      <c r="FT92" s="1251"/>
      <c r="FU92" s="1251"/>
      <c r="FV92" s="1251"/>
      <c r="FW92" s="1251"/>
      <c r="FX92" s="1251"/>
      <c r="FY92" s="1251"/>
      <c r="FZ92" s="1251"/>
      <c r="GA92" s="1251"/>
      <c r="GB92" s="1251"/>
      <c r="GC92" s="1251"/>
      <c r="GD92" s="1251"/>
      <c r="GE92" s="1251"/>
      <c r="GF92" s="1251"/>
      <c r="GG92" s="1251"/>
      <c r="GH92" s="1251"/>
      <c r="GI92" s="1251"/>
      <c r="GJ92" s="1251"/>
      <c r="GK92" s="1251"/>
      <c r="GL92" s="1251"/>
      <c r="GM92" s="1251"/>
      <c r="GN92" s="1251"/>
      <c r="GO92" s="1251"/>
      <c r="GP92" s="1251"/>
      <c r="GQ92" s="1251"/>
      <c r="GR92" s="1251"/>
      <c r="GS92" s="1251"/>
      <c r="GT92" s="1251"/>
      <c r="GU92" s="1251"/>
      <c r="GV92" s="1251"/>
      <c r="GW92" s="1251"/>
      <c r="GX92" s="1251"/>
      <c r="GY92" s="1251"/>
      <c r="GZ92" s="1251"/>
      <c r="HA92" s="1251"/>
      <c r="HB92" s="1251"/>
      <c r="HC92" s="1251"/>
      <c r="HD92" s="1251"/>
      <c r="HE92" s="1251"/>
      <c r="HF92" s="1251"/>
      <c r="HG92" s="1251"/>
      <c r="HH92" s="1251"/>
      <c r="HI92" s="1251"/>
      <c r="HJ92" s="1251"/>
      <c r="HK92" s="1251"/>
      <c r="HL92" s="1251"/>
      <c r="HM92" s="1251"/>
      <c r="HN92" s="1251"/>
      <c r="HO92" s="1251"/>
      <c r="HP92" s="1251"/>
      <c r="HQ92" s="1251"/>
      <c r="HR92" s="1251"/>
      <c r="HS92" s="1251"/>
      <c r="HT92" s="1251"/>
      <c r="HU92" s="1251"/>
      <c r="HV92" s="1251"/>
      <c r="HW92" s="1251"/>
      <c r="HX92" s="1251"/>
      <c r="HY92" s="1251"/>
      <c r="HZ92" s="1251"/>
      <c r="IA92" s="1251"/>
      <c r="IB92" s="1251"/>
      <c r="IC92" s="1251"/>
      <c r="ID92" s="1251"/>
      <c r="IE92" s="1251"/>
      <c r="IF92" s="1251"/>
      <c r="IG92" s="1251"/>
      <c r="IH92" s="1251"/>
      <c r="II92" s="1251"/>
      <c r="IJ92" s="1251"/>
      <c r="IK92" s="1251"/>
      <c r="IL92" s="1251"/>
      <c r="IM92" s="1251"/>
      <c r="IN92" s="1251"/>
      <c r="IO92" s="1251"/>
      <c r="IP92" s="1251"/>
      <c r="IQ92" s="1251"/>
      <c r="IR92" s="1251"/>
      <c r="IS92" s="1251"/>
      <c r="IT92" s="1251"/>
      <c r="IU92" s="1251"/>
      <c r="IV92" s="1251"/>
      <c r="IW92" s="1251"/>
      <c r="IX92" s="1251"/>
      <c r="IY92" s="1251"/>
      <c r="IZ92" s="1251"/>
      <c r="JA92" s="1251"/>
      <c r="JB92" s="1251"/>
      <c r="JC92" s="1251"/>
      <c r="JD92" s="1251"/>
      <c r="JE92" s="1251"/>
      <c r="JF92" s="1251"/>
      <c r="JG92" s="1251"/>
      <c r="JH92" s="1251"/>
      <c r="JI92" s="1251"/>
      <c r="JJ92" s="1251"/>
      <c r="JK92" s="1251"/>
      <c r="JL92" s="1251"/>
      <c r="JM92" s="1251"/>
      <c r="JN92" s="1251"/>
      <c r="JO92" s="1251"/>
      <c r="JP92" s="1251"/>
      <c r="JQ92" s="1251"/>
      <c r="JR92" s="1251"/>
      <c r="JS92" s="1251"/>
      <c r="JT92" s="1251"/>
      <c r="JU92" s="1251"/>
      <c r="JV92" s="1251"/>
      <c r="JW92" s="1251"/>
      <c r="JX92" s="1251"/>
      <c r="JY92" s="1251"/>
      <c r="JZ92" s="1251"/>
      <c r="KA92" s="1251"/>
      <c r="KB92" s="1251"/>
      <c r="KC92" s="1251"/>
      <c r="KD92" s="1251"/>
      <c r="KE92" s="1251"/>
      <c r="KF92" s="1251"/>
      <c r="KG92" s="1251"/>
      <c r="KH92" s="1251"/>
      <c r="KI92" s="1251"/>
      <c r="KJ92" s="1251"/>
      <c r="KK92" s="1251"/>
      <c r="KL92" s="1251"/>
      <c r="KM92" s="1251"/>
      <c r="KN92" s="1251"/>
      <c r="KO92" s="1251"/>
      <c r="KP92" s="1251"/>
      <c r="KQ92" s="1251"/>
      <c r="KR92" s="1251"/>
      <c r="KS92" s="1251"/>
      <c r="KT92" s="1251"/>
      <c r="KU92" s="1251"/>
      <c r="KV92" s="1251"/>
      <c r="KW92" s="1251"/>
      <c r="KX92" s="1251"/>
      <c r="KY92" s="1251"/>
      <c r="KZ92" s="1251"/>
      <c r="LA92" s="1251"/>
      <c r="LB92" s="1251"/>
      <c r="LC92" s="1251"/>
      <c r="LD92" s="1251"/>
      <c r="LE92" s="1251"/>
      <c r="LF92" s="1251"/>
      <c r="LG92" s="1251"/>
      <c r="LH92" s="1251"/>
      <c r="LI92" s="1251"/>
      <c r="LJ92" s="1251"/>
      <c r="LK92" s="1251"/>
      <c r="LL92" s="1251"/>
      <c r="LM92" s="1251"/>
      <c r="LN92" s="1251"/>
      <c r="LO92" s="1251"/>
      <c r="LP92" s="1251"/>
      <c r="LQ92" s="1251"/>
      <c r="LR92" s="1251"/>
      <c r="LS92" s="1251"/>
      <c r="LT92" s="1251"/>
      <c r="LU92" s="1251"/>
      <c r="LV92" s="1251"/>
      <c r="LW92" s="1251"/>
      <c r="LX92" s="1251"/>
      <c r="LY92" s="1251"/>
      <c r="LZ92" s="1251"/>
      <c r="MA92" s="1251"/>
      <c r="MB92" s="1251"/>
      <c r="MC92" s="1251"/>
      <c r="MD92" s="1251"/>
      <c r="ME92" s="1251"/>
      <c r="MF92" s="1251"/>
      <c r="MG92" s="1251"/>
      <c r="MH92" s="1251"/>
      <c r="MI92" s="1251"/>
      <c r="MJ92" s="1251"/>
      <c r="MK92" s="1251"/>
      <c r="ML92" s="1251"/>
      <c r="MM92" s="1251"/>
      <c r="MN92" s="1251"/>
      <c r="MO92" s="1251"/>
      <c r="MP92" s="1251"/>
      <c r="MQ92" s="1251"/>
      <c r="MR92" s="1251"/>
      <c r="MS92" s="1251"/>
      <c r="MT92" s="1251"/>
      <c r="MU92" s="1251"/>
      <c r="MV92" s="1251"/>
      <c r="MW92" s="1251"/>
      <c r="MX92" s="1251"/>
      <c r="MY92" s="1251"/>
      <c r="MZ92" s="1251"/>
      <c r="NA92" s="1251"/>
      <c r="NB92" s="1251"/>
      <c r="NC92" s="1251"/>
      <c r="ND92" s="1251"/>
      <c r="NE92" s="1251"/>
      <c r="NF92" s="1251"/>
      <c r="NG92" s="1251"/>
      <c r="NH92" s="1251"/>
      <c r="NI92" s="1251"/>
      <c r="NJ92" s="1251"/>
      <c r="NK92" s="1251"/>
      <c r="NL92" s="1251"/>
      <c r="NM92" s="1251"/>
      <c r="NN92" s="1251"/>
      <c r="NO92" s="1251"/>
      <c r="NP92" s="1251"/>
      <c r="NQ92" s="1251"/>
      <c r="NR92" s="1251"/>
      <c r="NS92" s="1251"/>
      <c r="NT92" s="1251"/>
      <c r="NU92" s="1251"/>
      <c r="NV92" s="1251"/>
      <c r="NW92" s="1251"/>
      <c r="NX92" s="1251"/>
      <c r="NY92" s="1251"/>
      <c r="NZ92" s="1251"/>
      <c r="OA92" s="1251"/>
      <c r="OB92" s="1251"/>
      <c r="OC92" s="1251"/>
      <c r="OD92" s="1251"/>
      <c r="OE92" s="1251"/>
      <c r="OF92" s="1251"/>
      <c r="OG92" s="1251"/>
      <c r="OH92" s="1251"/>
      <c r="OI92" s="1251"/>
      <c r="OJ92" s="1251"/>
      <c r="OK92" s="1251"/>
      <c r="OL92" s="1251"/>
      <c r="OM92" s="1251"/>
      <c r="ON92" s="1251"/>
      <c r="OO92" s="1251"/>
      <c r="OP92" s="1251"/>
      <c r="OQ92" s="1251"/>
      <c r="OR92" s="1251"/>
      <c r="OS92" s="1251"/>
      <c r="OT92" s="1251"/>
      <c r="OU92" s="1251"/>
      <c r="OV92" s="1251"/>
      <c r="OW92" s="1251"/>
      <c r="OX92" s="1251"/>
      <c r="OY92" s="1251"/>
      <c r="OZ92" s="1251"/>
      <c r="PA92" s="1251"/>
      <c r="PB92" s="1251"/>
      <c r="PC92" s="1251"/>
      <c r="PD92" s="1251"/>
      <c r="PE92" s="1251"/>
      <c r="PF92" s="1251"/>
      <c r="PG92" s="1251"/>
      <c r="PH92" s="1251"/>
      <c r="PI92" s="1251"/>
      <c r="PJ92" s="1251"/>
      <c r="PK92" s="1251"/>
      <c r="PL92" s="1251"/>
      <c r="PM92" s="1251"/>
      <c r="PN92" s="1251"/>
      <c r="PO92" s="1251"/>
      <c r="PP92" s="1251"/>
      <c r="PQ92" s="1251"/>
      <c r="PR92" s="1251"/>
      <c r="PS92" s="1251"/>
      <c r="PT92" s="1251"/>
      <c r="PU92" s="1251"/>
      <c r="PV92" s="1251"/>
      <c r="PW92" s="1251"/>
      <c r="PX92" s="1251"/>
      <c r="PY92" s="1251"/>
      <c r="PZ92" s="1251"/>
      <c r="QA92" s="1251"/>
      <c r="QB92" s="1251"/>
      <c r="QC92" s="1251"/>
      <c r="QD92" s="1251"/>
      <c r="QE92" s="1251"/>
      <c r="QF92" s="1251"/>
      <c r="QG92" s="1251"/>
      <c r="QH92" s="1251"/>
      <c r="QI92" s="1251"/>
      <c r="QJ92" s="1251"/>
      <c r="QK92" s="1251"/>
      <c r="QL92" s="1251"/>
      <c r="QM92" s="1251"/>
      <c r="QN92" s="1251"/>
      <c r="QO92" s="1251"/>
      <c r="QP92" s="1251"/>
      <c r="QQ92" s="1251"/>
      <c r="QR92" s="1251"/>
      <c r="QS92" s="1251"/>
      <c r="QT92" s="1251"/>
      <c r="QU92" s="1251"/>
      <c r="QV92" s="1251"/>
      <c r="QW92" s="1251"/>
      <c r="QX92" s="1251"/>
      <c r="QY92" s="1251"/>
      <c r="QZ92" s="1251"/>
      <c r="RA92" s="1251"/>
      <c r="RB92" s="1251"/>
      <c r="RC92" s="1251"/>
      <c r="RD92" s="1251"/>
      <c r="RE92" s="1251"/>
      <c r="RF92" s="1251"/>
      <c r="RG92" s="1251"/>
      <c r="RH92" s="1251"/>
      <c r="RI92" s="1251"/>
      <c r="RJ92" s="1251"/>
      <c r="RK92" s="1251"/>
      <c r="RL92" s="1251"/>
      <c r="RM92" s="1251"/>
      <c r="RN92" s="1251"/>
      <c r="RO92" s="1251"/>
      <c r="RP92" s="1251"/>
      <c r="RQ92" s="1251"/>
      <c r="RR92" s="1251"/>
      <c r="RS92" s="1251"/>
      <c r="RT92" s="1251"/>
      <c r="RU92" s="1251"/>
      <c r="RV92" s="1251"/>
      <c r="RW92" s="1251"/>
      <c r="RX92" s="1251"/>
      <c r="RY92" s="1251"/>
      <c r="RZ92" s="1251"/>
      <c r="SA92" s="1251"/>
      <c r="SB92" s="1251"/>
      <c r="SC92" s="1251"/>
      <c r="SD92" s="1251"/>
      <c r="SE92" s="1251"/>
      <c r="SF92" s="1251"/>
      <c r="SG92" s="1251"/>
      <c r="SH92" s="1251"/>
      <c r="SI92" s="1251"/>
      <c r="SJ92" s="1251"/>
      <c r="SK92" s="1251"/>
      <c r="SL92" s="1251"/>
      <c r="SM92" s="1251"/>
      <c r="SN92" s="1251"/>
      <c r="SO92" s="1251"/>
      <c r="SP92" s="1251"/>
      <c r="SQ92" s="1251"/>
      <c r="SR92" s="1251"/>
      <c r="SS92" s="1251"/>
      <c r="ST92" s="1251"/>
      <c r="SU92" s="1251"/>
      <c r="SV92" s="1251"/>
      <c r="SW92" s="1251"/>
      <c r="SX92" s="1251"/>
      <c r="SY92" s="1251"/>
      <c r="SZ92" s="1251"/>
      <c r="TA92" s="1251"/>
      <c r="TB92" s="1251"/>
      <c r="TC92" s="1251"/>
      <c r="TD92" s="1251"/>
      <c r="TE92" s="1251"/>
      <c r="TF92" s="1251"/>
      <c r="TG92" s="1251"/>
      <c r="TH92" s="1251"/>
      <c r="TI92" s="1251"/>
      <c r="TJ92" s="1251"/>
      <c r="TK92" s="1251"/>
      <c r="TL92" s="1251"/>
      <c r="TM92" s="1251"/>
      <c r="TN92" s="1251"/>
      <c r="TO92" s="1251"/>
      <c r="TP92" s="1251"/>
      <c r="TQ92" s="1251"/>
      <c r="TR92" s="1251"/>
      <c r="TS92" s="1251"/>
      <c r="TT92" s="1251"/>
      <c r="TU92" s="1251"/>
      <c r="TV92" s="1251"/>
      <c r="TW92" s="1251"/>
      <c r="TX92" s="1251"/>
      <c r="TY92" s="1251"/>
      <c r="TZ92" s="1251"/>
      <c r="UA92" s="1251"/>
      <c r="UB92" s="1251"/>
      <c r="UC92" s="1251"/>
      <c r="UD92" s="1251"/>
      <c r="UE92" s="1251"/>
      <c r="UF92" s="1251"/>
      <c r="UG92" s="1251"/>
      <c r="UH92" s="1251"/>
      <c r="UI92" s="1251"/>
      <c r="UJ92" s="1251"/>
      <c r="UK92" s="1251"/>
      <c r="UL92" s="1251"/>
      <c r="UM92" s="1251"/>
      <c r="UN92" s="1251"/>
      <c r="UO92" s="1251"/>
      <c r="UP92" s="1251"/>
      <c r="UQ92" s="1251"/>
      <c r="UR92" s="1251"/>
      <c r="US92" s="1251"/>
      <c r="UT92" s="1251"/>
      <c r="UU92" s="1251"/>
      <c r="UV92" s="1251"/>
      <c r="UW92" s="1251"/>
      <c r="UX92" s="1251"/>
      <c r="UY92" s="1251"/>
      <c r="UZ92" s="1251"/>
      <c r="VA92" s="1251"/>
      <c r="VB92" s="1251"/>
      <c r="VC92" s="1251"/>
      <c r="VD92" s="1251"/>
      <c r="VE92" s="1251"/>
      <c r="VF92" s="1251"/>
      <c r="VG92" s="1251"/>
      <c r="VH92" s="1251"/>
      <c r="VI92" s="1251"/>
      <c r="VJ92" s="1251"/>
      <c r="VK92" s="1251"/>
      <c r="VL92" s="1251"/>
      <c r="VM92" s="1251"/>
      <c r="VN92" s="1251"/>
      <c r="VO92" s="1251"/>
      <c r="VP92" s="1251"/>
      <c r="VQ92" s="1251"/>
      <c r="VR92" s="1251"/>
      <c r="VS92" s="1251"/>
      <c r="VT92" s="1251"/>
      <c r="VU92" s="1251"/>
      <c r="VV92" s="1251"/>
      <c r="VW92" s="1251"/>
      <c r="VX92" s="1251"/>
      <c r="VY92" s="1251"/>
      <c r="VZ92" s="1251"/>
      <c r="WA92" s="1251"/>
      <c r="WB92" s="1251"/>
      <c r="WC92" s="1251"/>
      <c r="WD92" s="1251"/>
      <c r="WE92" s="1251"/>
      <c r="WF92" s="1251"/>
      <c r="WG92" s="1251"/>
      <c r="WH92" s="1251"/>
      <c r="WI92" s="1251"/>
      <c r="WJ92" s="1251"/>
      <c r="WK92" s="1251"/>
      <c r="WL92" s="1251"/>
      <c r="WM92" s="1251"/>
      <c r="WN92" s="1251"/>
      <c r="WO92" s="1251"/>
      <c r="WP92" s="1251"/>
      <c r="WQ92" s="1251"/>
      <c r="WR92" s="1251"/>
      <c r="WS92" s="1251"/>
      <c r="WT92" s="1251"/>
      <c r="WU92" s="1251"/>
      <c r="WV92" s="1251"/>
      <c r="WW92" s="1251"/>
      <c r="WX92" s="1251"/>
      <c r="WY92" s="1251"/>
      <c r="WZ92" s="1251"/>
      <c r="XA92" s="1251"/>
      <c r="XB92" s="1251"/>
      <c r="XC92" s="1251"/>
      <c r="XD92" s="1251"/>
      <c r="XE92" s="1251"/>
      <c r="XF92" s="1251"/>
      <c r="XG92" s="1251"/>
      <c r="XH92" s="1251"/>
      <c r="XI92" s="1251"/>
      <c r="XJ92" s="1251"/>
      <c r="XK92" s="1251"/>
      <c r="XL92" s="1251"/>
      <c r="XM92" s="1251"/>
      <c r="XN92" s="1251"/>
      <c r="XO92" s="1251"/>
      <c r="XP92" s="1251"/>
      <c r="XQ92" s="1251"/>
      <c r="XR92" s="1251"/>
      <c r="XS92" s="1251"/>
      <c r="XT92" s="1251"/>
      <c r="XU92" s="1251"/>
      <c r="XV92" s="1251"/>
      <c r="XW92" s="1251"/>
      <c r="XX92" s="1251"/>
      <c r="XY92" s="1251"/>
      <c r="XZ92" s="1251"/>
      <c r="YA92" s="1251"/>
      <c r="YB92" s="1251"/>
      <c r="YC92" s="1251"/>
      <c r="YD92" s="1251"/>
      <c r="YE92" s="1251"/>
      <c r="YF92" s="1251"/>
      <c r="YG92" s="1251"/>
      <c r="YH92" s="1251"/>
      <c r="YI92" s="1251"/>
      <c r="YJ92" s="1251"/>
      <c r="YK92" s="1251"/>
      <c r="YL92" s="1251"/>
      <c r="YM92" s="1251"/>
      <c r="YN92" s="1251"/>
      <c r="YO92" s="1251"/>
      <c r="YP92" s="1251"/>
      <c r="YQ92" s="1251"/>
      <c r="YR92" s="1251"/>
      <c r="YS92" s="1251"/>
      <c r="YT92" s="1251"/>
      <c r="YU92" s="1251"/>
      <c r="YV92" s="1251"/>
      <c r="YW92" s="1251"/>
      <c r="YX92" s="1251"/>
      <c r="YY92" s="1251"/>
      <c r="YZ92" s="1251"/>
      <c r="ZA92" s="1251"/>
      <c r="ZB92" s="1251"/>
      <c r="ZC92" s="1251"/>
      <c r="ZD92" s="1251"/>
      <c r="ZE92" s="1251"/>
      <c r="ZF92" s="1251"/>
      <c r="ZG92" s="1251"/>
      <c r="ZH92" s="1251"/>
      <c r="ZI92" s="1251"/>
      <c r="ZJ92" s="1251"/>
      <c r="ZK92" s="1251"/>
      <c r="ZL92" s="1251"/>
      <c r="ZM92" s="1251"/>
      <c r="ZN92" s="1251"/>
      <c r="ZO92" s="1251"/>
      <c r="ZP92" s="1251"/>
      <c r="ZQ92" s="1251"/>
      <c r="ZR92" s="1251"/>
      <c r="ZS92" s="1251"/>
      <c r="ZT92" s="1251"/>
      <c r="ZU92" s="1251"/>
      <c r="ZV92" s="1251"/>
      <c r="ZW92" s="1251"/>
      <c r="ZX92" s="1251"/>
      <c r="ZY92" s="1251"/>
      <c r="ZZ92" s="1251"/>
      <c r="AAA92" s="1251"/>
      <c r="AAB92" s="1251"/>
      <c r="AAC92" s="1251"/>
      <c r="AAD92" s="1251"/>
      <c r="AAE92" s="1251"/>
      <c r="AAF92" s="1251"/>
      <c r="AAG92" s="1251"/>
      <c r="AAH92" s="1251"/>
      <c r="AAI92" s="1251"/>
      <c r="AAJ92" s="1251"/>
      <c r="AAK92" s="1251"/>
      <c r="AAL92" s="1251"/>
      <c r="AAM92" s="1251"/>
      <c r="AAN92" s="1251"/>
      <c r="AAO92" s="1251"/>
      <c r="AAP92" s="1251"/>
      <c r="AAQ92" s="1251"/>
      <c r="AAR92" s="1251"/>
      <c r="AAS92" s="1251"/>
      <c r="AAT92" s="1251"/>
      <c r="AAU92" s="1251"/>
      <c r="AAV92" s="1251"/>
      <c r="AAW92" s="1251"/>
      <c r="AAX92" s="1251"/>
      <c r="AAY92" s="1251"/>
      <c r="AAZ92" s="1251"/>
      <c r="ABA92" s="1251"/>
      <c r="ABB92" s="1251"/>
      <c r="ABC92" s="1251"/>
      <c r="ABD92" s="1251"/>
      <c r="ABE92" s="1251"/>
      <c r="ABF92" s="1251"/>
      <c r="ABG92" s="1251"/>
      <c r="ABH92" s="1251"/>
      <c r="ABI92" s="1251"/>
      <c r="ABJ92" s="1251"/>
      <c r="ABK92" s="1251"/>
      <c r="ABL92" s="1251"/>
      <c r="ABM92" s="1251"/>
      <c r="ABN92" s="1251"/>
      <c r="ABO92" s="1251"/>
      <c r="ABP92" s="1251"/>
      <c r="ABQ92" s="1251"/>
      <c r="ABR92" s="1251"/>
      <c r="ABS92" s="1251"/>
      <c r="ABT92" s="1251"/>
      <c r="ABU92" s="1251"/>
      <c r="ABV92" s="1251"/>
      <c r="ABW92" s="1251"/>
      <c r="ABX92" s="1251"/>
      <c r="ABY92" s="1251"/>
      <c r="ABZ92" s="1251"/>
      <c r="ACA92" s="1251"/>
      <c r="ACB92" s="1251"/>
      <c r="ACC92" s="1251"/>
      <c r="ACD92" s="1251"/>
      <c r="ACE92" s="1251"/>
      <c r="ACF92" s="1251"/>
      <c r="ACG92" s="1251"/>
      <c r="ACH92" s="1251"/>
      <c r="ACI92" s="1251"/>
      <c r="ACJ92" s="1251"/>
      <c r="ACK92" s="1251"/>
      <c r="ACL92" s="1251"/>
      <c r="ACM92" s="1251"/>
      <c r="ACN92" s="1251"/>
      <c r="ACO92" s="1251"/>
      <c r="ACP92" s="1251"/>
      <c r="ACQ92" s="1251"/>
      <c r="ACR92" s="1251"/>
      <c r="ACS92" s="1251"/>
      <c r="ACT92" s="1251"/>
      <c r="ACU92" s="1251"/>
      <c r="ACV92" s="1251"/>
      <c r="ACW92" s="1251"/>
      <c r="ACX92" s="1251"/>
      <c r="ACY92" s="1251"/>
      <c r="ACZ92" s="1251"/>
      <c r="ADA92" s="1251"/>
      <c r="ADB92" s="1251"/>
      <c r="ADC92" s="1251"/>
      <c r="ADD92" s="1251"/>
      <c r="ADE92" s="1251"/>
      <c r="ADF92" s="1251"/>
      <c r="ADG92" s="1251"/>
      <c r="ADH92" s="1251"/>
      <c r="ADI92" s="1251"/>
      <c r="ADJ92" s="1251"/>
      <c r="ADK92" s="1251"/>
      <c r="ADL92" s="1251"/>
      <c r="ADM92" s="1251"/>
      <c r="ADN92" s="1251"/>
      <c r="ADO92" s="1251"/>
      <c r="ADP92" s="1251"/>
      <c r="ADQ92" s="1251"/>
      <c r="ADR92" s="1251"/>
      <c r="ADS92" s="1251"/>
      <c r="ADT92" s="1251"/>
      <c r="ADU92" s="1251"/>
      <c r="ADV92" s="1251"/>
      <c r="ADW92" s="1251"/>
      <c r="ADX92" s="1251"/>
      <c r="ADY92" s="1251"/>
      <c r="ADZ92" s="1251"/>
      <c r="AEA92" s="1251"/>
      <c r="AEB92" s="1251"/>
      <c r="AEC92" s="1251"/>
      <c r="AED92" s="1251"/>
      <c r="AEE92" s="1251"/>
      <c r="AEF92" s="1251"/>
      <c r="AEG92" s="1251"/>
      <c r="AEH92" s="1251"/>
      <c r="AEI92" s="1251"/>
      <c r="AEJ92" s="1251"/>
      <c r="AEK92" s="1251"/>
      <c r="AEL92" s="1251"/>
      <c r="AEM92" s="1251"/>
      <c r="AEN92" s="1251"/>
      <c r="AEO92" s="1251"/>
      <c r="AEP92" s="1251"/>
      <c r="AEQ92" s="1251"/>
      <c r="AER92" s="1251"/>
      <c r="AES92" s="1251"/>
      <c r="AET92" s="1251"/>
      <c r="AEU92" s="1251"/>
      <c r="AEV92" s="1251"/>
      <c r="AEW92" s="1251"/>
      <c r="AEX92" s="1251"/>
      <c r="AEY92" s="1251"/>
      <c r="AEZ92" s="1251"/>
      <c r="AFA92" s="1251"/>
      <c r="AFB92" s="1251"/>
      <c r="AFC92" s="1251"/>
      <c r="AFD92" s="1251"/>
      <c r="AFE92" s="1251"/>
      <c r="AFF92" s="1251"/>
      <c r="AFG92" s="1251"/>
      <c r="AFH92" s="1251"/>
      <c r="AFI92" s="1251"/>
      <c r="AFJ92" s="1251"/>
      <c r="AFK92" s="1251"/>
      <c r="AFL92" s="1251"/>
      <c r="AFM92" s="1251"/>
      <c r="AFN92" s="1251"/>
      <c r="AFO92" s="1251"/>
      <c r="AFP92" s="1251"/>
      <c r="AFQ92" s="1251"/>
      <c r="AFR92" s="1251"/>
      <c r="AFS92" s="1251"/>
      <c r="AFT92" s="1251"/>
      <c r="AFU92" s="1251"/>
      <c r="AFV92" s="1251"/>
      <c r="AFW92" s="1251"/>
      <c r="AFX92" s="1251"/>
      <c r="AFY92" s="1251"/>
      <c r="AFZ92" s="1251"/>
      <c r="AGA92" s="1251"/>
      <c r="AGB92" s="1251"/>
      <c r="AGC92" s="1251"/>
      <c r="AGD92" s="1251"/>
      <c r="AGE92" s="1251"/>
      <c r="AGF92" s="1251"/>
      <c r="AGG92" s="1251"/>
      <c r="AGH92" s="1251"/>
      <c r="AGI92" s="1251"/>
      <c r="AGJ92" s="1251"/>
      <c r="AGK92" s="1251"/>
      <c r="AGL92" s="1251"/>
      <c r="AGM92" s="1251"/>
      <c r="AGN92" s="1251"/>
      <c r="AGO92" s="1251"/>
      <c r="AGP92" s="1251"/>
      <c r="AGQ92" s="1251"/>
      <c r="AGR92" s="1251"/>
      <c r="AGS92" s="1251"/>
      <c r="AGT92" s="1251"/>
      <c r="AGU92" s="1251"/>
      <c r="AGV92" s="1251"/>
      <c r="AGW92" s="1251"/>
      <c r="AGX92" s="1251"/>
      <c r="AGY92" s="1251"/>
      <c r="AGZ92" s="1251"/>
      <c r="AHA92" s="1251"/>
      <c r="AHB92" s="1251"/>
      <c r="AHC92" s="1251"/>
      <c r="AHD92" s="1251"/>
      <c r="AHE92" s="1251"/>
      <c r="AHF92" s="1251"/>
      <c r="AHG92" s="1251"/>
      <c r="AHH92" s="1251"/>
      <c r="AHI92" s="1251"/>
      <c r="AHJ92" s="1251"/>
      <c r="AHK92" s="1251"/>
      <c r="AHL92" s="1251"/>
      <c r="AHM92" s="1251"/>
      <c r="AHN92" s="1251"/>
      <c r="AHO92" s="1251"/>
      <c r="AHP92" s="1251"/>
      <c r="AHQ92" s="1251"/>
      <c r="AHR92" s="1251"/>
      <c r="AHS92" s="1251"/>
      <c r="AHT92" s="1251"/>
      <c r="AHU92" s="1251"/>
      <c r="AHV92" s="1251"/>
      <c r="AHW92" s="1251"/>
      <c r="AHX92" s="1251"/>
      <c r="AHY92" s="1251"/>
      <c r="AHZ92" s="1251"/>
      <c r="AIA92" s="1251"/>
      <c r="AIB92" s="1251"/>
      <c r="AIC92" s="1251"/>
      <c r="AID92" s="1251"/>
      <c r="AIE92" s="1251"/>
      <c r="AIF92" s="1251"/>
      <c r="AIG92" s="1251"/>
      <c r="AIH92" s="1251"/>
      <c r="AII92" s="1251"/>
      <c r="AIJ92" s="1251"/>
      <c r="AIK92" s="1251"/>
      <c r="AIL92" s="1251"/>
      <c r="AIM92" s="1251"/>
      <c r="AIN92" s="1251"/>
      <c r="AIO92" s="1251"/>
      <c r="AIP92" s="1251"/>
      <c r="AIQ92" s="1251"/>
      <c r="AIR92" s="1251"/>
      <c r="AIS92" s="1251"/>
      <c r="AIT92" s="1251"/>
      <c r="AIU92" s="1251"/>
      <c r="AIV92" s="1251"/>
      <c r="AIW92" s="1251"/>
      <c r="AIX92" s="1251"/>
      <c r="AIY92" s="1251"/>
      <c r="AIZ92" s="1251"/>
      <c r="AJA92" s="1251"/>
      <c r="AJB92" s="1251"/>
      <c r="AJC92" s="1251"/>
      <c r="AJD92" s="1251"/>
      <c r="AJE92" s="1251"/>
      <c r="AJF92" s="1251"/>
      <c r="AJG92" s="1251"/>
      <c r="AJH92" s="1251"/>
      <c r="AJI92" s="1251"/>
      <c r="AJJ92" s="1251"/>
      <c r="AJK92" s="1251"/>
      <c r="AJL92" s="1251"/>
      <c r="AJM92" s="1251"/>
      <c r="AJN92" s="1251"/>
      <c r="AJO92" s="1251"/>
      <c r="AJP92" s="1251"/>
      <c r="AJQ92" s="1251"/>
      <c r="AJR92" s="1251"/>
      <c r="AJS92" s="1251"/>
      <c r="AJT92" s="1251"/>
      <c r="AJU92" s="1251"/>
      <c r="AJV92" s="1251"/>
      <c r="AJW92" s="1251"/>
      <c r="AJX92" s="1251"/>
      <c r="AJY92" s="1251"/>
      <c r="AJZ92" s="1251"/>
      <c r="AKA92" s="1251"/>
      <c r="AKB92" s="1251"/>
      <c r="AKC92" s="1251"/>
      <c r="AKD92" s="1251"/>
      <c r="AKE92" s="1251"/>
      <c r="AKF92" s="1251"/>
      <c r="AKG92" s="1251"/>
      <c r="AKH92" s="1251"/>
      <c r="AKI92" s="1251"/>
      <c r="AKJ92" s="1251"/>
      <c r="AKK92" s="1251"/>
      <c r="AKL92" s="1251"/>
      <c r="AKM92" s="1251"/>
      <c r="AKN92" s="1251"/>
      <c r="AKO92" s="1251"/>
      <c r="AKP92" s="1251"/>
      <c r="AKQ92" s="1251"/>
      <c r="AKR92" s="1251"/>
      <c r="AKS92" s="1251"/>
      <c r="AKT92" s="1251"/>
      <c r="AKU92" s="1251"/>
      <c r="AKV92" s="1251"/>
      <c r="AKW92" s="1251"/>
      <c r="AKX92" s="1251"/>
      <c r="AKY92" s="1251"/>
      <c r="AKZ92" s="1251"/>
      <c r="ALA92" s="1251"/>
      <c r="ALB92" s="1251"/>
      <c r="ALC92" s="1251"/>
      <c r="ALD92" s="1251"/>
      <c r="ALE92" s="1251"/>
      <c r="ALF92" s="1251"/>
      <c r="ALG92" s="1251"/>
      <c r="ALH92" s="1251"/>
      <c r="ALI92" s="1251"/>
      <c r="ALJ92" s="1251"/>
      <c r="ALK92" s="1251"/>
      <c r="ALL92" s="1251"/>
      <c r="ALM92" s="1251"/>
      <c r="ALN92" s="1251"/>
      <c r="ALO92" s="1251"/>
      <c r="ALP92" s="1251"/>
      <c r="ALQ92" s="1251"/>
      <c r="ALR92" s="1251"/>
      <c r="ALS92" s="1251"/>
      <c r="ALT92" s="1251"/>
      <c r="ALU92" s="1251"/>
      <c r="ALV92" s="1251"/>
      <c r="ALW92" s="1251"/>
      <c r="ALX92" s="1251"/>
      <c r="ALY92" s="1251"/>
      <c r="ALZ92" s="1251"/>
      <c r="AMA92" s="1251"/>
      <c r="AMB92" s="1251"/>
      <c r="AMC92" s="1251"/>
      <c r="AMD92" s="1251"/>
      <c r="AME92" s="1251"/>
      <c r="AMF92" s="1251"/>
      <c r="AMG92" s="1251"/>
      <c r="AMH92" s="1251"/>
      <c r="AMI92" s="1251"/>
      <c r="AMJ92" s="1251"/>
      <c r="AMK92" s="1251"/>
      <c r="AML92" s="1251"/>
      <c r="AMM92" s="1251"/>
      <c r="AMN92" s="1251"/>
      <c r="AMO92" s="1251"/>
      <c r="AMP92" s="1251"/>
      <c r="AMQ92" s="1251"/>
      <c r="AMR92" s="1251"/>
      <c r="AMS92" s="1251"/>
      <c r="AMT92" s="1251"/>
      <c r="AMU92" s="1251"/>
      <c r="AMV92" s="1251"/>
      <c r="AMW92" s="1251"/>
      <c r="AMX92" s="1251"/>
      <c r="AMY92" s="1251"/>
      <c r="AMZ92" s="1251"/>
      <c r="ANA92" s="1251"/>
      <c r="ANB92" s="1251"/>
      <c r="ANC92" s="1251"/>
      <c r="AND92" s="1251"/>
      <c r="ANE92" s="1251"/>
      <c r="ANF92" s="1251"/>
      <c r="ANG92" s="1251"/>
      <c r="ANH92" s="1251"/>
      <c r="ANI92" s="1251"/>
      <c r="ANJ92" s="1251"/>
      <c r="ANK92" s="1251"/>
      <c r="ANL92" s="1251"/>
      <c r="ANM92" s="1251"/>
      <c r="ANN92" s="1251"/>
      <c r="ANO92" s="1251"/>
      <c r="ANP92" s="1251"/>
      <c r="ANQ92" s="1251"/>
      <c r="ANR92" s="1251"/>
      <c r="ANS92" s="1251"/>
      <c r="ANT92" s="1251"/>
      <c r="ANU92" s="1251"/>
      <c r="ANV92" s="1251"/>
      <c r="ANW92" s="1251"/>
      <c r="ANX92" s="1251"/>
      <c r="ANY92" s="1251"/>
      <c r="ANZ92" s="1251"/>
      <c r="AOA92" s="1251"/>
      <c r="AOB92" s="1251"/>
      <c r="AOC92" s="1251"/>
      <c r="AOD92" s="1251"/>
      <c r="AOE92" s="1251"/>
      <c r="AOF92" s="1251"/>
      <c r="AOG92" s="1251"/>
      <c r="AOH92" s="1251"/>
      <c r="AOI92" s="1251"/>
      <c r="AOJ92" s="1251"/>
      <c r="AOK92" s="1251"/>
      <c r="AOL92" s="1251"/>
      <c r="AOM92" s="1251"/>
      <c r="AON92" s="1251"/>
      <c r="AOO92" s="1251"/>
      <c r="AOP92" s="1251"/>
      <c r="AOQ92" s="1251"/>
      <c r="AOR92" s="1251"/>
      <c r="AOS92" s="1251"/>
      <c r="AOT92" s="1251"/>
      <c r="AOU92" s="1251"/>
      <c r="AOV92" s="1251"/>
      <c r="AOW92" s="1251"/>
      <c r="AOX92" s="1251"/>
      <c r="AOY92" s="1251"/>
      <c r="AOZ92" s="1251"/>
      <c r="APA92" s="1251"/>
      <c r="APB92" s="1251"/>
      <c r="APC92" s="1251"/>
      <c r="APD92" s="1251"/>
      <c r="APE92" s="1251"/>
      <c r="APF92" s="1251"/>
      <c r="APG92" s="1251"/>
      <c r="APH92" s="1251"/>
      <c r="API92" s="1251"/>
      <c r="APJ92" s="1251"/>
      <c r="APK92" s="1251"/>
      <c r="APL92" s="1251"/>
      <c r="APM92" s="1251"/>
      <c r="APN92" s="1251"/>
      <c r="APO92" s="1251"/>
      <c r="APP92" s="1251"/>
      <c r="APQ92" s="1251"/>
      <c r="APR92" s="1251"/>
      <c r="APS92" s="1251"/>
      <c r="APT92" s="1251"/>
      <c r="APU92" s="1251"/>
      <c r="APV92" s="1251"/>
      <c r="APW92" s="1251"/>
      <c r="APX92" s="1251"/>
      <c r="APY92" s="1251"/>
      <c r="APZ92" s="1251"/>
      <c r="AQA92" s="1251"/>
      <c r="AQB92" s="1251"/>
      <c r="AQC92" s="1251"/>
      <c r="AQD92" s="1251"/>
      <c r="AQE92" s="1251"/>
      <c r="AQF92" s="1251"/>
      <c r="AQG92" s="1251"/>
      <c r="AQH92" s="1251"/>
      <c r="AQI92" s="1251"/>
      <c r="AQJ92" s="1251"/>
      <c r="AQK92" s="1251"/>
      <c r="AQL92" s="1251"/>
      <c r="AQM92" s="1251"/>
      <c r="AQN92" s="1251"/>
      <c r="AQO92" s="1251"/>
      <c r="AQP92" s="1251"/>
      <c r="AQQ92" s="1251"/>
      <c r="AQR92" s="1251"/>
      <c r="AQS92" s="1251"/>
      <c r="AQT92" s="1251"/>
      <c r="AQU92" s="1251"/>
      <c r="AQV92" s="1251"/>
      <c r="AQW92" s="1251"/>
      <c r="AQX92" s="1251"/>
      <c r="AQY92" s="1251"/>
      <c r="AQZ92" s="1251"/>
      <c r="ARA92" s="1251"/>
      <c r="ARB92" s="1251"/>
      <c r="ARC92" s="1251"/>
      <c r="ARD92" s="1251"/>
      <c r="ARE92" s="1251"/>
      <c r="ARF92" s="1251"/>
      <c r="ARG92" s="1251"/>
      <c r="ARH92" s="1251"/>
      <c r="ARI92" s="1251"/>
      <c r="ARJ92" s="1251"/>
      <c r="ARK92" s="1251"/>
      <c r="ARL92" s="1251"/>
      <c r="ARM92" s="1251"/>
      <c r="ARN92" s="1251"/>
      <c r="ARO92" s="1251"/>
      <c r="ARP92" s="1251"/>
      <c r="ARQ92" s="1251"/>
      <c r="ARR92" s="1251"/>
      <c r="ARS92" s="1251"/>
      <c r="ART92" s="1251"/>
      <c r="ARU92" s="1251"/>
      <c r="ARV92" s="1251"/>
      <c r="ARW92" s="1251"/>
      <c r="ARX92" s="1251"/>
      <c r="ARY92" s="1251"/>
      <c r="ARZ92" s="1251"/>
      <c r="ASA92" s="1251"/>
      <c r="ASB92" s="1251"/>
      <c r="ASC92" s="1251"/>
      <c r="ASD92" s="1251"/>
      <c r="ASE92" s="1251"/>
      <c r="ASF92" s="1251"/>
      <c r="ASG92" s="1251"/>
      <c r="ASH92" s="1251"/>
      <c r="ASI92" s="1251"/>
      <c r="ASJ92" s="1251"/>
      <c r="ASK92" s="1251"/>
      <c r="ASL92" s="1251"/>
      <c r="ASM92" s="1251"/>
      <c r="ASN92" s="1251"/>
      <c r="ASO92" s="1251"/>
      <c r="ASP92" s="1251"/>
      <c r="ASQ92" s="1251"/>
      <c r="ASR92" s="1251"/>
      <c r="ASS92" s="1251"/>
      <c r="AST92" s="1251"/>
      <c r="ASU92" s="1251"/>
      <c r="ASV92" s="1251"/>
      <c r="ASW92" s="1251"/>
      <c r="ASX92" s="1251"/>
      <c r="ASY92" s="1251"/>
      <c r="ASZ92" s="1251"/>
      <c r="ATA92" s="1251"/>
      <c r="ATB92" s="1251"/>
      <c r="ATC92" s="1251"/>
      <c r="ATD92" s="1251"/>
      <c r="ATE92" s="1251"/>
      <c r="ATF92" s="1251"/>
      <c r="ATG92" s="1251"/>
      <c r="ATH92" s="1251"/>
      <c r="ATI92" s="1251"/>
      <c r="ATJ92" s="1251"/>
      <c r="ATK92" s="1251"/>
      <c r="ATL92" s="1251"/>
      <c r="ATM92" s="1251"/>
      <c r="ATN92" s="1251"/>
      <c r="ATO92" s="1251"/>
      <c r="ATP92" s="1251"/>
      <c r="ATQ92" s="1251"/>
      <c r="ATR92" s="1251"/>
      <c r="ATS92" s="1251"/>
      <c r="ATT92" s="1251"/>
      <c r="ATU92" s="1251"/>
      <c r="ATV92" s="1251"/>
      <c r="ATW92" s="1251"/>
      <c r="ATX92" s="1251"/>
      <c r="ATY92" s="1251"/>
      <c r="ATZ92" s="1251"/>
      <c r="AUA92" s="1251"/>
      <c r="AUB92" s="1251"/>
      <c r="AUC92" s="1251"/>
      <c r="AUD92" s="1251"/>
      <c r="AUE92" s="1251"/>
      <c r="AUF92" s="1251"/>
      <c r="AUG92" s="1251"/>
      <c r="AUH92" s="1251"/>
      <c r="AUI92" s="1251"/>
      <c r="AUJ92" s="1251"/>
      <c r="AUK92" s="1251"/>
      <c r="AUL92" s="1251"/>
      <c r="AUM92" s="1251"/>
      <c r="AUN92" s="1251"/>
      <c r="AUO92" s="1251"/>
      <c r="AUP92" s="1251"/>
      <c r="AUQ92" s="1251"/>
      <c r="AUR92" s="1251"/>
      <c r="AUS92" s="1251"/>
      <c r="AUT92" s="1251"/>
      <c r="AUU92" s="1251"/>
      <c r="AUV92" s="1251"/>
      <c r="AUW92" s="1251"/>
      <c r="AUX92" s="1251"/>
      <c r="AUY92" s="1251"/>
      <c r="AUZ92" s="1251"/>
      <c r="AVA92" s="1251"/>
      <c r="AVB92" s="1251"/>
      <c r="AVC92" s="1251"/>
      <c r="AVD92" s="1251"/>
      <c r="AVE92" s="1251"/>
      <c r="AVF92" s="1251"/>
      <c r="AVG92" s="1251"/>
      <c r="AVH92" s="1251"/>
      <c r="AVI92" s="1251"/>
      <c r="AVJ92" s="1251"/>
      <c r="AVK92" s="1251"/>
      <c r="AVL92" s="1251"/>
      <c r="AVM92" s="1251"/>
      <c r="AVN92" s="1251"/>
      <c r="AVO92" s="1251"/>
      <c r="AVP92" s="1251"/>
      <c r="AVQ92" s="1251"/>
      <c r="AVR92" s="1251"/>
      <c r="AVS92" s="1251"/>
      <c r="AVT92" s="1251"/>
      <c r="AVU92" s="1251"/>
      <c r="AVV92" s="1251"/>
      <c r="AVW92" s="1251"/>
      <c r="AVX92" s="1251"/>
      <c r="AVY92" s="1251"/>
      <c r="AVZ92" s="1251"/>
      <c r="AWA92" s="1251"/>
      <c r="AWB92" s="1251"/>
      <c r="AWC92" s="1251"/>
      <c r="AWD92" s="1251"/>
      <c r="AWE92" s="1251"/>
      <c r="AWF92" s="1251"/>
      <c r="AWG92" s="1251"/>
      <c r="AWH92" s="1251"/>
      <c r="AWI92" s="1251"/>
      <c r="AWJ92" s="1251"/>
      <c r="AWK92" s="1251"/>
      <c r="AWL92" s="1251"/>
      <c r="AWM92" s="1251"/>
      <c r="AWN92" s="1251"/>
      <c r="AWO92" s="1251"/>
      <c r="AWP92" s="1251"/>
      <c r="AWQ92" s="1251"/>
      <c r="AWR92" s="1251"/>
      <c r="AWS92" s="1251"/>
      <c r="AWT92" s="1251"/>
      <c r="AWU92" s="1251"/>
      <c r="AWV92" s="1251"/>
      <c r="AWW92" s="1251"/>
      <c r="AWX92" s="1251"/>
      <c r="AWY92" s="1251"/>
      <c r="AWZ92" s="1251"/>
      <c r="AXA92" s="1251"/>
      <c r="AXB92" s="1251"/>
      <c r="AXC92" s="1251"/>
      <c r="AXD92" s="1251"/>
      <c r="AXE92" s="1251"/>
      <c r="AXF92" s="1251"/>
      <c r="AXG92" s="1251"/>
      <c r="AXH92" s="1251"/>
      <c r="AXI92" s="1251"/>
      <c r="AXJ92" s="1251"/>
      <c r="AXK92" s="1251"/>
      <c r="AXL92" s="1251"/>
      <c r="AXM92" s="1251"/>
      <c r="AXN92" s="1251"/>
      <c r="AXO92" s="1251"/>
      <c r="AXP92" s="1251"/>
      <c r="AXQ92" s="1251"/>
      <c r="AXR92" s="1251"/>
      <c r="AXS92" s="1251"/>
      <c r="AXT92" s="1251"/>
      <c r="AXU92" s="1251"/>
      <c r="AXV92" s="1251"/>
      <c r="AXW92" s="1251"/>
      <c r="AXX92" s="1251"/>
      <c r="AXY92" s="1251"/>
      <c r="AXZ92" s="1251"/>
      <c r="AYA92" s="1251"/>
      <c r="AYB92" s="1251"/>
      <c r="AYC92" s="1251"/>
      <c r="AYD92" s="1251"/>
      <c r="AYE92" s="1251"/>
      <c r="AYF92" s="1251"/>
      <c r="AYG92" s="1251"/>
      <c r="AYH92" s="1251"/>
      <c r="AYI92" s="1251"/>
      <c r="AYJ92" s="1251"/>
      <c r="AYK92" s="1251"/>
      <c r="AYL92" s="1251"/>
      <c r="AYM92" s="1251"/>
      <c r="AYN92" s="1251"/>
      <c r="AYO92" s="1251"/>
      <c r="AYP92" s="1251"/>
      <c r="AYQ92" s="1251"/>
      <c r="AYR92" s="1251"/>
      <c r="AYS92" s="1251"/>
      <c r="AYT92" s="1251"/>
      <c r="AYU92" s="1251"/>
      <c r="AYV92" s="1251"/>
      <c r="AYW92" s="1251"/>
      <c r="AYX92" s="1251"/>
      <c r="AYY92" s="1251"/>
      <c r="AYZ92" s="1251"/>
      <c r="AZA92" s="1251"/>
      <c r="AZB92" s="1251"/>
      <c r="AZC92" s="1251"/>
      <c r="AZD92" s="1251"/>
      <c r="AZE92" s="1251"/>
      <c r="AZF92" s="1251"/>
      <c r="AZG92" s="1251"/>
      <c r="AZH92" s="1251"/>
      <c r="AZI92" s="1251"/>
      <c r="AZJ92" s="1251"/>
      <c r="AZK92" s="1251"/>
      <c r="AZL92" s="1251"/>
      <c r="AZM92" s="1251"/>
      <c r="AZN92" s="1251"/>
      <c r="AZO92" s="1251"/>
      <c r="AZP92" s="1251"/>
      <c r="AZQ92" s="1251"/>
      <c r="AZR92" s="1251"/>
      <c r="AZS92" s="1251"/>
      <c r="AZT92" s="1251"/>
      <c r="AZU92" s="1251"/>
      <c r="AZV92" s="1251"/>
      <c r="AZW92" s="1251"/>
      <c r="AZX92" s="1251"/>
      <c r="AZY92" s="1251"/>
      <c r="AZZ92" s="1251"/>
      <c r="BAA92" s="1251"/>
      <c r="BAB92" s="1251"/>
      <c r="BAC92" s="1251"/>
      <c r="BAD92" s="1251"/>
      <c r="BAE92" s="1251"/>
      <c r="BAF92" s="1251"/>
      <c r="BAG92" s="1251"/>
      <c r="BAH92" s="1251"/>
      <c r="BAI92" s="1251"/>
      <c r="BAJ92" s="1251"/>
      <c r="BAK92" s="1251"/>
      <c r="BAL92" s="1251"/>
      <c r="BAM92" s="1251"/>
      <c r="BAN92" s="1251"/>
      <c r="BAO92" s="1251"/>
      <c r="BAP92" s="1251"/>
      <c r="BAQ92" s="1251"/>
      <c r="BAR92" s="1251"/>
      <c r="BAS92" s="1251"/>
      <c r="BAT92" s="1251"/>
      <c r="BAU92" s="1251"/>
      <c r="BAV92" s="1251"/>
      <c r="BAW92" s="1251"/>
      <c r="BAX92" s="1251"/>
      <c r="BAY92" s="1251"/>
      <c r="BAZ92" s="1251"/>
      <c r="BBA92" s="1251"/>
      <c r="BBB92" s="1251"/>
      <c r="BBC92" s="1251"/>
      <c r="BBD92" s="1251"/>
      <c r="BBE92" s="1251"/>
      <c r="BBF92" s="1251"/>
      <c r="BBG92" s="1251"/>
      <c r="BBH92" s="1251"/>
      <c r="BBI92" s="1251"/>
      <c r="BBJ92" s="1251"/>
      <c r="BBK92" s="1251"/>
      <c r="BBL92" s="1251"/>
      <c r="BBM92" s="1251"/>
      <c r="BBN92" s="1251"/>
      <c r="BBO92" s="1251"/>
      <c r="BBP92" s="1251"/>
      <c r="BBQ92" s="1251"/>
      <c r="BBR92" s="1251"/>
      <c r="BBS92" s="1251"/>
      <c r="BBT92" s="1251"/>
      <c r="BBU92" s="1251"/>
      <c r="BBV92" s="1251"/>
      <c r="BBW92" s="1251"/>
      <c r="BBX92" s="1251"/>
      <c r="BBY92" s="1251"/>
      <c r="BBZ92" s="1251"/>
      <c r="BCA92" s="1251"/>
      <c r="BCB92" s="1251"/>
      <c r="BCC92" s="1251"/>
      <c r="BCD92" s="1251"/>
      <c r="BCE92" s="1251"/>
      <c r="BCF92" s="1251"/>
      <c r="BCG92" s="1251"/>
      <c r="BCH92" s="1251"/>
      <c r="BCI92" s="1251"/>
      <c r="BCJ92" s="1251"/>
      <c r="BCK92" s="1251"/>
      <c r="BCL92" s="1251"/>
      <c r="BCM92" s="1251"/>
      <c r="BCN92" s="1251"/>
      <c r="BCO92" s="1251"/>
      <c r="BCP92" s="1251"/>
      <c r="BCQ92" s="1251"/>
      <c r="BCR92" s="1251"/>
      <c r="BCS92" s="1251"/>
      <c r="BCT92" s="1251"/>
      <c r="BCU92" s="1251"/>
      <c r="BCV92" s="1251"/>
      <c r="BCW92" s="1251"/>
      <c r="BCX92" s="1251"/>
      <c r="BCY92" s="1251"/>
      <c r="BCZ92" s="1251"/>
      <c r="BDA92" s="1251"/>
      <c r="BDB92" s="1251"/>
      <c r="BDC92" s="1251"/>
      <c r="BDD92" s="1251"/>
      <c r="BDE92" s="1251"/>
      <c r="BDF92" s="1251"/>
      <c r="BDG92" s="1251"/>
      <c r="BDH92" s="1251"/>
      <c r="BDI92" s="1251"/>
      <c r="BDJ92" s="1251"/>
      <c r="BDK92" s="1251"/>
      <c r="BDL92" s="1251"/>
      <c r="BDM92" s="1251"/>
      <c r="BDN92" s="1251"/>
      <c r="BDO92" s="1251"/>
      <c r="BDP92" s="1251"/>
      <c r="BDQ92" s="1251"/>
      <c r="BDR92" s="1251"/>
      <c r="BDS92" s="1251"/>
      <c r="BDT92" s="1251"/>
      <c r="BDU92" s="1251"/>
      <c r="BDV92" s="1251"/>
      <c r="BDW92" s="1251"/>
      <c r="BDX92" s="1251"/>
      <c r="BDY92" s="1251"/>
      <c r="BDZ92" s="1251"/>
      <c r="BEA92" s="1251"/>
      <c r="BEB92" s="1251"/>
      <c r="BEC92" s="1251"/>
      <c r="BED92" s="1251"/>
      <c r="BEE92" s="1251"/>
      <c r="BEF92" s="1251"/>
      <c r="BEG92" s="1251"/>
      <c r="BEH92" s="1251"/>
      <c r="BEI92" s="1251"/>
      <c r="BEJ92" s="1251"/>
      <c r="BEK92" s="1251"/>
      <c r="BEL92" s="1251"/>
      <c r="BEM92" s="1251"/>
      <c r="BEN92" s="1251"/>
      <c r="BEO92" s="1251"/>
      <c r="BEP92" s="1251"/>
      <c r="BEQ92" s="1251"/>
      <c r="BER92" s="1251"/>
      <c r="BES92" s="1251"/>
      <c r="BET92" s="1251"/>
      <c r="BEU92" s="1251"/>
      <c r="BEV92" s="1251"/>
      <c r="BEW92" s="1251"/>
      <c r="BEX92" s="1251"/>
      <c r="BEY92" s="1251"/>
      <c r="BEZ92" s="1251"/>
      <c r="BFA92" s="1251"/>
      <c r="BFB92" s="1251"/>
      <c r="BFC92" s="1251"/>
      <c r="BFD92" s="1251"/>
      <c r="BFE92" s="1251"/>
      <c r="BFF92" s="1251"/>
      <c r="BFG92" s="1251"/>
      <c r="BFH92" s="1251"/>
      <c r="BFI92" s="1251"/>
      <c r="BFJ92" s="1251"/>
      <c r="BFK92" s="1251"/>
      <c r="BFL92" s="1251"/>
      <c r="BFM92" s="1251"/>
      <c r="BFN92" s="1251"/>
      <c r="BFO92" s="1251"/>
      <c r="BFP92" s="1251"/>
      <c r="BFQ92" s="1251"/>
      <c r="BFR92" s="1251"/>
      <c r="BFS92" s="1251"/>
      <c r="BFT92" s="1251"/>
      <c r="BFU92" s="1251"/>
      <c r="BFV92" s="1251"/>
      <c r="BFW92" s="1251"/>
      <c r="BFX92" s="1251"/>
      <c r="BFY92" s="1251"/>
      <c r="BFZ92" s="1251"/>
      <c r="BGA92" s="1251"/>
      <c r="BGB92" s="1251"/>
      <c r="BGC92" s="1251"/>
      <c r="BGD92" s="1251"/>
      <c r="BGE92" s="1251"/>
      <c r="BGF92" s="1251"/>
      <c r="BGG92" s="1251"/>
      <c r="BGH92" s="1251"/>
      <c r="BGI92" s="1251"/>
      <c r="BGJ92" s="1251"/>
      <c r="BGK92" s="1251"/>
      <c r="BGL92" s="1251"/>
      <c r="BGM92" s="1251"/>
      <c r="BGN92" s="1251"/>
      <c r="BGO92" s="1251"/>
      <c r="BGP92" s="1251"/>
      <c r="BGQ92" s="1251"/>
      <c r="BGR92" s="1251"/>
      <c r="BGS92" s="1251"/>
      <c r="BGT92" s="1251"/>
      <c r="BGU92" s="1251"/>
      <c r="BGV92" s="1251"/>
      <c r="BGW92" s="1251"/>
      <c r="BGX92" s="1251"/>
      <c r="BGY92" s="1251"/>
      <c r="BGZ92" s="1251"/>
      <c r="BHA92" s="1251"/>
      <c r="BHB92" s="1251"/>
      <c r="BHC92" s="1251"/>
      <c r="BHD92" s="1251"/>
      <c r="BHE92" s="1251"/>
      <c r="BHF92" s="1251"/>
      <c r="BHG92" s="1251"/>
      <c r="BHH92" s="1251"/>
      <c r="BHI92" s="1251"/>
      <c r="BHJ92" s="1251"/>
      <c r="BHK92" s="1251"/>
      <c r="BHL92" s="1251"/>
      <c r="BHM92" s="1251"/>
      <c r="BHN92" s="1251"/>
      <c r="BHO92" s="1251"/>
      <c r="BHP92" s="1251"/>
      <c r="BHQ92" s="1251"/>
      <c r="BHR92" s="1251"/>
      <c r="BHS92" s="1251"/>
      <c r="BHT92" s="1251"/>
      <c r="BHU92" s="1251"/>
      <c r="BHV92" s="1251"/>
      <c r="BHW92" s="1251"/>
      <c r="BHX92" s="1251"/>
      <c r="BHY92" s="1251"/>
      <c r="BHZ92" s="1251"/>
      <c r="BIA92" s="1251"/>
      <c r="BIB92" s="1251"/>
      <c r="BIC92" s="1251"/>
      <c r="BID92" s="1251"/>
      <c r="BIE92" s="1251"/>
      <c r="BIF92" s="1251"/>
      <c r="BIG92" s="1251"/>
      <c r="BIH92" s="1251"/>
      <c r="BII92" s="1251"/>
      <c r="BIJ92" s="1251"/>
      <c r="BIK92" s="1251"/>
      <c r="BIL92" s="1251"/>
      <c r="BIM92" s="1251"/>
      <c r="BIN92" s="1251"/>
      <c r="BIO92" s="1251"/>
      <c r="BIP92" s="1251"/>
      <c r="BIQ92" s="1251"/>
      <c r="BIR92" s="1251"/>
      <c r="BIS92" s="1251"/>
      <c r="BIT92" s="1251"/>
      <c r="BIU92" s="1251"/>
      <c r="BIV92" s="1251"/>
      <c r="BIW92" s="1251"/>
      <c r="BIX92" s="1251"/>
      <c r="BIY92" s="1251"/>
      <c r="BIZ92" s="1251"/>
      <c r="BJA92" s="1251"/>
      <c r="BJB92" s="1251"/>
      <c r="BJC92" s="1251"/>
      <c r="BJD92" s="1251"/>
      <c r="BJE92" s="1251"/>
      <c r="BJF92" s="1251"/>
      <c r="BJG92" s="1251"/>
      <c r="BJH92" s="1251"/>
      <c r="BJI92" s="1251"/>
      <c r="BJJ92" s="1251"/>
      <c r="BJK92" s="1251"/>
      <c r="BJL92" s="1251"/>
      <c r="BJM92" s="1251"/>
      <c r="BJN92" s="1251"/>
      <c r="BJO92" s="1251"/>
      <c r="BJP92" s="1251"/>
      <c r="BJQ92" s="1251"/>
      <c r="BJR92" s="1251"/>
      <c r="BJS92" s="1251"/>
      <c r="BJT92" s="1251"/>
      <c r="BJU92" s="1251"/>
      <c r="BJV92" s="1251"/>
      <c r="BJW92" s="1251"/>
      <c r="BJX92" s="1251"/>
      <c r="BJY92" s="1251"/>
      <c r="BJZ92" s="1251"/>
      <c r="BKA92" s="1251"/>
      <c r="BKB92" s="1251"/>
      <c r="BKC92" s="1251"/>
      <c r="BKD92" s="1251"/>
      <c r="BKE92" s="1251"/>
      <c r="BKF92" s="1251"/>
      <c r="BKG92" s="1251"/>
      <c r="BKH92" s="1251"/>
      <c r="BKI92" s="1251"/>
      <c r="BKJ92" s="1251"/>
      <c r="BKK92" s="1251"/>
      <c r="BKL92" s="1251"/>
      <c r="BKM92" s="1251"/>
      <c r="BKN92" s="1251"/>
      <c r="BKO92" s="1251"/>
      <c r="BKP92" s="1251"/>
      <c r="BKQ92" s="1251"/>
      <c r="BKR92" s="1251"/>
      <c r="BKS92" s="1251"/>
      <c r="BKT92" s="1251"/>
      <c r="BKU92" s="1251"/>
      <c r="BKV92" s="1251"/>
      <c r="BKW92" s="1251"/>
      <c r="BKX92" s="1251"/>
      <c r="BKY92" s="1251"/>
      <c r="BKZ92" s="1251"/>
      <c r="BLA92" s="1251"/>
      <c r="BLB92" s="1251"/>
      <c r="BLC92" s="1251"/>
      <c r="BLD92" s="1251"/>
      <c r="BLE92" s="1251"/>
      <c r="BLF92" s="1251"/>
      <c r="BLG92" s="1251"/>
      <c r="BLH92" s="1251"/>
      <c r="BLI92" s="1251"/>
      <c r="BLJ92" s="1251"/>
      <c r="BLK92" s="1251"/>
      <c r="BLL92" s="1251"/>
      <c r="BLM92" s="1251"/>
      <c r="BLN92" s="1251"/>
      <c r="BLO92" s="1251"/>
      <c r="BLP92" s="1251"/>
      <c r="BLQ92" s="1251"/>
      <c r="BLR92" s="1251"/>
      <c r="BLS92" s="1251"/>
      <c r="BLT92" s="1251"/>
      <c r="BLU92" s="1251"/>
      <c r="BLV92" s="1251"/>
      <c r="BLW92" s="1251"/>
      <c r="BLX92" s="1251"/>
      <c r="BLY92" s="1251"/>
      <c r="BLZ92" s="1251"/>
      <c r="BMA92" s="1251"/>
      <c r="BMB92" s="1251"/>
      <c r="BMC92" s="1251"/>
      <c r="BMD92" s="1251"/>
      <c r="BME92" s="1251"/>
      <c r="BMF92" s="1251"/>
      <c r="BMG92" s="1251"/>
      <c r="BMH92" s="1251"/>
      <c r="BMI92" s="1251"/>
      <c r="BMJ92" s="1251"/>
      <c r="BMK92" s="1251"/>
      <c r="BML92" s="1251"/>
      <c r="BMM92" s="1251"/>
      <c r="BMN92" s="1251"/>
      <c r="BMO92" s="1251"/>
      <c r="BMP92" s="1251"/>
      <c r="BMQ92" s="1251"/>
      <c r="BMR92" s="1251"/>
      <c r="BMS92" s="1251"/>
      <c r="BMT92" s="1251"/>
      <c r="BMU92" s="1251"/>
      <c r="BMV92" s="1251"/>
      <c r="BMW92" s="1251"/>
      <c r="BMX92" s="1251"/>
      <c r="BMY92" s="1251"/>
      <c r="BMZ92" s="1251"/>
      <c r="BNA92" s="1251"/>
      <c r="BNB92" s="1251"/>
      <c r="BNC92" s="1251"/>
      <c r="BND92" s="1251"/>
      <c r="BNE92" s="1251"/>
      <c r="BNF92" s="1251"/>
      <c r="BNG92" s="1251"/>
      <c r="BNH92" s="1251"/>
      <c r="BNI92" s="1251"/>
      <c r="BNJ92" s="1251"/>
      <c r="BNK92" s="1251"/>
      <c r="BNL92" s="1251"/>
      <c r="BNM92" s="1251"/>
      <c r="BNN92" s="1251"/>
      <c r="BNO92" s="1251"/>
      <c r="BNP92" s="1251"/>
      <c r="BNQ92" s="1251"/>
      <c r="BNR92" s="1251"/>
      <c r="BNS92" s="1251"/>
      <c r="BNT92" s="1251"/>
      <c r="BNU92" s="1251"/>
      <c r="BNV92" s="1251"/>
      <c r="BNW92" s="1251"/>
      <c r="BNX92" s="1251"/>
      <c r="BNY92" s="1251"/>
      <c r="BNZ92" s="1251"/>
      <c r="BOA92" s="1251"/>
      <c r="BOB92" s="1251"/>
      <c r="BOC92" s="1251"/>
      <c r="BOD92" s="1251"/>
      <c r="BOE92" s="1251"/>
      <c r="BOF92" s="1251"/>
      <c r="BOG92" s="1251"/>
      <c r="BOH92" s="1251"/>
      <c r="BOI92" s="1251"/>
      <c r="BOJ92" s="1251"/>
      <c r="BOK92" s="1251"/>
      <c r="BOL92" s="1251"/>
      <c r="BOM92" s="1251"/>
      <c r="BON92" s="1251"/>
      <c r="BOO92" s="1251"/>
      <c r="BOP92" s="1251"/>
      <c r="BOQ92" s="1251"/>
      <c r="BOR92" s="1251"/>
      <c r="BOS92" s="1251"/>
      <c r="BOT92" s="1251"/>
      <c r="BOU92" s="1251"/>
      <c r="BOV92" s="1251"/>
      <c r="BOW92" s="1251"/>
      <c r="BOX92" s="1251"/>
      <c r="BOY92" s="1251"/>
      <c r="BOZ92" s="1251"/>
      <c r="BPA92" s="1251"/>
      <c r="BPB92" s="1251"/>
      <c r="BPC92" s="1251"/>
      <c r="BPD92" s="1251"/>
      <c r="BPE92" s="1251"/>
      <c r="BPF92" s="1251"/>
      <c r="BPG92" s="1251"/>
      <c r="BPH92" s="1251"/>
      <c r="BPI92" s="1251"/>
      <c r="BPJ92" s="1251"/>
      <c r="BPK92" s="1251"/>
      <c r="BPL92" s="1251"/>
      <c r="BPM92" s="1251"/>
      <c r="BPN92" s="1251"/>
      <c r="BPO92" s="1251"/>
      <c r="BPP92" s="1251"/>
      <c r="BPQ92" s="1251"/>
      <c r="BPR92" s="1251"/>
      <c r="BPS92" s="1251"/>
      <c r="BPT92" s="1251"/>
      <c r="BPU92" s="1251"/>
      <c r="BPV92" s="1251"/>
      <c r="BPW92" s="1251"/>
      <c r="BPX92" s="1251"/>
      <c r="BPY92" s="1251"/>
      <c r="BPZ92" s="1251"/>
      <c r="BQA92" s="1251"/>
      <c r="BQB92" s="1251"/>
      <c r="BQC92" s="1251"/>
      <c r="BQD92" s="1251"/>
      <c r="BQE92" s="1251"/>
      <c r="BQF92" s="1251"/>
      <c r="BQG92" s="1251"/>
      <c r="BQH92" s="1251"/>
      <c r="BQI92" s="1251"/>
      <c r="BQJ92" s="1251"/>
      <c r="BQK92" s="1251"/>
      <c r="BQL92" s="1251"/>
      <c r="BQM92" s="1251"/>
      <c r="BQN92" s="1251"/>
      <c r="BQO92" s="1251"/>
      <c r="BQP92" s="1251"/>
      <c r="BQQ92" s="1251"/>
      <c r="BQR92" s="1251"/>
      <c r="BQS92" s="1251"/>
      <c r="BQT92" s="1251"/>
      <c r="BQU92" s="1251"/>
      <c r="BQV92" s="1251"/>
      <c r="BQW92" s="1251"/>
      <c r="BQX92" s="1251"/>
      <c r="BQY92" s="1251"/>
      <c r="BQZ92" s="1251"/>
      <c r="BRA92" s="1251"/>
      <c r="BRB92" s="1251"/>
      <c r="BRC92" s="1251"/>
      <c r="BRD92" s="1251"/>
      <c r="BRE92" s="1251"/>
      <c r="BRF92" s="1251"/>
      <c r="BRG92" s="1251"/>
      <c r="BRH92" s="1251"/>
      <c r="BRI92" s="1251"/>
      <c r="BRJ92" s="1251"/>
      <c r="BRK92" s="1251"/>
      <c r="BRL92" s="1251"/>
      <c r="BRM92" s="1251"/>
      <c r="BRN92" s="1251"/>
      <c r="BRO92" s="1251"/>
      <c r="BRP92" s="1251"/>
      <c r="BRQ92" s="1251"/>
      <c r="BRR92" s="1251"/>
      <c r="BRS92" s="1251"/>
      <c r="BRT92" s="1251"/>
      <c r="BRU92" s="1251"/>
      <c r="BRV92" s="1251"/>
      <c r="BRW92" s="1251"/>
      <c r="BRX92" s="1251"/>
      <c r="BRY92" s="1251"/>
      <c r="BRZ92" s="1251"/>
      <c r="BSA92" s="1251"/>
      <c r="BSB92" s="1251"/>
      <c r="BSC92" s="1251"/>
      <c r="BSD92" s="1251"/>
      <c r="BSE92" s="1251"/>
      <c r="BSF92" s="1251"/>
      <c r="BSG92" s="1251"/>
      <c r="BSH92" s="1251"/>
      <c r="BSI92" s="1251"/>
      <c r="BSJ92" s="1251"/>
      <c r="BSK92" s="1251"/>
      <c r="BSL92" s="1251"/>
      <c r="BSM92" s="1251"/>
      <c r="BSN92" s="1251"/>
      <c r="BSO92" s="1251"/>
      <c r="BSP92" s="1251"/>
      <c r="BSQ92" s="1251"/>
      <c r="BSR92" s="1251"/>
      <c r="BSS92" s="1251"/>
      <c r="BST92" s="1251"/>
      <c r="BSU92" s="1251"/>
      <c r="BSV92" s="1251"/>
      <c r="BSW92" s="1251"/>
      <c r="BSX92" s="1251"/>
      <c r="BSY92" s="1251"/>
      <c r="BSZ92" s="1251"/>
      <c r="BTA92" s="1251"/>
      <c r="BTB92" s="1251"/>
      <c r="BTC92" s="1251"/>
      <c r="BTD92" s="1251"/>
      <c r="BTE92" s="1251"/>
      <c r="BTF92" s="1251"/>
      <c r="BTG92" s="1251"/>
      <c r="BTH92" s="1251"/>
      <c r="BTI92" s="1251"/>
    </row>
    <row r="93" spans="1:1881" s="1261" customFormat="1" ht="115.5" hidden="1" customHeight="1" thickBot="1" x14ac:dyDescent="0.35">
      <c r="A93" s="1248">
        <v>589</v>
      </c>
      <c r="B93" s="807" t="s">
        <v>1193</v>
      </c>
      <c r="C93" s="807" t="s">
        <v>1194</v>
      </c>
      <c r="D93" s="24" t="s">
        <v>1198</v>
      </c>
      <c r="E93" s="1249" t="e">
        <f>HLOOKUP($D$2,'2020 Data(H)'!$C$1:$CZ$426,239,FALSE)</f>
        <v>#N/A</v>
      </c>
      <c r="F93" s="1263">
        <v>0</v>
      </c>
      <c r="G93" s="727"/>
      <c r="H93" s="730"/>
      <c r="I93" s="760"/>
      <c r="J93" s="1251"/>
      <c r="K93" s="1251"/>
      <c r="L93" s="701"/>
      <c r="M93" s="1251"/>
      <c r="N93" s="1253"/>
      <c r="O93" s="1251"/>
      <c r="P93" s="1251"/>
      <c r="Q93" s="1251"/>
      <c r="R93" s="1251"/>
      <c r="S93" s="1251"/>
      <c r="T93" s="1251"/>
      <c r="U93" s="1251"/>
      <c r="V93" s="1251"/>
      <c r="W93" s="1251"/>
      <c r="X93" s="1251"/>
      <c r="Y93" s="1251"/>
      <c r="Z93" s="1248"/>
      <c r="AA93" s="1248"/>
      <c r="AB93" s="1248"/>
      <c r="AC93" s="1248"/>
      <c r="AD93" s="1248"/>
      <c r="AE93" s="1248"/>
      <c r="AF93" s="1248"/>
      <c r="AG93" s="1248"/>
      <c r="AH93" s="1248"/>
      <c r="AI93" s="1248"/>
      <c r="AJ93" s="1248"/>
      <c r="AK93" s="1248"/>
      <c r="AL93" s="1248"/>
      <c r="AM93" s="1248"/>
      <c r="AN93" s="1248"/>
      <c r="AO93" s="1248"/>
      <c r="AP93" s="1248"/>
      <c r="AQ93" s="1248"/>
      <c r="AR93" s="1248"/>
      <c r="AS93" s="1251"/>
      <c r="AT93" s="1251"/>
      <c r="AU93" s="1251"/>
      <c r="AV93" s="1251"/>
      <c r="AW93" s="1251"/>
      <c r="AX93" s="1251"/>
      <c r="AY93" s="1251"/>
      <c r="AZ93" s="1251"/>
      <c r="BA93" s="1251"/>
      <c r="BB93" s="1251"/>
      <c r="BC93" s="1251"/>
      <c r="BD93" s="1251"/>
      <c r="BE93" s="1251"/>
      <c r="BF93" s="1251"/>
      <c r="BG93" s="1251"/>
      <c r="BH93" s="1251"/>
      <c r="BI93" s="1251"/>
      <c r="BJ93" s="1251"/>
      <c r="BK93" s="1251"/>
      <c r="BL93" s="1251"/>
      <c r="BM93" s="1251"/>
      <c r="BN93" s="1251"/>
      <c r="BO93" s="1251"/>
      <c r="BP93" s="1251"/>
      <c r="BQ93" s="1251"/>
      <c r="BR93" s="1251"/>
      <c r="BS93" s="1251"/>
      <c r="BT93" s="1251"/>
      <c r="BU93" s="1251"/>
      <c r="BV93" s="1251"/>
      <c r="BW93" s="1251"/>
      <c r="BX93" s="1251"/>
      <c r="BY93" s="1251"/>
      <c r="BZ93" s="1251"/>
      <c r="CA93" s="1251"/>
      <c r="CB93" s="1251"/>
      <c r="CC93" s="1251"/>
      <c r="CD93" s="1251"/>
      <c r="CE93" s="1251"/>
      <c r="CF93" s="1251"/>
      <c r="CG93" s="1251"/>
      <c r="CH93" s="1251"/>
      <c r="CI93" s="1251"/>
      <c r="CJ93" s="1251"/>
      <c r="CK93" s="1251"/>
      <c r="CL93" s="1251"/>
      <c r="CM93" s="1251"/>
      <c r="CN93" s="1251"/>
      <c r="CO93" s="1251"/>
      <c r="CP93" s="1251"/>
      <c r="CQ93" s="1251"/>
      <c r="CR93" s="1251"/>
      <c r="CS93" s="1251"/>
      <c r="CT93" s="1251"/>
      <c r="CU93" s="1251"/>
      <c r="CV93" s="1251"/>
      <c r="CW93" s="1251"/>
      <c r="CX93" s="1251"/>
      <c r="CY93" s="1251"/>
      <c r="CZ93" s="1251"/>
      <c r="DA93" s="1251"/>
      <c r="DB93" s="1251"/>
      <c r="DC93" s="1251"/>
      <c r="DD93" s="1251"/>
      <c r="DE93" s="1251"/>
      <c r="DF93" s="1251"/>
      <c r="DG93" s="1251"/>
      <c r="DH93" s="1251"/>
      <c r="DI93" s="1251"/>
      <c r="DJ93" s="1251"/>
      <c r="DK93" s="1251"/>
      <c r="DL93" s="1251"/>
      <c r="DM93" s="1251"/>
      <c r="DN93" s="1251"/>
      <c r="DO93" s="1251"/>
      <c r="DP93" s="1251"/>
      <c r="DQ93" s="1251"/>
      <c r="DR93" s="1251"/>
      <c r="DS93" s="1251"/>
      <c r="DT93" s="1251"/>
      <c r="DU93" s="1251"/>
      <c r="DV93" s="1251"/>
      <c r="DW93" s="1251"/>
      <c r="DX93" s="1251"/>
      <c r="DY93" s="1251"/>
      <c r="DZ93" s="1251"/>
      <c r="EA93" s="1251"/>
      <c r="EB93" s="1251"/>
      <c r="EC93" s="1251"/>
      <c r="ED93" s="1251"/>
      <c r="EE93" s="1251"/>
      <c r="EF93" s="1251"/>
      <c r="EG93" s="1251"/>
      <c r="EH93" s="1251"/>
      <c r="EI93" s="1251"/>
      <c r="EJ93" s="1251"/>
      <c r="EK93" s="1251"/>
      <c r="EL93" s="1251"/>
      <c r="EM93" s="1251"/>
      <c r="EN93" s="1251"/>
      <c r="EO93" s="1251"/>
      <c r="EP93" s="1251"/>
      <c r="EQ93" s="1251"/>
      <c r="ER93" s="1251"/>
      <c r="ES93" s="1251"/>
      <c r="ET93" s="1251"/>
      <c r="EU93" s="1251"/>
      <c r="EV93" s="1251"/>
      <c r="EW93" s="1251"/>
      <c r="EX93" s="1251"/>
      <c r="EY93" s="1251"/>
      <c r="EZ93" s="1251"/>
      <c r="FA93" s="1251"/>
      <c r="FB93" s="1251"/>
      <c r="FC93" s="1251"/>
      <c r="FD93" s="1251"/>
      <c r="FE93" s="1251"/>
      <c r="FF93" s="1251"/>
      <c r="FG93" s="1251"/>
      <c r="FH93" s="1251"/>
      <c r="FI93" s="1251"/>
      <c r="FJ93" s="1251"/>
      <c r="FK93" s="1251"/>
      <c r="FL93" s="1251"/>
      <c r="FM93" s="1251"/>
      <c r="FN93" s="1251"/>
      <c r="FO93" s="1251"/>
      <c r="FP93" s="1251"/>
      <c r="FQ93" s="1251"/>
      <c r="FR93" s="1251"/>
      <c r="FS93" s="1251"/>
      <c r="FT93" s="1251"/>
      <c r="FU93" s="1251"/>
      <c r="FV93" s="1251"/>
      <c r="FW93" s="1251"/>
      <c r="FX93" s="1251"/>
      <c r="FY93" s="1251"/>
      <c r="FZ93" s="1251"/>
      <c r="GA93" s="1251"/>
      <c r="GB93" s="1251"/>
      <c r="GC93" s="1251"/>
      <c r="GD93" s="1251"/>
      <c r="GE93" s="1251"/>
      <c r="GF93" s="1251"/>
      <c r="GG93" s="1251"/>
      <c r="GH93" s="1251"/>
      <c r="GI93" s="1251"/>
      <c r="GJ93" s="1251"/>
      <c r="GK93" s="1251"/>
      <c r="GL93" s="1251"/>
      <c r="GM93" s="1251"/>
      <c r="GN93" s="1251"/>
      <c r="GO93" s="1251"/>
      <c r="GP93" s="1251"/>
      <c r="GQ93" s="1251"/>
      <c r="GR93" s="1251"/>
      <c r="GS93" s="1251"/>
      <c r="GT93" s="1251"/>
      <c r="GU93" s="1251"/>
      <c r="GV93" s="1251"/>
      <c r="GW93" s="1251"/>
      <c r="GX93" s="1251"/>
      <c r="GY93" s="1251"/>
      <c r="GZ93" s="1251"/>
      <c r="HA93" s="1251"/>
      <c r="HB93" s="1251"/>
      <c r="HC93" s="1251"/>
      <c r="HD93" s="1251"/>
      <c r="HE93" s="1251"/>
      <c r="HF93" s="1251"/>
      <c r="HG93" s="1251"/>
      <c r="HH93" s="1251"/>
      <c r="HI93" s="1251"/>
      <c r="HJ93" s="1251"/>
      <c r="HK93" s="1251"/>
      <c r="HL93" s="1251"/>
      <c r="HM93" s="1251"/>
      <c r="HN93" s="1251"/>
      <c r="HO93" s="1251"/>
      <c r="HP93" s="1251"/>
      <c r="HQ93" s="1251"/>
      <c r="HR93" s="1251"/>
      <c r="HS93" s="1251"/>
      <c r="HT93" s="1251"/>
      <c r="HU93" s="1251"/>
      <c r="HV93" s="1251"/>
      <c r="HW93" s="1251"/>
      <c r="HX93" s="1251"/>
      <c r="HY93" s="1251"/>
      <c r="HZ93" s="1251"/>
      <c r="IA93" s="1251"/>
      <c r="IB93" s="1251"/>
      <c r="IC93" s="1251"/>
      <c r="ID93" s="1251"/>
      <c r="IE93" s="1251"/>
      <c r="IF93" s="1251"/>
      <c r="IG93" s="1251"/>
      <c r="IH93" s="1251"/>
      <c r="II93" s="1251"/>
      <c r="IJ93" s="1251"/>
      <c r="IK93" s="1251"/>
      <c r="IL93" s="1251"/>
      <c r="IM93" s="1251"/>
      <c r="IN93" s="1251"/>
      <c r="IO93" s="1251"/>
      <c r="IP93" s="1251"/>
      <c r="IQ93" s="1251"/>
      <c r="IR93" s="1251"/>
      <c r="IS93" s="1251"/>
      <c r="IT93" s="1251"/>
      <c r="IU93" s="1251"/>
      <c r="IV93" s="1251"/>
      <c r="IW93" s="1251"/>
      <c r="IX93" s="1251"/>
      <c r="IY93" s="1251"/>
      <c r="IZ93" s="1251"/>
      <c r="JA93" s="1251"/>
      <c r="JB93" s="1251"/>
      <c r="JC93" s="1251"/>
      <c r="JD93" s="1251"/>
      <c r="JE93" s="1251"/>
      <c r="JF93" s="1251"/>
      <c r="JG93" s="1251"/>
      <c r="JH93" s="1251"/>
      <c r="JI93" s="1251"/>
      <c r="JJ93" s="1251"/>
      <c r="JK93" s="1251"/>
      <c r="JL93" s="1251"/>
      <c r="JM93" s="1251"/>
      <c r="JN93" s="1251"/>
      <c r="JO93" s="1251"/>
      <c r="JP93" s="1251"/>
      <c r="JQ93" s="1251"/>
      <c r="JR93" s="1251"/>
      <c r="JS93" s="1251"/>
      <c r="JT93" s="1251"/>
      <c r="JU93" s="1251"/>
      <c r="JV93" s="1251"/>
      <c r="JW93" s="1251"/>
      <c r="JX93" s="1251"/>
      <c r="JY93" s="1251"/>
      <c r="JZ93" s="1251"/>
      <c r="KA93" s="1251"/>
      <c r="KB93" s="1251"/>
      <c r="KC93" s="1251"/>
      <c r="KD93" s="1251"/>
      <c r="KE93" s="1251"/>
      <c r="KF93" s="1251"/>
      <c r="KG93" s="1251"/>
      <c r="KH93" s="1251"/>
      <c r="KI93" s="1251"/>
      <c r="KJ93" s="1251"/>
      <c r="KK93" s="1251"/>
      <c r="KL93" s="1251"/>
      <c r="KM93" s="1251"/>
      <c r="KN93" s="1251"/>
      <c r="KO93" s="1251"/>
      <c r="KP93" s="1251"/>
      <c r="KQ93" s="1251"/>
      <c r="KR93" s="1251"/>
      <c r="KS93" s="1251"/>
      <c r="KT93" s="1251"/>
      <c r="KU93" s="1251"/>
      <c r="KV93" s="1251"/>
      <c r="KW93" s="1251"/>
      <c r="KX93" s="1251"/>
      <c r="KY93" s="1251"/>
      <c r="KZ93" s="1251"/>
      <c r="LA93" s="1251"/>
      <c r="LB93" s="1251"/>
      <c r="LC93" s="1251"/>
      <c r="LD93" s="1251"/>
      <c r="LE93" s="1251"/>
      <c r="LF93" s="1251"/>
      <c r="LG93" s="1251"/>
      <c r="LH93" s="1251"/>
      <c r="LI93" s="1251"/>
      <c r="LJ93" s="1251"/>
      <c r="LK93" s="1251"/>
      <c r="LL93" s="1251"/>
      <c r="LM93" s="1251"/>
      <c r="LN93" s="1251"/>
      <c r="LO93" s="1251"/>
      <c r="LP93" s="1251"/>
      <c r="LQ93" s="1251"/>
      <c r="LR93" s="1251"/>
      <c r="LS93" s="1251"/>
      <c r="LT93" s="1251"/>
      <c r="LU93" s="1251"/>
      <c r="LV93" s="1251"/>
      <c r="LW93" s="1251"/>
      <c r="LX93" s="1251"/>
      <c r="LY93" s="1251"/>
      <c r="LZ93" s="1251"/>
      <c r="MA93" s="1251"/>
      <c r="MB93" s="1251"/>
      <c r="MC93" s="1251"/>
      <c r="MD93" s="1251"/>
      <c r="ME93" s="1251"/>
      <c r="MF93" s="1251"/>
      <c r="MG93" s="1251"/>
      <c r="MH93" s="1251"/>
      <c r="MI93" s="1251"/>
      <c r="MJ93" s="1251"/>
      <c r="MK93" s="1251"/>
      <c r="ML93" s="1251"/>
      <c r="MM93" s="1251"/>
      <c r="MN93" s="1251"/>
      <c r="MO93" s="1251"/>
      <c r="MP93" s="1251"/>
      <c r="MQ93" s="1251"/>
      <c r="MR93" s="1251"/>
      <c r="MS93" s="1251"/>
      <c r="MT93" s="1251"/>
      <c r="MU93" s="1251"/>
      <c r="MV93" s="1251"/>
      <c r="MW93" s="1251"/>
      <c r="MX93" s="1251"/>
      <c r="MY93" s="1251"/>
      <c r="MZ93" s="1251"/>
      <c r="NA93" s="1251"/>
      <c r="NB93" s="1251"/>
      <c r="NC93" s="1251"/>
      <c r="ND93" s="1251"/>
      <c r="NE93" s="1251"/>
      <c r="NF93" s="1251"/>
      <c r="NG93" s="1251"/>
      <c r="NH93" s="1251"/>
      <c r="NI93" s="1251"/>
      <c r="NJ93" s="1251"/>
      <c r="NK93" s="1251"/>
      <c r="NL93" s="1251"/>
      <c r="NM93" s="1251"/>
      <c r="NN93" s="1251"/>
      <c r="NO93" s="1251"/>
      <c r="NP93" s="1251"/>
      <c r="NQ93" s="1251"/>
      <c r="NR93" s="1251"/>
      <c r="NS93" s="1251"/>
      <c r="NT93" s="1251"/>
      <c r="NU93" s="1251"/>
      <c r="NV93" s="1251"/>
      <c r="NW93" s="1251"/>
      <c r="NX93" s="1251"/>
      <c r="NY93" s="1251"/>
      <c r="NZ93" s="1251"/>
      <c r="OA93" s="1251"/>
      <c r="OB93" s="1251"/>
      <c r="OC93" s="1251"/>
      <c r="OD93" s="1251"/>
      <c r="OE93" s="1251"/>
      <c r="OF93" s="1251"/>
      <c r="OG93" s="1251"/>
      <c r="OH93" s="1251"/>
      <c r="OI93" s="1251"/>
      <c r="OJ93" s="1251"/>
      <c r="OK93" s="1251"/>
      <c r="OL93" s="1251"/>
      <c r="OM93" s="1251"/>
      <c r="ON93" s="1251"/>
      <c r="OO93" s="1251"/>
      <c r="OP93" s="1251"/>
      <c r="OQ93" s="1251"/>
      <c r="OR93" s="1251"/>
      <c r="OS93" s="1251"/>
      <c r="OT93" s="1251"/>
      <c r="OU93" s="1251"/>
      <c r="OV93" s="1251"/>
      <c r="OW93" s="1251"/>
      <c r="OX93" s="1251"/>
      <c r="OY93" s="1251"/>
      <c r="OZ93" s="1251"/>
      <c r="PA93" s="1251"/>
      <c r="PB93" s="1251"/>
      <c r="PC93" s="1251"/>
      <c r="PD93" s="1251"/>
      <c r="PE93" s="1251"/>
      <c r="PF93" s="1251"/>
      <c r="PG93" s="1251"/>
      <c r="PH93" s="1251"/>
      <c r="PI93" s="1251"/>
      <c r="PJ93" s="1251"/>
      <c r="PK93" s="1251"/>
      <c r="PL93" s="1251"/>
      <c r="PM93" s="1251"/>
      <c r="PN93" s="1251"/>
      <c r="PO93" s="1251"/>
      <c r="PP93" s="1251"/>
      <c r="PQ93" s="1251"/>
      <c r="PR93" s="1251"/>
      <c r="PS93" s="1251"/>
      <c r="PT93" s="1251"/>
      <c r="PU93" s="1251"/>
      <c r="PV93" s="1251"/>
      <c r="PW93" s="1251"/>
      <c r="PX93" s="1251"/>
      <c r="PY93" s="1251"/>
      <c r="PZ93" s="1251"/>
      <c r="QA93" s="1251"/>
      <c r="QB93" s="1251"/>
      <c r="QC93" s="1251"/>
      <c r="QD93" s="1251"/>
      <c r="QE93" s="1251"/>
      <c r="QF93" s="1251"/>
      <c r="QG93" s="1251"/>
      <c r="QH93" s="1251"/>
      <c r="QI93" s="1251"/>
      <c r="QJ93" s="1251"/>
      <c r="QK93" s="1251"/>
      <c r="QL93" s="1251"/>
      <c r="QM93" s="1251"/>
      <c r="QN93" s="1251"/>
      <c r="QO93" s="1251"/>
      <c r="QP93" s="1251"/>
      <c r="QQ93" s="1251"/>
      <c r="QR93" s="1251"/>
      <c r="QS93" s="1251"/>
      <c r="QT93" s="1251"/>
      <c r="QU93" s="1251"/>
      <c r="QV93" s="1251"/>
      <c r="QW93" s="1251"/>
      <c r="QX93" s="1251"/>
      <c r="QY93" s="1251"/>
      <c r="QZ93" s="1251"/>
      <c r="RA93" s="1251"/>
      <c r="RB93" s="1251"/>
      <c r="RC93" s="1251"/>
      <c r="RD93" s="1251"/>
      <c r="RE93" s="1251"/>
      <c r="RF93" s="1251"/>
      <c r="RG93" s="1251"/>
      <c r="RH93" s="1251"/>
      <c r="RI93" s="1251"/>
      <c r="RJ93" s="1251"/>
      <c r="RK93" s="1251"/>
      <c r="RL93" s="1251"/>
      <c r="RM93" s="1251"/>
      <c r="RN93" s="1251"/>
      <c r="RO93" s="1251"/>
      <c r="RP93" s="1251"/>
      <c r="RQ93" s="1251"/>
      <c r="RR93" s="1251"/>
      <c r="RS93" s="1251"/>
      <c r="RT93" s="1251"/>
      <c r="RU93" s="1251"/>
      <c r="RV93" s="1251"/>
      <c r="RW93" s="1251"/>
      <c r="RX93" s="1251"/>
      <c r="RY93" s="1251"/>
      <c r="RZ93" s="1251"/>
      <c r="SA93" s="1251"/>
      <c r="SB93" s="1251"/>
      <c r="SC93" s="1251"/>
      <c r="SD93" s="1251"/>
      <c r="SE93" s="1251"/>
      <c r="SF93" s="1251"/>
      <c r="SG93" s="1251"/>
      <c r="SH93" s="1251"/>
      <c r="SI93" s="1251"/>
      <c r="SJ93" s="1251"/>
      <c r="SK93" s="1251"/>
      <c r="SL93" s="1251"/>
      <c r="SM93" s="1251"/>
      <c r="SN93" s="1251"/>
      <c r="SO93" s="1251"/>
      <c r="SP93" s="1251"/>
      <c r="SQ93" s="1251"/>
      <c r="SR93" s="1251"/>
      <c r="SS93" s="1251"/>
      <c r="ST93" s="1251"/>
      <c r="SU93" s="1251"/>
      <c r="SV93" s="1251"/>
      <c r="SW93" s="1251"/>
      <c r="SX93" s="1251"/>
      <c r="SY93" s="1251"/>
      <c r="SZ93" s="1251"/>
      <c r="TA93" s="1251"/>
      <c r="TB93" s="1251"/>
      <c r="TC93" s="1251"/>
      <c r="TD93" s="1251"/>
      <c r="TE93" s="1251"/>
      <c r="TF93" s="1251"/>
      <c r="TG93" s="1251"/>
      <c r="TH93" s="1251"/>
      <c r="TI93" s="1251"/>
      <c r="TJ93" s="1251"/>
      <c r="TK93" s="1251"/>
      <c r="TL93" s="1251"/>
      <c r="TM93" s="1251"/>
      <c r="TN93" s="1251"/>
      <c r="TO93" s="1251"/>
      <c r="TP93" s="1251"/>
      <c r="TQ93" s="1251"/>
      <c r="TR93" s="1251"/>
      <c r="TS93" s="1251"/>
      <c r="TT93" s="1251"/>
      <c r="TU93" s="1251"/>
      <c r="TV93" s="1251"/>
      <c r="TW93" s="1251"/>
      <c r="TX93" s="1251"/>
      <c r="TY93" s="1251"/>
      <c r="TZ93" s="1251"/>
      <c r="UA93" s="1251"/>
      <c r="UB93" s="1251"/>
      <c r="UC93" s="1251"/>
      <c r="UD93" s="1251"/>
      <c r="UE93" s="1251"/>
      <c r="UF93" s="1251"/>
      <c r="UG93" s="1251"/>
      <c r="UH93" s="1251"/>
      <c r="UI93" s="1251"/>
      <c r="UJ93" s="1251"/>
      <c r="UK93" s="1251"/>
      <c r="UL93" s="1251"/>
      <c r="UM93" s="1251"/>
      <c r="UN93" s="1251"/>
      <c r="UO93" s="1251"/>
      <c r="UP93" s="1251"/>
      <c r="UQ93" s="1251"/>
      <c r="UR93" s="1251"/>
      <c r="US93" s="1251"/>
      <c r="UT93" s="1251"/>
      <c r="UU93" s="1251"/>
      <c r="UV93" s="1251"/>
      <c r="UW93" s="1251"/>
      <c r="UX93" s="1251"/>
      <c r="UY93" s="1251"/>
      <c r="UZ93" s="1251"/>
      <c r="VA93" s="1251"/>
      <c r="VB93" s="1251"/>
      <c r="VC93" s="1251"/>
      <c r="VD93" s="1251"/>
      <c r="VE93" s="1251"/>
      <c r="VF93" s="1251"/>
      <c r="VG93" s="1251"/>
      <c r="VH93" s="1251"/>
      <c r="VI93" s="1251"/>
      <c r="VJ93" s="1251"/>
      <c r="VK93" s="1251"/>
      <c r="VL93" s="1251"/>
      <c r="VM93" s="1251"/>
      <c r="VN93" s="1251"/>
      <c r="VO93" s="1251"/>
      <c r="VP93" s="1251"/>
      <c r="VQ93" s="1251"/>
      <c r="VR93" s="1251"/>
      <c r="VS93" s="1251"/>
      <c r="VT93" s="1251"/>
      <c r="VU93" s="1251"/>
      <c r="VV93" s="1251"/>
      <c r="VW93" s="1251"/>
      <c r="VX93" s="1251"/>
      <c r="VY93" s="1251"/>
      <c r="VZ93" s="1251"/>
      <c r="WA93" s="1251"/>
      <c r="WB93" s="1251"/>
      <c r="WC93" s="1251"/>
      <c r="WD93" s="1251"/>
      <c r="WE93" s="1251"/>
      <c r="WF93" s="1251"/>
      <c r="WG93" s="1251"/>
      <c r="WH93" s="1251"/>
      <c r="WI93" s="1251"/>
      <c r="WJ93" s="1251"/>
      <c r="WK93" s="1251"/>
      <c r="WL93" s="1251"/>
      <c r="WM93" s="1251"/>
      <c r="WN93" s="1251"/>
      <c r="WO93" s="1251"/>
      <c r="WP93" s="1251"/>
      <c r="WQ93" s="1251"/>
      <c r="WR93" s="1251"/>
      <c r="WS93" s="1251"/>
      <c r="WT93" s="1251"/>
      <c r="WU93" s="1251"/>
      <c r="WV93" s="1251"/>
      <c r="WW93" s="1251"/>
      <c r="WX93" s="1251"/>
      <c r="WY93" s="1251"/>
      <c r="WZ93" s="1251"/>
      <c r="XA93" s="1251"/>
      <c r="XB93" s="1251"/>
      <c r="XC93" s="1251"/>
      <c r="XD93" s="1251"/>
      <c r="XE93" s="1251"/>
      <c r="XF93" s="1251"/>
      <c r="XG93" s="1251"/>
      <c r="XH93" s="1251"/>
      <c r="XI93" s="1251"/>
      <c r="XJ93" s="1251"/>
      <c r="XK93" s="1251"/>
      <c r="XL93" s="1251"/>
      <c r="XM93" s="1251"/>
      <c r="XN93" s="1251"/>
      <c r="XO93" s="1251"/>
      <c r="XP93" s="1251"/>
      <c r="XQ93" s="1251"/>
      <c r="XR93" s="1251"/>
      <c r="XS93" s="1251"/>
      <c r="XT93" s="1251"/>
      <c r="XU93" s="1251"/>
      <c r="XV93" s="1251"/>
      <c r="XW93" s="1251"/>
      <c r="XX93" s="1251"/>
      <c r="XY93" s="1251"/>
      <c r="XZ93" s="1251"/>
      <c r="YA93" s="1251"/>
      <c r="YB93" s="1251"/>
      <c r="YC93" s="1251"/>
      <c r="YD93" s="1251"/>
      <c r="YE93" s="1251"/>
      <c r="YF93" s="1251"/>
      <c r="YG93" s="1251"/>
      <c r="YH93" s="1251"/>
      <c r="YI93" s="1251"/>
      <c r="YJ93" s="1251"/>
      <c r="YK93" s="1251"/>
      <c r="YL93" s="1251"/>
      <c r="YM93" s="1251"/>
      <c r="YN93" s="1251"/>
      <c r="YO93" s="1251"/>
      <c r="YP93" s="1251"/>
      <c r="YQ93" s="1251"/>
      <c r="YR93" s="1251"/>
      <c r="YS93" s="1251"/>
      <c r="YT93" s="1251"/>
      <c r="YU93" s="1251"/>
      <c r="YV93" s="1251"/>
      <c r="YW93" s="1251"/>
      <c r="YX93" s="1251"/>
      <c r="YY93" s="1251"/>
      <c r="YZ93" s="1251"/>
      <c r="ZA93" s="1251"/>
      <c r="ZB93" s="1251"/>
      <c r="ZC93" s="1251"/>
      <c r="ZD93" s="1251"/>
      <c r="ZE93" s="1251"/>
      <c r="ZF93" s="1251"/>
      <c r="ZG93" s="1251"/>
      <c r="ZH93" s="1251"/>
      <c r="ZI93" s="1251"/>
      <c r="ZJ93" s="1251"/>
      <c r="ZK93" s="1251"/>
      <c r="ZL93" s="1251"/>
      <c r="ZM93" s="1251"/>
      <c r="ZN93" s="1251"/>
      <c r="ZO93" s="1251"/>
      <c r="ZP93" s="1251"/>
      <c r="ZQ93" s="1251"/>
      <c r="ZR93" s="1251"/>
      <c r="ZS93" s="1251"/>
      <c r="ZT93" s="1251"/>
      <c r="ZU93" s="1251"/>
      <c r="ZV93" s="1251"/>
      <c r="ZW93" s="1251"/>
      <c r="ZX93" s="1251"/>
      <c r="ZY93" s="1251"/>
      <c r="ZZ93" s="1251"/>
      <c r="AAA93" s="1251"/>
      <c r="AAB93" s="1251"/>
      <c r="AAC93" s="1251"/>
      <c r="AAD93" s="1251"/>
      <c r="AAE93" s="1251"/>
      <c r="AAF93" s="1251"/>
      <c r="AAG93" s="1251"/>
      <c r="AAH93" s="1251"/>
      <c r="AAI93" s="1251"/>
      <c r="AAJ93" s="1251"/>
      <c r="AAK93" s="1251"/>
      <c r="AAL93" s="1251"/>
      <c r="AAM93" s="1251"/>
      <c r="AAN93" s="1251"/>
      <c r="AAO93" s="1251"/>
      <c r="AAP93" s="1251"/>
      <c r="AAQ93" s="1251"/>
      <c r="AAR93" s="1251"/>
      <c r="AAS93" s="1251"/>
      <c r="AAT93" s="1251"/>
      <c r="AAU93" s="1251"/>
      <c r="AAV93" s="1251"/>
      <c r="AAW93" s="1251"/>
      <c r="AAX93" s="1251"/>
      <c r="AAY93" s="1251"/>
      <c r="AAZ93" s="1251"/>
      <c r="ABA93" s="1251"/>
      <c r="ABB93" s="1251"/>
      <c r="ABC93" s="1251"/>
      <c r="ABD93" s="1251"/>
      <c r="ABE93" s="1251"/>
      <c r="ABF93" s="1251"/>
      <c r="ABG93" s="1251"/>
      <c r="ABH93" s="1251"/>
      <c r="ABI93" s="1251"/>
      <c r="ABJ93" s="1251"/>
      <c r="ABK93" s="1251"/>
      <c r="ABL93" s="1251"/>
      <c r="ABM93" s="1251"/>
      <c r="ABN93" s="1251"/>
      <c r="ABO93" s="1251"/>
      <c r="ABP93" s="1251"/>
      <c r="ABQ93" s="1251"/>
      <c r="ABR93" s="1251"/>
      <c r="ABS93" s="1251"/>
      <c r="ABT93" s="1251"/>
      <c r="ABU93" s="1251"/>
      <c r="ABV93" s="1251"/>
      <c r="ABW93" s="1251"/>
      <c r="ABX93" s="1251"/>
      <c r="ABY93" s="1251"/>
      <c r="ABZ93" s="1251"/>
      <c r="ACA93" s="1251"/>
      <c r="ACB93" s="1251"/>
      <c r="ACC93" s="1251"/>
      <c r="ACD93" s="1251"/>
      <c r="ACE93" s="1251"/>
      <c r="ACF93" s="1251"/>
      <c r="ACG93" s="1251"/>
      <c r="ACH93" s="1251"/>
      <c r="ACI93" s="1251"/>
      <c r="ACJ93" s="1251"/>
      <c r="ACK93" s="1251"/>
      <c r="ACL93" s="1251"/>
      <c r="ACM93" s="1251"/>
      <c r="ACN93" s="1251"/>
      <c r="ACO93" s="1251"/>
      <c r="ACP93" s="1251"/>
      <c r="ACQ93" s="1251"/>
      <c r="ACR93" s="1251"/>
      <c r="ACS93" s="1251"/>
      <c r="ACT93" s="1251"/>
      <c r="ACU93" s="1251"/>
      <c r="ACV93" s="1251"/>
      <c r="ACW93" s="1251"/>
      <c r="ACX93" s="1251"/>
      <c r="ACY93" s="1251"/>
      <c r="ACZ93" s="1251"/>
      <c r="ADA93" s="1251"/>
      <c r="ADB93" s="1251"/>
      <c r="ADC93" s="1251"/>
      <c r="ADD93" s="1251"/>
      <c r="ADE93" s="1251"/>
      <c r="ADF93" s="1251"/>
      <c r="ADG93" s="1251"/>
      <c r="ADH93" s="1251"/>
      <c r="ADI93" s="1251"/>
      <c r="ADJ93" s="1251"/>
      <c r="ADK93" s="1251"/>
      <c r="ADL93" s="1251"/>
      <c r="ADM93" s="1251"/>
      <c r="ADN93" s="1251"/>
      <c r="ADO93" s="1251"/>
      <c r="ADP93" s="1251"/>
      <c r="ADQ93" s="1251"/>
      <c r="ADR93" s="1251"/>
      <c r="ADS93" s="1251"/>
      <c r="ADT93" s="1251"/>
      <c r="ADU93" s="1251"/>
      <c r="ADV93" s="1251"/>
      <c r="ADW93" s="1251"/>
      <c r="ADX93" s="1251"/>
      <c r="ADY93" s="1251"/>
      <c r="ADZ93" s="1251"/>
      <c r="AEA93" s="1251"/>
      <c r="AEB93" s="1251"/>
      <c r="AEC93" s="1251"/>
      <c r="AED93" s="1251"/>
      <c r="AEE93" s="1251"/>
      <c r="AEF93" s="1251"/>
      <c r="AEG93" s="1251"/>
      <c r="AEH93" s="1251"/>
      <c r="AEI93" s="1251"/>
      <c r="AEJ93" s="1251"/>
      <c r="AEK93" s="1251"/>
      <c r="AEL93" s="1251"/>
      <c r="AEM93" s="1251"/>
      <c r="AEN93" s="1251"/>
      <c r="AEO93" s="1251"/>
      <c r="AEP93" s="1251"/>
      <c r="AEQ93" s="1251"/>
      <c r="AER93" s="1251"/>
      <c r="AES93" s="1251"/>
      <c r="AET93" s="1251"/>
      <c r="AEU93" s="1251"/>
      <c r="AEV93" s="1251"/>
      <c r="AEW93" s="1251"/>
      <c r="AEX93" s="1251"/>
      <c r="AEY93" s="1251"/>
      <c r="AEZ93" s="1251"/>
      <c r="AFA93" s="1251"/>
      <c r="AFB93" s="1251"/>
      <c r="AFC93" s="1251"/>
      <c r="AFD93" s="1251"/>
      <c r="AFE93" s="1251"/>
      <c r="AFF93" s="1251"/>
      <c r="AFG93" s="1251"/>
      <c r="AFH93" s="1251"/>
      <c r="AFI93" s="1251"/>
      <c r="AFJ93" s="1251"/>
      <c r="AFK93" s="1251"/>
      <c r="AFL93" s="1251"/>
      <c r="AFM93" s="1251"/>
      <c r="AFN93" s="1251"/>
      <c r="AFO93" s="1251"/>
      <c r="AFP93" s="1251"/>
      <c r="AFQ93" s="1251"/>
      <c r="AFR93" s="1251"/>
      <c r="AFS93" s="1251"/>
      <c r="AFT93" s="1251"/>
      <c r="AFU93" s="1251"/>
      <c r="AFV93" s="1251"/>
      <c r="AFW93" s="1251"/>
      <c r="AFX93" s="1251"/>
      <c r="AFY93" s="1251"/>
      <c r="AFZ93" s="1251"/>
      <c r="AGA93" s="1251"/>
      <c r="AGB93" s="1251"/>
      <c r="AGC93" s="1251"/>
      <c r="AGD93" s="1251"/>
      <c r="AGE93" s="1251"/>
      <c r="AGF93" s="1251"/>
      <c r="AGG93" s="1251"/>
      <c r="AGH93" s="1251"/>
      <c r="AGI93" s="1251"/>
      <c r="AGJ93" s="1251"/>
      <c r="AGK93" s="1251"/>
      <c r="AGL93" s="1251"/>
      <c r="AGM93" s="1251"/>
      <c r="AGN93" s="1251"/>
      <c r="AGO93" s="1251"/>
      <c r="AGP93" s="1251"/>
      <c r="AGQ93" s="1251"/>
      <c r="AGR93" s="1251"/>
      <c r="AGS93" s="1251"/>
      <c r="AGT93" s="1251"/>
      <c r="AGU93" s="1251"/>
      <c r="AGV93" s="1251"/>
      <c r="AGW93" s="1251"/>
      <c r="AGX93" s="1251"/>
      <c r="AGY93" s="1251"/>
      <c r="AGZ93" s="1251"/>
      <c r="AHA93" s="1251"/>
      <c r="AHB93" s="1251"/>
      <c r="AHC93" s="1251"/>
      <c r="AHD93" s="1251"/>
      <c r="AHE93" s="1251"/>
      <c r="AHF93" s="1251"/>
      <c r="AHG93" s="1251"/>
      <c r="AHH93" s="1251"/>
      <c r="AHI93" s="1251"/>
      <c r="AHJ93" s="1251"/>
      <c r="AHK93" s="1251"/>
      <c r="AHL93" s="1251"/>
      <c r="AHM93" s="1251"/>
      <c r="AHN93" s="1251"/>
      <c r="AHO93" s="1251"/>
      <c r="AHP93" s="1251"/>
      <c r="AHQ93" s="1251"/>
      <c r="AHR93" s="1251"/>
      <c r="AHS93" s="1251"/>
      <c r="AHT93" s="1251"/>
      <c r="AHU93" s="1251"/>
      <c r="AHV93" s="1251"/>
      <c r="AHW93" s="1251"/>
      <c r="AHX93" s="1251"/>
      <c r="AHY93" s="1251"/>
      <c r="AHZ93" s="1251"/>
      <c r="AIA93" s="1251"/>
      <c r="AIB93" s="1251"/>
      <c r="AIC93" s="1251"/>
      <c r="AID93" s="1251"/>
      <c r="AIE93" s="1251"/>
      <c r="AIF93" s="1251"/>
      <c r="AIG93" s="1251"/>
      <c r="AIH93" s="1251"/>
      <c r="AII93" s="1251"/>
      <c r="AIJ93" s="1251"/>
      <c r="AIK93" s="1251"/>
      <c r="AIL93" s="1251"/>
      <c r="AIM93" s="1251"/>
      <c r="AIN93" s="1251"/>
      <c r="AIO93" s="1251"/>
      <c r="AIP93" s="1251"/>
      <c r="AIQ93" s="1251"/>
      <c r="AIR93" s="1251"/>
      <c r="AIS93" s="1251"/>
      <c r="AIT93" s="1251"/>
      <c r="AIU93" s="1251"/>
      <c r="AIV93" s="1251"/>
      <c r="AIW93" s="1251"/>
      <c r="AIX93" s="1251"/>
      <c r="AIY93" s="1251"/>
      <c r="AIZ93" s="1251"/>
      <c r="AJA93" s="1251"/>
      <c r="AJB93" s="1251"/>
      <c r="AJC93" s="1251"/>
      <c r="AJD93" s="1251"/>
      <c r="AJE93" s="1251"/>
      <c r="AJF93" s="1251"/>
      <c r="AJG93" s="1251"/>
      <c r="AJH93" s="1251"/>
      <c r="AJI93" s="1251"/>
      <c r="AJJ93" s="1251"/>
      <c r="AJK93" s="1251"/>
      <c r="AJL93" s="1251"/>
      <c r="AJM93" s="1251"/>
      <c r="AJN93" s="1251"/>
      <c r="AJO93" s="1251"/>
      <c r="AJP93" s="1251"/>
      <c r="AJQ93" s="1251"/>
      <c r="AJR93" s="1251"/>
      <c r="AJS93" s="1251"/>
      <c r="AJT93" s="1251"/>
      <c r="AJU93" s="1251"/>
      <c r="AJV93" s="1251"/>
      <c r="AJW93" s="1251"/>
      <c r="AJX93" s="1251"/>
      <c r="AJY93" s="1251"/>
      <c r="AJZ93" s="1251"/>
      <c r="AKA93" s="1251"/>
      <c r="AKB93" s="1251"/>
      <c r="AKC93" s="1251"/>
      <c r="AKD93" s="1251"/>
      <c r="AKE93" s="1251"/>
      <c r="AKF93" s="1251"/>
      <c r="AKG93" s="1251"/>
      <c r="AKH93" s="1251"/>
      <c r="AKI93" s="1251"/>
      <c r="AKJ93" s="1251"/>
      <c r="AKK93" s="1251"/>
      <c r="AKL93" s="1251"/>
      <c r="AKM93" s="1251"/>
      <c r="AKN93" s="1251"/>
      <c r="AKO93" s="1251"/>
      <c r="AKP93" s="1251"/>
      <c r="AKQ93" s="1251"/>
      <c r="AKR93" s="1251"/>
      <c r="AKS93" s="1251"/>
      <c r="AKT93" s="1251"/>
      <c r="AKU93" s="1251"/>
      <c r="AKV93" s="1251"/>
      <c r="AKW93" s="1251"/>
      <c r="AKX93" s="1251"/>
      <c r="AKY93" s="1251"/>
      <c r="AKZ93" s="1251"/>
      <c r="ALA93" s="1251"/>
      <c r="ALB93" s="1251"/>
      <c r="ALC93" s="1251"/>
      <c r="ALD93" s="1251"/>
      <c r="ALE93" s="1251"/>
      <c r="ALF93" s="1251"/>
      <c r="ALG93" s="1251"/>
      <c r="ALH93" s="1251"/>
      <c r="ALI93" s="1251"/>
      <c r="ALJ93" s="1251"/>
      <c r="ALK93" s="1251"/>
      <c r="ALL93" s="1251"/>
      <c r="ALM93" s="1251"/>
      <c r="ALN93" s="1251"/>
      <c r="ALO93" s="1251"/>
      <c r="ALP93" s="1251"/>
      <c r="ALQ93" s="1251"/>
      <c r="ALR93" s="1251"/>
      <c r="ALS93" s="1251"/>
      <c r="ALT93" s="1251"/>
      <c r="ALU93" s="1251"/>
      <c r="ALV93" s="1251"/>
      <c r="ALW93" s="1251"/>
      <c r="ALX93" s="1251"/>
      <c r="ALY93" s="1251"/>
      <c r="ALZ93" s="1251"/>
      <c r="AMA93" s="1251"/>
      <c r="AMB93" s="1251"/>
      <c r="AMC93" s="1251"/>
      <c r="AMD93" s="1251"/>
      <c r="AME93" s="1251"/>
      <c r="AMF93" s="1251"/>
      <c r="AMG93" s="1251"/>
      <c r="AMH93" s="1251"/>
      <c r="AMI93" s="1251"/>
      <c r="AMJ93" s="1251"/>
      <c r="AMK93" s="1251"/>
      <c r="AML93" s="1251"/>
      <c r="AMM93" s="1251"/>
      <c r="AMN93" s="1251"/>
      <c r="AMO93" s="1251"/>
      <c r="AMP93" s="1251"/>
      <c r="AMQ93" s="1251"/>
      <c r="AMR93" s="1251"/>
      <c r="AMS93" s="1251"/>
      <c r="AMT93" s="1251"/>
      <c r="AMU93" s="1251"/>
      <c r="AMV93" s="1251"/>
      <c r="AMW93" s="1251"/>
      <c r="AMX93" s="1251"/>
      <c r="AMY93" s="1251"/>
      <c r="AMZ93" s="1251"/>
      <c r="ANA93" s="1251"/>
      <c r="ANB93" s="1251"/>
      <c r="ANC93" s="1251"/>
      <c r="AND93" s="1251"/>
      <c r="ANE93" s="1251"/>
      <c r="ANF93" s="1251"/>
      <c r="ANG93" s="1251"/>
      <c r="ANH93" s="1251"/>
      <c r="ANI93" s="1251"/>
      <c r="ANJ93" s="1251"/>
      <c r="ANK93" s="1251"/>
      <c r="ANL93" s="1251"/>
      <c r="ANM93" s="1251"/>
      <c r="ANN93" s="1251"/>
      <c r="ANO93" s="1251"/>
      <c r="ANP93" s="1251"/>
      <c r="ANQ93" s="1251"/>
      <c r="ANR93" s="1251"/>
      <c r="ANS93" s="1251"/>
      <c r="ANT93" s="1251"/>
      <c r="ANU93" s="1251"/>
      <c r="ANV93" s="1251"/>
      <c r="ANW93" s="1251"/>
      <c r="ANX93" s="1251"/>
      <c r="ANY93" s="1251"/>
      <c r="ANZ93" s="1251"/>
      <c r="AOA93" s="1251"/>
      <c r="AOB93" s="1251"/>
      <c r="AOC93" s="1251"/>
      <c r="AOD93" s="1251"/>
      <c r="AOE93" s="1251"/>
      <c r="AOF93" s="1251"/>
      <c r="AOG93" s="1251"/>
      <c r="AOH93" s="1251"/>
      <c r="AOI93" s="1251"/>
      <c r="AOJ93" s="1251"/>
      <c r="AOK93" s="1251"/>
      <c r="AOL93" s="1251"/>
      <c r="AOM93" s="1251"/>
      <c r="AON93" s="1251"/>
      <c r="AOO93" s="1251"/>
      <c r="AOP93" s="1251"/>
      <c r="AOQ93" s="1251"/>
      <c r="AOR93" s="1251"/>
      <c r="AOS93" s="1251"/>
      <c r="AOT93" s="1251"/>
      <c r="AOU93" s="1251"/>
      <c r="AOV93" s="1251"/>
      <c r="AOW93" s="1251"/>
      <c r="AOX93" s="1251"/>
      <c r="AOY93" s="1251"/>
      <c r="AOZ93" s="1251"/>
      <c r="APA93" s="1251"/>
      <c r="APB93" s="1251"/>
      <c r="APC93" s="1251"/>
      <c r="APD93" s="1251"/>
      <c r="APE93" s="1251"/>
      <c r="APF93" s="1251"/>
      <c r="APG93" s="1251"/>
      <c r="APH93" s="1251"/>
      <c r="API93" s="1251"/>
      <c r="APJ93" s="1251"/>
      <c r="APK93" s="1251"/>
      <c r="APL93" s="1251"/>
      <c r="APM93" s="1251"/>
      <c r="APN93" s="1251"/>
      <c r="APO93" s="1251"/>
      <c r="APP93" s="1251"/>
      <c r="APQ93" s="1251"/>
      <c r="APR93" s="1251"/>
      <c r="APS93" s="1251"/>
      <c r="APT93" s="1251"/>
      <c r="APU93" s="1251"/>
      <c r="APV93" s="1251"/>
      <c r="APW93" s="1251"/>
      <c r="APX93" s="1251"/>
      <c r="APY93" s="1251"/>
      <c r="APZ93" s="1251"/>
      <c r="AQA93" s="1251"/>
      <c r="AQB93" s="1251"/>
      <c r="AQC93" s="1251"/>
      <c r="AQD93" s="1251"/>
      <c r="AQE93" s="1251"/>
      <c r="AQF93" s="1251"/>
      <c r="AQG93" s="1251"/>
      <c r="AQH93" s="1251"/>
      <c r="AQI93" s="1251"/>
      <c r="AQJ93" s="1251"/>
      <c r="AQK93" s="1251"/>
      <c r="AQL93" s="1251"/>
      <c r="AQM93" s="1251"/>
      <c r="AQN93" s="1251"/>
      <c r="AQO93" s="1251"/>
      <c r="AQP93" s="1251"/>
      <c r="AQQ93" s="1251"/>
      <c r="AQR93" s="1251"/>
      <c r="AQS93" s="1251"/>
      <c r="AQT93" s="1251"/>
      <c r="AQU93" s="1251"/>
      <c r="AQV93" s="1251"/>
      <c r="AQW93" s="1251"/>
      <c r="AQX93" s="1251"/>
      <c r="AQY93" s="1251"/>
      <c r="AQZ93" s="1251"/>
      <c r="ARA93" s="1251"/>
      <c r="ARB93" s="1251"/>
      <c r="ARC93" s="1251"/>
      <c r="ARD93" s="1251"/>
      <c r="ARE93" s="1251"/>
      <c r="ARF93" s="1251"/>
      <c r="ARG93" s="1251"/>
      <c r="ARH93" s="1251"/>
      <c r="ARI93" s="1251"/>
      <c r="ARJ93" s="1251"/>
      <c r="ARK93" s="1251"/>
      <c r="ARL93" s="1251"/>
      <c r="ARM93" s="1251"/>
      <c r="ARN93" s="1251"/>
      <c r="ARO93" s="1251"/>
      <c r="ARP93" s="1251"/>
      <c r="ARQ93" s="1251"/>
      <c r="ARR93" s="1251"/>
      <c r="ARS93" s="1251"/>
      <c r="ART93" s="1251"/>
      <c r="ARU93" s="1251"/>
      <c r="ARV93" s="1251"/>
      <c r="ARW93" s="1251"/>
      <c r="ARX93" s="1251"/>
      <c r="ARY93" s="1251"/>
      <c r="ARZ93" s="1251"/>
      <c r="ASA93" s="1251"/>
      <c r="ASB93" s="1251"/>
      <c r="ASC93" s="1251"/>
      <c r="ASD93" s="1251"/>
      <c r="ASE93" s="1251"/>
      <c r="ASF93" s="1251"/>
      <c r="ASG93" s="1251"/>
      <c r="ASH93" s="1251"/>
      <c r="ASI93" s="1251"/>
      <c r="ASJ93" s="1251"/>
      <c r="ASK93" s="1251"/>
      <c r="ASL93" s="1251"/>
      <c r="ASM93" s="1251"/>
      <c r="ASN93" s="1251"/>
      <c r="ASO93" s="1251"/>
      <c r="ASP93" s="1251"/>
      <c r="ASQ93" s="1251"/>
      <c r="ASR93" s="1251"/>
      <c r="ASS93" s="1251"/>
      <c r="AST93" s="1251"/>
      <c r="ASU93" s="1251"/>
      <c r="ASV93" s="1251"/>
      <c r="ASW93" s="1251"/>
      <c r="ASX93" s="1251"/>
      <c r="ASY93" s="1251"/>
      <c r="ASZ93" s="1251"/>
      <c r="ATA93" s="1251"/>
      <c r="ATB93" s="1251"/>
      <c r="ATC93" s="1251"/>
      <c r="ATD93" s="1251"/>
      <c r="ATE93" s="1251"/>
      <c r="ATF93" s="1251"/>
      <c r="ATG93" s="1251"/>
      <c r="ATH93" s="1251"/>
      <c r="ATI93" s="1251"/>
      <c r="ATJ93" s="1251"/>
      <c r="ATK93" s="1251"/>
      <c r="ATL93" s="1251"/>
      <c r="ATM93" s="1251"/>
      <c r="ATN93" s="1251"/>
      <c r="ATO93" s="1251"/>
      <c r="ATP93" s="1251"/>
      <c r="ATQ93" s="1251"/>
      <c r="ATR93" s="1251"/>
      <c r="ATS93" s="1251"/>
      <c r="ATT93" s="1251"/>
      <c r="ATU93" s="1251"/>
      <c r="ATV93" s="1251"/>
      <c r="ATW93" s="1251"/>
      <c r="ATX93" s="1251"/>
      <c r="ATY93" s="1251"/>
      <c r="ATZ93" s="1251"/>
      <c r="AUA93" s="1251"/>
      <c r="AUB93" s="1251"/>
      <c r="AUC93" s="1251"/>
      <c r="AUD93" s="1251"/>
      <c r="AUE93" s="1251"/>
      <c r="AUF93" s="1251"/>
      <c r="AUG93" s="1251"/>
      <c r="AUH93" s="1251"/>
      <c r="AUI93" s="1251"/>
      <c r="AUJ93" s="1251"/>
      <c r="AUK93" s="1251"/>
      <c r="AUL93" s="1251"/>
      <c r="AUM93" s="1251"/>
      <c r="AUN93" s="1251"/>
      <c r="AUO93" s="1251"/>
      <c r="AUP93" s="1251"/>
      <c r="AUQ93" s="1251"/>
      <c r="AUR93" s="1251"/>
      <c r="AUS93" s="1251"/>
      <c r="AUT93" s="1251"/>
      <c r="AUU93" s="1251"/>
      <c r="AUV93" s="1251"/>
      <c r="AUW93" s="1251"/>
      <c r="AUX93" s="1251"/>
      <c r="AUY93" s="1251"/>
      <c r="AUZ93" s="1251"/>
      <c r="AVA93" s="1251"/>
      <c r="AVB93" s="1251"/>
      <c r="AVC93" s="1251"/>
      <c r="AVD93" s="1251"/>
      <c r="AVE93" s="1251"/>
      <c r="AVF93" s="1251"/>
      <c r="AVG93" s="1251"/>
      <c r="AVH93" s="1251"/>
      <c r="AVI93" s="1251"/>
      <c r="AVJ93" s="1251"/>
      <c r="AVK93" s="1251"/>
      <c r="AVL93" s="1251"/>
      <c r="AVM93" s="1251"/>
      <c r="AVN93" s="1251"/>
      <c r="AVO93" s="1251"/>
      <c r="AVP93" s="1251"/>
      <c r="AVQ93" s="1251"/>
      <c r="AVR93" s="1251"/>
      <c r="AVS93" s="1251"/>
      <c r="AVT93" s="1251"/>
      <c r="AVU93" s="1251"/>
      <c r="AVV93" s="1251"/>
      <c r="AVW93" s="1251"/>
      <c r="AVX93" s="1251"/>
      <c r="AVY93" s="1251"/>
      <c r="AVZ93" s="1251"/>
      <c r="AWA93" s="1251"/>
      <c r="AWB93" s="1251"/>
      <c r="AWC93" s="1251"/>
      <c r="AWD93" s="1251"/>
      <c r="AWE93" s="1251"/>
      <c r="AWF93" s="1251"/>
      <c r="AWG93" s="1251"/>
      <c r="AWH93" s="1251"/>
      <c r="AWI93" s="1251"/>
      <c r="AWJ93" s="1251"/>
      <c r="AWK93" s="1251"/>
      <c r="AWL93" s="1251"/>
      <c r="AWM93" s="1251"/>
      <c r="AWN93" s="1251"/>
      <c r="AWO93" s="1251"/>
      <c r="AWP93" s="1251"/>
      <c r="AWQ93" s="1251"/>
      <c r="AWR93" s="1251"/>
      <c r="AWS93" s="1251"/>
      <c r="AWT93" s="1251"/>
      <c r="AWU93" s="1251"/>
      <c r="AWV93" s="1251"/>
      <c r="AWW93" s="1251"/>
      <c r="AWX93" s="1251"/>
      <c r="AWY93" s="1251"/>
      <c r="AWZ93" s="1251"/>
      <c r="AXA93" s="1251"/>
      <c r="AXB93" s="1251"/>
      <c r="AXC93" s="1251"/>
      <c r="AXD93" s="1251"/>
      <c r="AXE93" s="1251"/>
      <c r="AXF93" s="1251"/>
      <c r="AXG93" s="1251"/>
      <c r="AXH93" s="1251"/>
      <c r="AXI93" s="1251"/>
      <c r="AXJ93" s="1251"/>
      <c r="AXK93" s="1251"/>
      <c r="AXL93" s="1251"/>
      <c r="AXM93" s="1251"/>
      <c r="AXN93" s="1251"/>
      <c r="AXO93" s="1251"/>
      <c r="AXP93" s="1251"/>
      <c r="AXQ93" s="1251"/>
      <c r="AXR93" s="1251"/>
      <c r="AXS93" s="1251"/>
      <c r="AXT93" s="1251"/>
      <c r="AXU93" s="1251"/>
      <c r="AXV93" s="1251"/>
      <c r="AXW93" s="1251"/>
      <c r="AXX93" s="1251"/>
      <c r="AXY93" s="1251"/>
      <c r="AXZ93" s="1251"/>
      <c r="AYA93" s="1251"/>
      <c r="AYB93" s="1251"/>
      <c r="AYC93" s="1251"/>
      <c r="AYD93" s="1251"/>
      <c r="AYE93" s="1251"/>
      <c r="AYF93" s="1251"/>
      <c r="AYG93" s="1251"/>
      <c r="AYH93" s="1251"/>
      <c r="AYI93" s="1251"/>
      <c r="AYJ93" s="1251"/>
      <c r="AYK93" s="1251"/>
      <c r="AYL93" s="1251"/>
      <c r="AYM93" s="1251"/>
      <c r="AYN93" s="1251"/>
      <c r="AYO93" s="1251"/>
      <c r="AYP93" s="1251"/>
      <c r="AYQ93" s="1251"/>
      <c r="AYR93" s="1251"/>
      <c r="AYS93" s="1251"/>
      <c r="AYT93" s="1251"/>
      <c r="AYU93" s="1251"/>
      <c r="AYV93" s="1251"/>
      <c r="AYW93" s="1251"/>
      <c r="AYX93" s="1251"/>
      <c r="AYY93" s="1251"/>
      <c r="AYZ93" s="1251"/>
      <c r="AZA93" s="1251"/>
      <c r="AZB93" s="1251"/>
      <c r="AZC93" s="1251"/>
      <c r="AZD93" s="1251"/>
      <c r="AZE93" s="1251"/>
      <c r="AZF93" s="1251"/>
      <c r="AZG93" s="1251"/>
      <c r="AZH93" s="1251"/>
      <c r="AZI93" s="1251"/>
      <c r="AZJ93" s="1251"/>
      <c r="AZK93" s="1251"/>
      <c r="AZL93" s="1251"/>
      <c r="AZM93" s="1251"/>
      <c r="AZN93" s="1251"/>
      <c r="AZO93" s="1251"/>
      <c r="AZP93" s="1251"/>
      <c r="AZQ93" s="1251"/>
      <c r="AZR93" s="1251"/>
      <c r="AZS93" s="1251"/>
      <c r="AZT93" s="1251"/>
      <c r="AZU93" s="1251"/>
      <c r="AZV93" s="1251"/>
      <c r="AZW93" s="1251"/>
      <c r="AZX93" s="1251"/>
      <c r="AZY93" s="1251"/>
      <c r="AZZ93" s="1251"/>
      <c r="BAA93" s="1251"/>
      <c r="BAB93" s="1251"/>
      <c r="BAC93" s="1251"/>
      <c r="BAD93" s="1251"/>
      <c r="BAE93" s="1251"/>
      <c r="BAF93" s="1251"/>
      <c r="BAG93" s="1251"/>
      <c r="BAH93" s="1251"/>
      <c r="BAI93" s="1251"/>
      <c r="BAJ93" s="1251"/>
      <c r="BAK93" s="1251"/>
      <c r="BAL93" s="1251"/>
      <c r="BAM93" s="1251"/>
      <c r="BAN93" s="1251"/>
      <c r="BAO93" s="1251"/>
      <c r="BAP93" s="1251"/>
      <c r="BAQ93" s="1251"/>
      <c r="BAR93" s="1251"/>
      <c r="BAS93" s="1251"/>
      <c r="BAT93" s="1251"/>
      <c r="BAU93" s="1251"/>
      <c r="BAV93" s="1251"/>
      <c r="BAW93" s="1251"/>
      <c r="BAX93" s="1251"/>
      <c r="BAY93" s="1251"/>
      <c r="BAZ93" s="1251"/>
      <c r="BBA93" s="1251"/>
      <c r="BBB93" s="1251"/>
      <c r="BBC93" s="1251"/>
      <c r="BBD93" s="1251"/>
      <c r="BBE93" s="1251"/>
      <c r="BBF93" s="1251"/>
      <c r="BBG93" s="1251"/>
      <c r="BBH93" s="1251"/>
      <c r="BBI93" s="1251"/>
      <c r="BBJ93" s="1251"/>
      <c r="BBK93" s="1251"/>
      <c r="BBL93" s="1251"/>
      <c r="BBM93" s="1251"/>
      <c r="BBN93" s="1251"/>
      <c r="BBO93" s="1251"/>
      <c r="BBP93" s="1251"/>
      <c r="BBQ93" s="1251"/>
      <c r="BBR93" s="1251"/>
      <c r="BBS93" s="1251"/>
      <c r="BBT93" s="1251"/>
      <c r="BBU93" s="1251"/>
      <c r="BBV93" s="1251"/>
      <c r="BBW93" s="1251"/>
      <c r="BBX93" s="1251"/>
      <c r="BBY93" s="1251"/>
      <c r="BBZ93" s="1251"/>
      <c r="BCA93" s="1251"/>
      <c r="BCB93" s="1251"/>
      <c r="BCC93" s="1251"/>
      <c r="BCD93" s="1251"/>
      <c r="BCE93" s="1251"/>
      <c r="BCF93" s="1251"/>
      <c r="BCG93" s="1251"/>
      <c r="BCH93" s="1251"/>
      <c r="BCI93" s="1251"/>
      <c r="BCJ93" s="1251"/>
      <c r="BCK93" s="1251"/>
      <c r="BCL93" s="1251"/>
      <c r="BCM93" s="1251"/>
      <c r="BCN93" s="1251"/>
      <c r="BCO93" s="1251"/>
      <c r="BCP93" s="1251"/>
      <c r="BCQ93" s="1251"/>
      <c r="BCR93" s="1251"/>
      <c r="BCS93" s="1251"/>
      <c r="BCT93" s="1251"/>
      <c r="BCU93" s="1251"/>
      <c r="BCV93" s="1251"/>
      <c r="BCW93" s="1251"/>
      <c r="BCX93" s="1251"/>
      <c r="BCY93" s="1251"/>
      <c r="BCZ93" s="1251"/>
      <c r="BDA93" s="1251"/>
      <c r="BDB93" s="1251"/>
      <c r="BDC93" s="1251"/>
      <c r="BDD93" s="1251"/>
      <c r="BDE93" s="1251"/>
      <c r="BDF93" s="1251"/>
      <c r="BDG93" s="1251"/>
      <c r="BDH93" s="1251"/>
      <c r="BDI93" s="1251"/>
      <c r="BDJ93" s="1251"/>
      <c r="BDK93" s="1251"/>
      <c r="BDL93" s="1251"/>
      <c r="BDM93" s="1251"/>
      <c r="BDN93" s="1251"/>
      <c r="BDO93" s="1251"/>
      <c r="BDP93" s="1251"/>
      <c r="BDQ93" s="1251"/>
      <c r="BDR93" s="1251"/>
      <c r="BDS93" s="1251"/>
      <c r="BDT93" s="1251"/>
      <c r="BDU93" s="1251"/>
      <c r="BDV93" s="1251"/>
      <c r="BDW93" s="1251"/>
      <c r="BDX93" s="1251"/>
      <c r="BDY93" s="1251"/>
      <c r="BDZ93" s="1251"/>
      <c r="BEA93" s="1251"/>
      <c r="BEB93" s="1251"/>
      <c r="BEC93" s="1251"/>
      <c r="BED93" s="1251"/>
      <c r="BEE93" s="1251"/>
      <c r="BEF93" s="1251"/>
      <c r="BEG93" s="1251"/>
      <c r="BEH93" s="1251"/>
      <c r="BEI93" s="1251"/>
      <c r="BEJ93" s="1251"/>
      <c r="BEK93" s="1251"/>
      <c r="BEL93" s="1251"/>
      <c r="BEM93" s="1251"/>
      <c r="BEN93" s="1251"/>
      <c r="BEO93" s="1251"/>
      <c r="BEP93" s="1251"/>
      <c r="BEQ93" s="1251"/>
      <c r="BER93" s="1251"/>
      <c r="BES93" s="1251"/>
      <c r="BET93" s="1251"/>
      <c r="BEU93" s="1251"/>
      <c r="BEV93" s="1251"/>
      <c r="BEW93" s="1251"/>
      <c r="BEX93" s="1251"/>
      <c r="BEY93" s="1251"/>
      <c r="BEZ93" s="1251"/>
      <c r="BFA93" s="1251"/>
      <c r="BFB93" s="1251"/>
      <c r="BFC93" s="1251"/>
      <c r="BFD93" s="1251"/>
      <c r="BFE93" s="1251"/>
      <c r="BFF93" s="1251"/>
      <c r="BFG93" s="1251"/>
      <c r="BFH93" s="1251"/>
      <c r="BFI93" s="1251"/>
      <c r="BFJ93" s="1251"/>
      <c r="BFK93" s="1251"/>
      <c r="BFL93" s="1251"/>
      <c r="BFM93" s="1251"/>
      <c r="BFN93" s="1251"/>
      <c r="BFO93" s="1251"/>
      <c r="BFP93" s="1251"/>
      <c r="BFQ93" s="1251"/>
      <c r="BFR93" s="1251"/>
      <c r="BFS93" s="1251"/>
      <c r="BFT93" s="1251"/>
      <c r="BFU93" s="1251"/>
      <c r="BFV93" s="1251"/>
      <c r="BFW93" s="1251"/>
      <c r="BFX93" s="1251"/>
      <c r="BFY93" s="1251"/>
      <c r="BFZ93" s="1251"/>
      <c r="BGA93" s="1251"/>
      <c r="BGB93" s="1251"/>
      <c r="BGC93" s="1251"/>
      <c r="BGD93" s="1251"/>
      <c r="BGE93" s="1251"/>
      <c r="BGF93" s="1251"/>
      <c r="BGG93" s="1251"/>
      <c r="BGH93" s="1251"/>
      <c r="BGI93" s="1251"/>
      <c r="BGJ93" s="1251"/>
      <c r="BGK93" s="1251"/>
      <c r="BGL93" s="1251"/>
      <c r="BGM93" s="1251"/>
      <c r="BGN93" s="1251"/>
      <c r="BGO93" s="1251"/>
      <c r="BGP93" s="1251"/>
      <c r="BGQ93" s="1251"/>
      <c r="BGR93" s="1251"/>
      <c r="BGS93" s="1251"/>
      <c r="BGT93" s="1251"/>
      <c r="BGU93" s="1251"/>
      <c r="BGV93" s="1251"/>
      <c r="BGW93" s="1251"/>
      <c r="BGX93" s="1251"/>
      <c r="BGY93" s="1251"/>
      <c r="BGZ93" s="1251"/>
      <c r="BHA93" s="1251"/>
      <c r="BHB93" s="1251"/>
      <c r="BHC93" s="1251"/>
      <c r="BHD93" s="1251"/>
      <c r="BHE93" s="1251"/>
      <c r="BHF93" s="1251"/>
      <c r="BHG93" s="1251"/>
      <c r="BHH93" s="1251"/>
      <c r="BHI93" s="1251"/>
      <c r="BHJ93" s="1251"/>
      <c r="BHK93" s="1251"/>
      <c r="BHL93" s="1251"/>
      <c r="BHM93" s="1251"/>
      <c r="BHN93" s="1251"/>
      <c r="BHO93" s="1251"/>
      <c r="BHP93" s="1251"/>
      <c r="BHQ93" s="1251"/>
      <c r="BHR93" s="1251"/>
      <c r="BHS93" s="1251"/>
      <c r="BHT93" s="1251"/>
      <c r="BHU93" s="1251"/>
      <c r="BHV93" s="1251"/>
      <c r="BHW93" s="1251"/>
      <c r="BHX93" s="1251"/>
      <c r="BHY93" s="1251"/>
      <c r="BHZ93" s="1251"/>
      <c r="BIA93" s="1251"/>
      <c r="BIB93" s="1251"/>
      <c r="BIC93" s="1251"/>
      <c r="BID93" s="1251"/>
      <c r="BIE93" s="1251"/>
      <c r="BIF93" s="1251"/>
      <c r="BIG93" s="1251"/>
      <c r="BIH93" s="1251"/>
      <c r="BII93" s="1251"/>
      <c r="BIJ93" s="1251"/>
      <c r="BIK93" s="1251"/>
      <c r="BIL93" s="1251"/>
      <c r="BIM93" s="1251"/>
      <c r="BIN93" s="1251"/>
      <c r="BIO93" s="1251"/>
      <c r="BIP93" s="1251"/>
      <c r="BIQ93" s="1251"/>
      <c r="BIR93" s="1251"/>
      <c r="BIS93" s="1251"/>
      <c r="BIT93" s="1251"/>
      <c r="BIU93" s="1251"/>
      <c r="BIV93" s="1251"/>
      <c r="BIW93" s="1251"/>
      <c r="BIX93" s="1251"/>
      <c r="BIY93" s="1251"/>
      <c r="BIZ93" s="1251"/>
      <c r="BJA93" s="1251"/>
      <c r="BJB93" s="1251"/>
      <c r="BJC93" s="1251"/>
      <c r="BJD93" s="1251"/>
      <c r="BJE93" s="1251"/>
      <c r="BJF93" s="1251"/>
      <c r="BJG93" s="1251"/>
      <c r="BJH93" s="1251"/>
      <c r="BJI93" s="1251"/>
      <c r="BJJ93" s="1251"/>
      <c r="BJK93" s="1251"/>
      <c r="BJL93" s="1251"/>
      <c r="BJM93" s="1251"/>
      <c r="BJN93" s="1251"/>
      <c r="BJO93" s="1251"/>
      <c r="BJP93" s="1251"/>
      <c r="BJQ93" s="1251"/>
      <c r="BJR93" s="1251"/>
      <c r="BJS93" s="1251"/>
      <c r="BJT93" s="1251"/>
      <c r="BJU93" s="1251"/>
      <c r="BJV93" s="1251"/>
      <c r="BJW93" s="1251"/>
      <c r="BJX93" s="1251"/>
      <c r="BJY93" s="1251"/>
      <c r="BJZ93" s="1251"/>
      <c r="BKA93" s="1251"/>
      <c r="BKB93" s="1251"/>
      <c r="BKC93" s="1251"/>
      <c r="BKD93" s="1251"/>
      <c r="BKE93" s="1251"/>
      <c r="BKF93" s="1251"/>
      <c r="BKG93" s="1251"/>
      <c r="BKH93" s="1251"/>
      <c r="BKI93" s="1251"/>
      <c r="BKJ93" s="1251"/>
      <c r="BKK93" s="1251"/>
      <c r="BKL93" s="1251"/>
      <c r="BKM93" s="1251"/>
      <c r="BKN93" s="1251"/>
      <c r="BKO93" s="1251"/>
      <c r="BKP93" s="1251"/>
      <c r="BKQ93" s="1251"/>
      <c r="BKR93" s="1251"/>
      <c r="BKS93" s="1251"/>
      <c r="BKT93" s="1251"/>
      <c r="BKU93" s="1251"/>
      <c r="BKV93" s="1251"/>
      <c r="BKW93" s="1251"/>
      <c r="BKX93" s="1251"/>
      <c r="BKY93" s="1251"/>
      <c r="BKZ93" s="1251"/>
      <c r="BLA93" s="1251"/>
      <c r="BLB93" s="1251"/>
      <c r="BLC93" s="1251"/>
      <c r="BLD93" s="1251"/>
      <c r="BLE93" s="1251"/>
      <c r="BLF93" s="1251"/>
      <c r="BLG93" s="1251"/>
      <c r="BLH93" s="1251"/>
      <c r="BLI93" s="1251"/>
      <c r="BLJ93" s="1251"/>
      <c r="BLK93" s="1251"/>
      <c r="BLL93" s="1251"/>
      <c r="BLM93" s="1251"/>
      <c r="BLN93" s="1251"/>
      <c r="BLO93" s="1251"/>
      <c r="BLP93" s="1251"/>
      <c r="BLQ93" s="1251"/>
      <c r="BLR93" s="1251"/>
      <c r="BLS93" s="1251"/>
      <c r="BLT93" s="1251"/>
      <c r="BLU93" s="1251"/>
      <c r="BLV93" s="1251"/>
      <c r="BLW93" s="1251"/>
      <c r="BLX93" s="1251"/>
      <c r="BLY93" s="1251"/>
      <c r="BLZ93" s="1251"/>
      <c r="BMA93" s="1251"/>
      <c r="BMB93" s="1251"/>
      <c r="BMC93" s="1251"/>
      <c r="BMD93" s="1251"/>
      <c r="BME93" s="1251"/>
      <c r="BMF93" s="1251"/>
      <c r="BMG93" s="1251"/>
      <c r="BMH93" s="1251"/>
      <c r="BMI93" s="1251"/>
      <c r="BMJ93" s="1251"/>
      <c r="BMK93" s="1251"/>
      <c r="BML93" s="1251"/>
      <c r="BMM93" s="1251"/>
      <c r="BMN93" s="1251"/>
      <c r="BMO93" s="1251"/>
      <c r="BMP93" s="1251"/>
      <c r="BMQ93" s="1251"/>
      <c r="BMR93" s="1251"/>
      <c r="BMS93" s="1251"/>
      <c r="BMT93" s="1251"/>
      <c r="BMU93" s="1251"/>
      <c r="BMV93" s="1251"/>
      <c r="BMW93" s="1251"/>
      <c r="BMX93" s="1251"/>
      <c r="BMY93" s="1251"/>
      <c r="BMZ93" s="1251"/>
      <c r="BNA93" s="1251"/>
      <c r="BNB93" s="1251"/>
      <c r="BNC93" s="1251"/>
      <c r="BND93" s="1251"/>
      <c r="BNE93" s="1251"/>
      <c r="BNF93" s="1251"/>
      <c r="BNG93" s="1251"/>
      <c r="BNH93" s="1251"/>
      <c r="BNI93" s="1251"/>
      <c r="BNJ93" s="1251"/>
      <c r="BNK93" s="1251"/>
      <c r="BNL93" s="1251"/>
      <c r="BNM93" s="1251"/>
      <c r="BNN93" s="1251"/>
      <c r="BNO93" s="1251"/>
      <c r="BNP93" s="1251"/>
      <c r="BNQ93" s="1251"/>
      <c r="BNR93" s="1251"/>
      <c r="BNS93" s="1251"/>
      <c r="BNT93" s="1251"/>
      <c r="BNU93" s="1251"/>
      <c r="BNV93" s="1251"/>
      <c r="BNW93" s="1251"/>
      <c r="BNX93" s="1251"/>
      <c r="BNY93" s="1251"/>
      <c r="BNZ93" s="1251"/>
      <c r="BOA93" s="1251"/>
      <c r="BOB93" s="1251"/>
      <c r="BOC93" s="1251"/>
      <c r="BOD93" s="1251"/>
      <c r="BOE93" s="1251"/>
      <c r="BOF93" s="1251"/>
      <c r="BOG93" s="1251"/>
      <c r="BOH93" s="1251"/>
      <c r="BOI93" s="1251"/>
      <c r="BOJ93" s="1251"/>
      <c r="BOK93" s="1251"/>
      <c r="BOL93" s="1251"/>
      <c r="BOM93" s="1251"/>
      <c r="BON93" s="1251"/>
      <c r="BOO93" s="1251"/>
      <c r="BOP93" s="1251"/>
      <c r="BOQ93" s="1251"/>
      <c r="BOR93" s="1251"/>
      <c r="BOS93" s="1251"/>
      <c r="BOT93" s="1251"/>
      <c r="BOU93" s="1251"/>
      <c r="BOV93" s="1251"/>
      <c r="BOW93" s="1251"/>
      <c r="BOX93" s="1251"/>
      <c r="BOY93" s="1251"/>
      <c r="BOZ93" s="1251"/>
      <c r="BPA93" s="1251"/>
      <c r="BPB93" s="1251"/>
      <c r="BPC93" s="1251"/>
      <c r="BPD93" s="1251"/>
      <c r="BPE93" s="1251"/>
      <c r="BPF93" s="1251"/>
      <c r="BPG93" s="1251"/>
      <c r="BPH93" s="1251"/>
      <c r="BPI93" s="1251"/>
      <c r="BPJ93" s="1251"/>
      <c r="BPK93" s="1251"/>
      <c r="BPL93" s="1251"/>
      <c r="BPM93" s="1251"/>
      <c r="BPN93" s="1251"/>
      <c r="BPO93" s="1251"/>
      <c r="BPP93" s="1251"/>
      <c r="BPQ93" s="1251"/>
      <c r="BPR93" s="1251"/>
      <c r="BPS93" s="1251"/>
      <c r="BPT93" s="1251"/>
      <c r="BPU93" s="1251"/>
      <c r="BPV93" s="1251"/>
      <c r="BPW93" s="1251"/>
      <c r="BPX93" s="1251"/>
      <c r="BPY93" s="1251"/>
      <c r="BPZ93" s="1251"/>
      <c r="BQA93" s="1251"/>
      <c r="BQB93" s="1251"/>
      <c r="BQC93" s="1251"/>
      <c r="BQD93" s="1251"/>
      <c r="BQE93" s="1251"/>
      <c r="BQF93" s="1251"/>
      <c r="BQG93" s="1251"/>
      <c r="BQH93" s="1251"/>
      <c r="BQI93" s="1251"/>
      <c r="BQJ93" s="1251"/>
      <c r="BQK93" s="1251"/>
      <c r="BQL93" s="1251"/>
      <c r="BQM93" s="1251"/>
      <c r="BQN93" s="1251"/>
      <c r="BQO93" s="1251"/>
      <c r="BQP93" s="1251"/>
      <c r="BQQ93" s="1251"/>
      <c r="BQR93" s="1251"/>
      <c r="BQS93" s="1251"/>
      <c r="BQT93" s="1251"/>
      <c r="BQU93" s="1251"/>
      <c r="BQV93" s="1251"/>
      <c r="BQW93" s="1251"/>
      <c r="BQX93" s="1251"/>
      <c r="BQY93" s="1251"/>
      <c r="BQZ93" s="1251"/>
      <c r="BRA93" s="1251"/>
      <c r="BRB93" s="1251"/>
      <c r="BRC93" s="1251"/>
      <c r="BRD93" s="1251"/>
      <c r="BRE93" s="1251"/>
      <c r="BRF93" s="1251"/>
      <c r="BRG93" s="1251"/>
      <c r="BRH93" s="1251"/>
      <c r="BRI93" s="1251"/>
      <c r="BRJ93" s="1251"/>
      <c r="BRK93" s="1251"/>
      <c r="BRL93" s="1251"/>
      <c r="BRM93" s="1251"/>
      <c r="BRN93" s="1251"/>
      <c r="BRO93" s="1251"/>
      <c r="BRP93" s="1251"/>
      <c r="BRQ93" s="1251"/>
      <c r="BRR93" s="1251"/>
      <c r="BRS93" s="1251"/>
      <c r="BRT93" s="1251"/>
      <c r="BRU93" s="1251"/>
      <c r="BRV93" s="1251"/>
      <c r="BRW93" s="1251"/>
      <c r="BRX93" s="1251"/>
      <c r="BRY93" s="1251"/>
      <c r="BRZ93" s="1251"/>
      <c r="BSA93" s="1251"/>
      <c r="BSB93" s="1251"/>
      <c r="BSC93" s="1251"/>
      <c r="BSD93" s="1251"/>
      <c r="BSE93" s="1251"/>
      <c r="BSF93" s="1251"/>
      <c r="BSG93" s="1251"/>
      <c r="BSH93" s="1251"/>
      <c r="BSI93" s="1251"/>
      <c r="BSJ93" s="1251"/>
      <c r="BSK93" s="1251"/>
      <c r="BSL93" s="1251"/>
      <c r="BSM93" s="1251"/>
      <c r="BSN93" s="1251"/>
      <c r="BSO93" s="1251"/>
      <c r="BSP93" s="1251"/>
      <c r="BSQ93" s="1251"/>
      <c r="BSR93" s="1251"/>
      <c r="BSS93" s="1251"/>
      <c r="BST93" s="1251"/>
      <c r="BSU93" s="1251"/>
      <c r="BSV93" s="1251"/>
      <c r="BSW93" s="1251"/>
      <c r="BSX93" s="1251"/>
      <c r="BSY93" s="1251"/>
      <c r="BSZ93" s="1251"/>
      <c r="BTA93" s="1251"/>
      <c r="BTB93" s="1251"/>
      <c r="BTC93" s="1251"/>
      <c r="BTD93" s="1251"/>
      <c r="BTE93" s="1251"/>
      <c r="BTF93" s="1251"/>
      <c r="BTG93" s="1251"/>
      <c r="BTH93" s="1251"/>
      <c r="BTI93" s="1251"/>
    </row>
    <row r="94" spans="1:1881" s="1261" customFormat="1" ht="143.25" hidden="1" customHeight="1" thickBot="1" x14ac:dyDescent="0.35">
      <c r="A94" s="808">
        <v>149</v>
      </c>
      <c r="B94" s="593" t="s">
        <v>1193</v>
      </c>
      <c r="C94" s="593" t="s">
        <v>1194</v>
      </c>
      <c r="D94" s="24" t="s">
        <v>1270</v>
      </c>
      <c r="E94" s="1249" t="e">
        <f>HLOOKUP($D$2,'2020 Data(H)'!$C$1:$CZ$426,69,FALSE)</f>
        <v>#N/A</v>
      </c>
      <c r="F94" s="1263">
        <v>0</v>
      </c>
      <c r="G94" s="727"/>
      <c r="H94" s="730"/>
      <c r="I94" s="760"/>
      <c r="J94" s="1251"/>
      <c r="K94" s="1251"/>
      <c r="L94" s="701"/>
      <c r="M94" s="1251"/>
      <c r="N94" s="1253"/>
      <c r="O94" s="1251"/>
      <c r="P94" s="1251"/>
      <c r="Q94" s="1251"/>
      <c r="R94" s="1251"/>
      <c r="S94" s="1251"/>
      <c r="T94" s="1251"/>
      <c r="U94" s="1251"/>
      <c r="V94" s="1251"/>
      <c r="W94" s="1251"/>
      <c r="X94" s="1251"/>
      <c r="Y94" s="1251"/>
      <c r="Z94" s="808"/>
      <c r="AA94" s="808"/>
      <c r="AB94" s="808"/>
      <c r="AC94" s="808"/>
      <c r="AD94" s="808"/>
      <c r="AE94" s="808"/>
      <c r="AF94" s="808"/>
      <c r="AG94" s="808"/>
      <c r="AH94" s="808"/>
      <c r="AI94" s="808"/>
      <c r="AJ94" s="808"/>
      <c r="AK94" s="808"/>
      <c r="AL94" s="808"/>
      <c r="AM94" s="808"/>
      <c r="AN94" s="808"/>
      <c r="AO94" s="808"/>
      <c r="AP94" s="808"/>
      <c r="AQ94" s="808"/>
      <c r="AR94" s="808"/>
      <c r="AS94" s="1251"/>
      <c r="AT94" s="1251"/>
      <c r="AU94" s="1251"/>
      <c r="AV94" s="1251"/>
      <c r="AW94" s="1251"/>
      <c r="AX94" s="1251"/>
      <c r="AY94" s="1251"/>
      <c r="AZ94" s="1251"/>
      <c r="BA94" s="1251"/>
      <c r="BB94" s="1251"/>
      <c r="BC94" s="1251"/>
      <c r="BD94" s="1251"/>
      <c r="BE94" s="1251"/>
      <c r="BF94" s="1251"/>
      <c r="BG94" s="1251"/>
      <c r="BH94" s="1251"/>
      <c r="BI94" s="1251"/>
      <c r="BJ94" s="1251"/>
      <c r="BK94" s="1251"/>
      <c r="BL94" s="1251"/>
      <c r="BM94" s="1251"/>
      <c r="BN94" s="1251"/>
      <c r="BO94" s="1251"/>
      <c r="BP94" s="1251"/>
      <c r="BQ94" s="1251"/>
      <c r="BR94" s="1251"/>
      <c r="BS94" s="1251"/>
      <c r="BT94" s="1251"/>
      <c r="BU94" s="1251"/>
      <c r="BV94" s="1251"/>
      <c r="BW94" s="1251"/>
      <c r="BX94" s="1251"/>
      <c r="BY94" s="1251"/>
      <c r="BZ94" s="1251"/>
      <c r="CA94" s="1251"/>
      <c r="CB94" s="1251"/>
      <c r="CC94" s="1251"/>
      <c r="CD94" s="1251"/>
      <c r="CE94" s="1251"/>
      <c r="CF94" s="1251"/>
      <c r="CG94" s="1251"/>
      <c r="CH94" s="1251"/>
      <c r="CI94" s="1251"/>
      <c r="CJ94" s="1251"/>
      <c r="CK94" s="1251"/>
      <c r="CL94" s="1251"/>
      <c r="CM94" s="1251"/>
      <c r="CN94" s="1251"/>
      <c r="CO94" s="1251"/>
      <c r="CP94" s="1251"/>
      <c r="CQ94" s="1251"/>
      <c r="CR94" s="1251"/>
      <c r="CS94" s="1251"/>
      <c r="CT94" s="1251"/>
      <c r="CU94" s="1251"/>
      <c r="CV94" s="1251"/>
      <c r="CW94" s="1251"/>
      <c r="CX94" s="1251"/>
      <c r="CY94" s="1251"/>
      <c r="CZ94" s="1251"/>
      <c r="DA94" s="1251"/>
      <c r="DB94" s="1251"/>
      <c r="DC94" s="1251"/>
      <c r="DD94" s="1251"/>
      <c r="DE94" s="1251"/>
      <c r="DF94" s="1251"/>
      <c r="DG94" s="1251"/>
      <c r="DH94" s="1251"/>
      <c r="DI94" s="1251"/>
      <c r="DJ94" s="1251"/>
      <c r="DK94" s="1251"/>
      <c r="DL94" s="1251"/>
      <c r="DM94" s="1251"/>
      <c r="DN94" s="1251"/>
      <c r="DO94" s="1251"/>
      <c r="DP94" s="1251"/>
      <c r="DQ94" s="1251"/>
      <c r="DR94" s="1251"/>
      <c r="DS94" s="1251"/>
      <c r="DT94" s="1251"/>
      <c r="DU94" s="1251"/>
      <c r="DV94" s="1251"/>
      <c r="DW94" s="1251"/>
      <c r="DX94" s="1251"/>
      <c r="DY94" s="1251"/>
      <c r="DZ94" s="1251"/>
      <c r="EA94" s="1251"/>
      <c r="EB94" s="1251"/>
      <c r="EC94" s="1251"/>
      <c r="ED94" s="1251"/>
      <c r="EE94" s="1251"/>
      <c r="EF94" s="1251"/>
      <c r="EG94" s="1251"/>
      <c r="EH94" s="1251"/>
      <c r="EI94" s="1251"/>
      <c r="EJ94" s="1251"/>
      <c r="EK94" s="1251"/>
      <c r="EL94" s="1251"/>
      <c r="EM94" s="1251"/>
      <c r="EN94" s="1251"/>
      <c r="EO94" s="1251"/>
      <c r="EP94" s="1251"/>
      <c r="EQ94" s="1251"/>
      <c r="ER94" s="1251"/>
      <c r="ES94" s="1251"/>
      <c r="ET94" s="1251"/>
      <c r="EU94" s="1251"/>
      <c r="EV94" s="1251"/>
      <c r="EW94" s="1251"/>
      <c r="EX94" s="1251"/>
      <c r="EY94" s="1251"/>
      <c r="EZ94" s="1251"/>
      <c r="FA94" s="1251"/>
      <c r="FB94" s="1251"/>
      <c r="FC94" s="1251"/>
      <c r="FD94" s="1251"/>
      <c r="FE94" s="1251"/>
      <c r="FF94" s="1251"/>
      <c r="FG94" s="1251"/>
      <c r="FH94" s="1251"/>
      <c r="FI94" s="1251"/>
      <c r="FJ94" s="1251"/>
      <c r="FK94" s="1251"/>
      <c r="FL94" s="1251"/>
      <c r="FM94" s="1251"/>
      <c r="FN94" s="1251"/>
      <c r="FO94" s="1251"/>
      <c r="FP94" s="1251"/>
      <c r="FQ94" s="1251"/>
      <c r="FR94" s="1251"/>
      <c r="FS94" s="1251"/>
      <c r="FT94" s="1251"/>
      <c r="FU94" s="1251"/>
      <c r="FV94" s="1251"/>
      <c r="FW94" s="1251"/>
      <c r="FX94" s="1251"/>
      <c r="FY94" s="1251"/>
      <c r="FZ94" s="1251"/>
      <c r="GA94" s="1251"/>
      <c r="GB94" s="1251"/>
      <c r="GC94" s="1251"/>
      <c r="GD94" s="1251"/>
      <c r="GE94" s="1251"/>
      <c r="GF94" s="1251"/>
      <c r="GG94" s="1251"/>
      <c r="GH94" s="1251"/>
      <c r="GI94" s="1251"/>
      <c r="GJ94" s="1251"/>
      <c r="GK94" s="1251"/>
      <c r="GL94" s="1251"/>
      <c r="GM94" s="1251"/>
      <c r="GN94" s="1251"/>
      <c r="GO94" s="1251"/>
      <c r="GP94" s="1251"/>
      <c r="GQ94" s="1251"/>
      <c r="GR94" s="1251"/>
      <c r="GS94" s="1251"/>
      <c r="GT94" s="1251"/>
      <c r="GU94" s="1251"/>
      <c r="GV94" s="1251"/>
      <c r="GW94" s="1251"/>
      <c r="GX94" s="1251"/>
      <c r="GY94" s="1251"/>
      <c r="GZ94" s="1251"/>
      <c r="HA94" s="1251"/>
      <c r="HB94" s="1251"/>
      <c r="HC94" s="1251"/>
      <c r="HD94" s="1251"/>
      <c r="HE94" s="1251"/>
      <c r="HF94" s="1251"/>
      <c r="HG94" s="1251"/>
      <c r="HH94" s="1251"/>
      <c r="HI94" s="1251"/>
      <c r="HJ94" s="1251"/>
      <c r="HK94" s="1251"/>
      <c r="HL94" s="1251"/>
      <c r="HM94" s="1251"/>
      <c r="HN94" s="1251"/>
      <c r="HO94" s="1251"/>
      <c r="HP94" s="1251"/>
      <c r="HQ94" s="1251"/>
      <c r="HR94" s="1251"/>
      <c r="HS94" s="1251"/>
      <c r="HT94" s="1251"/>
      <c r="HU94" s="1251"/>
      <c r="HV94" s="1251"/>
      <c r="HW94" s="1251"/>
      <c r="HX94" s="1251"/>
      <c r="HY94" s="1251"/>
      <c r="HZ94" s="1251"/>
      <c r="IA94" s="1251"/>
      <c r="IB94" s="1251"/>
      <c r="IC94" s="1251"/>
      <c r="ID94" s="1251"/>
      <c r="IE94" s="1251"/>
      <c r="IF94" s="1251"/>
      <c r="IG94" s="1251"/>
      <c r="IH94" s="1251"/>
      <c r="II94" s="1251"/>
      <c r="IJ94" s="1251"/>
      <c r="IK94" s="1251"/>
      <c r="IL94" s="1251"/>
      <c r="IM94" s="1251"/>
      <c r="IN94" s="1251"/>
      <c r="IO94" s="1251"/>
      <c r="IP94" s="1251"/>
      <c r="IQ94" s="1251"/>
      <c r="IR94" s="1251"/>
      <c r="IS94" s="1251"/>
      <c r="IT94" s="1251"/>
      <c r="IU94" s="1251"/>
      <c r="IV94" s="1251"/>
      <c r="IW94" s="1251"/>
      <c r="IX94" s="1251"/>
      <c r="IY94" s="1251"/>
      <c r="IZ94" s="1251"/>
      <c r="JA94" s="1251"/>
      <c r="JB94" s="1251"/>
      <c r="JC94" s="1251"/>
      <c r="JD94" s="1251"/>
      <c r="JE94" s="1251"/>
      <c r="JF94" s="1251"/>
      <c r="JG94" s="1251"/>
      <c r="JH94" s="1251"/>
      <c r="JI94" s="1251"/>
      <c r="JJ94" s="1251"/>
      <c r="JK94" s="1251"/>
      <c r="JL94" s="1251"/>
      <c r="JM94" s="1251"/>
      <c r="JN94" s="1251"/>
      <c r="JO94" s="1251"/>
      <c r="JP94" s="1251"/>
      <c r="JQ94" s="1251"/>
      <c r="JR94" s="1251"/>
      <c r="JS94" s="1251"/>
      <c r="JT94" s="1251"/>
      <c r="JU94" s="1251"/>
      <c r="JV94" s="1251"/>
      <c r="JW94" s="1251"/>
      <c r="JX94" s="1251"/>
      <c r="JY94" s="1251"/>
      <c r="JZ94" s="1251"/>
      <c r="KA94" s="1251"/>
      <c r="KB94" s="1251"/>
      <c r="KC94" s="1251"/>
      <c r="KD94" s="1251"/>
      <c r="KE94" s="1251"/>
      <c r="KF94" s="1251"/>
      <c r="KG94" s="1251"/>
      <c r="KH94" s="1251"/>
      <c r="KI94" s="1251"/>
      <c r="KJ94" s="1251"/>
      <c r="KK94" s="1251"/>
      <c r="KL94" s="1251"/>
      <c r="KM94" s="1251"/>
      <c r="KN94" s="1251"/>
      <c r="KO94" s="1251"/>
      <c r="KP94" s="1251"/>
      <c r="KQ94" s="1251"/>
      <c r="KR94" s="1251"/>
      <c r="KS94" s="1251"/>
      <c r="KT94" s="1251"/>
      <c r="KU94" s="1251"/>
      <c r="KV94" s="1251"/>
      <c r="KW94" s="1251"/>
      <c r="KX94" s="1251"/>
      <c r="KY94" s="1251"/>
      <c r="KZ94" s="1251"/>
      <c r="LA94" s="1251"/>
      <c r="LB94" s="1251"/>
      <c r="LC94" s="1251"/>
      <c r="LD94" s="1251"/>
      <c r="LE94" s="1251"/>
      <c r="LF94" s="1251"/>
      <c r="LG94" s="1251"/>
      <c r="LH94" s="1251"/>
      <c r="LI94" s="1251"/>
      <c r="LJ94" s="1251"/>
      <c r="LK94" s="1251"/>
      <c r="LL94" s="1251"/>
      <c r="LM94" s="1251"/>
      <c r="LN94" s="1251"/>
      <c r="LO94" s="1251"/>
      <c r="LP94" s="1251"/>
      <c r="LQ94" s="1251"/>
      <c r="LR94" s="1251"/>
      <c r="LS94" s="1251"/>
      <c r="LT94" s="1251"/>
      <c r="LU94" s="1251"/>
      <c r="LV94" s="1251"/>
      <c r="LW94" s="1251"/>
      <c r="LX94" s="1251"/>
      <c r="LY94" s="1251"/>
      <c r="LZ94" s="1251"/>
      <c r="MA94" s="1251"/>
      <c r="MB94" s="1251"/>
      <c r="MC94" s="1251"/>
      <c r="MD94" s="1251"/>
      <c r="ME94" s="1251"/>
      <c r="MF94" s="1251"/>
      <c r="MG94" s="1251"/>
      <c r="MH94" s="1251"/>
      <c r="MI94" s="1251"/>
      <c r="MJ94" s="1251"/>
      <c r="MK94" s="1251"/>
      <c r="ML94" s="1251"/>
      <c r="MM94" s="1251"/>
      <c r="MN94" s="1251"/>
      <c r="MO94" s="1251"/>
      <c r="MP94" s="1251"/>
      <c r="MQ94" s="1251"/>
      <c r="MR94" s="1251"/>
      <c r="MS94" s="1251"/>
      <c r="MT94" s="1251"/>
      <c r="MU94" s="1251"/>
      <c r="MV94" s="1251"/>
      <c r="MW94" s="1251"/>
      <c r="MX94" s="1251"/>
      <c r="MY94" s="1251"/>
      <c r="MZ94" s="1251"/>
      <c r="NA94" s="1251"/>
      <c r="NB94" s="1251"/>
      <c r="NC94" s="1251"/>
      <c r="ND94" s="1251"/>
      <c r="NE94" s="1251"/>
      <c r="NF94" s="1251"/>
      <c r="NG94" s="1251"/>
      <c r="NH94" s="1251"/>
      <c r="NI94" s="1251"/>
      <c r="NJ94" s="1251"/>
      <c r="NK94" s="1251"/>
      <c r="NL94" s="1251"/>
      <c r="NM94" s="1251"/>
      <c r="NN94" s="1251"/>
      <c r="NO94" s="1251"/>
      <c r="NP94" s="1251"/>
      <c r="NQ94" s="1251"/>
      <c r="NR94" s="1251"/>
      <c r="NS94" s="1251"/>
      <c r="NT94" s="1251"/>
      <c r="NU94" s="1251"/>
      <c r="NV94" s="1251"/>
      <c r="NW94" s="1251"/>
      <c r="NX94" s="1251"/>
      <c r="NY94" s="1251"/>
      <c r="NZ94" s="1251"/>
      <c r="OA94" s="1251"/>
      <c r="OB94" s="1251"/>
      <c r="OC94" s="1251"/>
      <c r="OD94" s="1251"/>
      <c r="OE94" s="1251"/>
      <c r="OF94" s="1251"/>
      <c r="OG94" s="1251"/>
      <c r="OH94" s="1251"/>
      <c r="OI94" s="1251"/>
      <c r="OJ94" s="1251"/>
      <c r="OK94" s="1251"/>
      <c r="OL94" s="1251"/>
      <c r="OM94" s="1251"/>
      <c r="ON94" s="1251"/>
      <c r="OO94" s="1251"/>
      <c r="OP94" s="1251"/>
      <c r="OQ94" s="1251"/>
      <c r="OR94" s="1251"/>
      <c r="OS94" s="1251"/>
      <c r="OT94" s="1251"/>
      <c r="OU94" s="1251"/>
      <c r="OV94" s="1251"/>
      <c r="OW94" s="1251"/>
      <c r="OX94" s="1251"/>
      <c r="OY94" s="1251"/>
      <c r="OZ94" s="1251"/>
      <c r="PA94" s="1251"/>
      <c r="PB94" s="1251"/>
      <c r="PC94" s="1251"/>
      <c r="PD94" s="1251"/>
      <c r="PE94" s="1251"/>
      <c r="PF94" s="1251"/>
      <c r="PG94" s="1251"/>
      <c r="PH94" s="1251"/>
      <c r="PI94" s="1251"/>
      <c r="PJ94" s="1251"/>
      <c r="PK94" s="1251"/>
      <c r="PL94" s="1251"/>
      <c r="PM94" s="1251"/>
      <c r="PN94" s="1251"/>
      <c r="PO94" s="1251"/>
      <c r="PP94" s="1251"/>
      <c r="PQ94" s="1251"/>
      <c r="PR94" s="1251"/>
      <c r="PS94" s="1251"/>
      <c r="PT94" s="1251"/>
      <c r="PU94" s="1251"/>
      <c r="PV94" s="1251"/>
      <c r="PW94" s="1251"/>
      <c r="PX94" s="1251"/>
      <c r="PY94" s="1251"/>
      <c r="PZ94" s="1251"/>
      <c r="QA94" s="1251"/>
      <c r="QB94" s="1251"/>
      <c r="QC94" s="1251"/>
      <c r="QD94" s="1251"/>
      <c r="QE94" s="1251"/>
      <c r="QF94" s="1251"/>
      <c r="QG94" s="1251"/>
      <c r="QH94" s="1251"/>
      <c r="QI94" s="1251"/>
      <c r="QJ94" s="1251"/>
      <c r="QK94" s="1251"/>
      <c r="QL94" s="1251"/>
      <c r="QM94" s="1251"/>
      <c r="QN94" s="1251"/>
      <c r="QO94" s="1251"/>
      <c r="QP94" s="1251"/>
      <c r="QQ94" s="1251"/>
      <c r="QR94" s="1251"/>
      <c r="QS94" s="1251"/>
      <c r="QT94" s="1251"/>
      <c r="QU94" s="1251"/>
      <c r="QV94" s="1251"/>
      <c r="QW94" s="1251"/>
      <c r="QX94" s="1251"/>
      <c r="QY94" s="1251"/>
      <c r="QZ94" s="1251"/>
      <c r="RA94" s="1251"/>
      <c r="RB94" s="1251"/>
      <c r="RC94" s="1251"/>
      <c r="RD94" s="1251"/>
      <c r="RE94" s="1251"/>
      <c r="RF94" s="1251"/>
      <c r="RG94" s="1251"/>
      <c r="RH94" s="1251"/>
      <c r="RI94" s="1251"/>
      <c r="RJ94" s="1251"/>
      <c r="RK94" s="1251"/>
      <c r="RL94" s="1251"/>
      <c r="RM94" s="1251"/>
      <c r="RN94" s="1251"/>
      <c r="RO94" s="1251"/>
      <c r="RP94" s="1251"/>
      <c r="RQ94" s="1251"/>
      <c r="RR94" s="1251"/>
      <c r="RS94" s="1251"/>
      <c r="RT94" s="1251"/>
      <c r="RU94" s="1251"/>
      <c r="RV94" s="1251"/>
      <c r="RW94" s="1251"/>
      <c r="RX94" s="1251"/>
      <c r="RY94" s="1251"/>
      <c r="RZ94" s="1251"/>
      <c r="SA94" s="1251"/>
      <c r="SB94" s="1251"/>
      <c r="SC94" s="1251"/>
      <c r="SD94" s="1251"/>
      <c r="SE94" s="1251"/>
      <c r="SF94" s="1251"/>
      <c r="SG94" s="1251"/>
      <c r="SH94" s="1251"/>
      <c r="SI94" s="1251"/>
      <c r="SJ94" s="1251"/>
      <c r="SK94" s="1251"/>
      <c r="SL94" s="1251"/>
      <c r="SM94" s="1251"/>
      <c r="SN94" s="1251"/>
      <c r="SO94" s="1251"/>
      <c r="SP94" s="1251"/>
      <c r="SQ94" s="1251"/>
      <c r="SR94" s="1251"/>
      <c r="SS94" s="1251"/>
      <c r="ST94" s="1251"/>
      <c r="SU94" s="1251"/>
      <c r="SV94" s="1251"/>
      <c r="SW94" s="1251"/>
      <c r="SX94" s="1251"/>
      <c r="SY94" s="1251"/>
      <c r="SZ94" s="1251"/>
      <c r="TA94" s="1251"/>
      <c r="TB94" s="1251"/>
      <c r="TC94" s="1251"/>
      <c r="TD94" s="1251"/>
      <c r="TE94" s="1251"/>
      <c r="TF94" s="1251"/>
      <c r="TG94" s="1251"/>
      <c r="TH94" s="1251"/>
      <c r="TI94" s="1251"/>
      <c r="TJ94" s="1251"/>
      <c r="TK94" s="1251"/>
      <c r="TL94" s="1251"/>
      <c r="TM94" s="1251"/>
      <c r="TN94" s="1251"/>
      <c r="TO94" s="1251"/>
      <c r="TP94" s="1251"/>
      <c r="TQ94" s="1251"/>
      <c r="TR94" s="1251"/>
      <c r="TS94" s="1251"/>
      <c r="TT94" s="1251"/>
      <c r="TU94" s="1251"/>
      <c r="TV94" s="1251"/>
      <c r="TW94" s="1251"/>
      <c r="TX94" s="1251"/>
      <c r="TY94" s="1251"/>
      <c r="TZ94" s="1251"/>
      <c r="UA94" s="1251"/>
      <c r="UB94" s="1251"/>
      <c r="UC94" s="1251"/>
      <c r="UD94" s="1251"/>
      <c r="UE94" s="1251"/>
      <c r="UF94" s="1251"/>
      <c r="UG94" s="1251"/>
      <c r="UH94" s="1251"/>
      <c r="UI94" s="1251"/>
      <c r="UJ94" s="1251"/>
      <c r="UK94" s="1251"/>
      <c r="UL94" s="1251"/>
      <c r="UM94" s="1251"/>
      <c r="UN94" s="1251"/>
      <c r="UO94" s="1251"/>
      <c r="UP94" s="1251"/>
      <c r="UQ94" s="1251"/>
      <c r="UR94" s="1251"/>
      <c r="US94" s="1251"/>
      <c r="UT94" s="1251"/>
      <c r="UU94" s="1251"/>
      <c r="UV94" s="1251"/>
      <c r="UW94" s="1251"/>
      <c r="UX94" s="1251"/>
      <c r="UY94" s="1251"/>
      <c r="UZ94" s="1251"/>
      <c r="VA94" s="1251"/>
      <c r="VB94" s="1251"/>
      <c r="VC94" s="1251"/>
      <c r="VD94" s="1251"/>
      <c r="VE94" s="1251"/>
      <c r="VF94" s="1251"/>
      <c r="VG94" s="1251"/>
      <c r="VH94" s="1251"/>
      <c r="VI94" s="1251"/>
      <c r="VJ94" s="1251"/>
      <c r="VK94" s="1251"/>
      <c r="VL94" s="1251"/>
      <c r="VM94" s="1251"/>
      <c r="VN94" s="1251"/>
      <c r="VO94" s="1251"/>
      <c r="VP94" s="1251"/>
      <c r="VQ94" s="1251"/>
      <c r="VR94" s="1251"/>
      <c r="VS94" s="1251"/>
      <c r="VT94" s="1251"/>
      <c r="VU94" s="1251"/>
      <c r="VV94" s="1251"/>
      <c r="VW94" s="1251"/>
      <c r="VX94" s="1251"/>
      <c r="VY94" s="1251"/>
      <c r="VZ94" s="1251"/>
      <c r="WA94" s="1251"/>
      <c r="WB94" s="1251"/>
      <c r="WC94" s="1251"/>
      <c r="WD94" s="1251"/>
      <c r="WE94" s="1251"/>
      <c r="WF94" s="1251"/>
      <c r="WG94" s="1251"/>
      <c r="WH94" s="1251"/>
      <c r="WI94" s="1251"/>
      <c r="WJ94" s="1251"/>
      <c r="WK94" s="1251"/>
      <c r="WL94" s="1251"/>
      <c r="WM94" s="1251"/>
      <c r="WN94" s="1251"/>
      <c r="WO94" s="1251"/>
      <c r="WP94" s="1251"/>
      <c r="WQ94" s="1251"/>
      <c r="WR94" s="1251"/>
      <c r="WS94" s="1251"/>
      <c r="WT94" s="1251"/>
      <c r="WU94" s="1251"/>
      <c r="WV94" s="1251"/>
      <c r="WW94" s="1251"/>
      <c r="WX94" s="1251"/>
      <c r="WY94" s="1251"/>
      <c r="WZ94" s="1251"/>
      <c r="XA94" s="1251"/>
      <c r="XB94" s="1251"/>
      <c r="XC94" s="1251"/>
      <c r="XD94" s="1251"/>
      <c r="XE94" s="1251"/>
      <c r="XF94" s="1251"/>
      <c r="XG94" s="1251"/>
      <c r="XH94" s="1251"/>
      <c r="XI94" s="1251"/>
      <c r="XJ94" s="1251"/>
      <c r="XK94" s="1251"/>
      <c r="XL94" s="1251"/>
      <c r="XM94" s="1251"/>
      <c r="XN94" s="1251"/>
      <c r="XO94" s="1251"/>
      <c r="XP94" s="1251"/>
      <c r="XQ94" s="1251"/>
      <c r="XR94" s="1251"/>
      <c r="XS94" s="1251"/>
      <c r="XT94" s="1251"/>
      <c r="XU94" s="1251"/>
      <c r="XV94" s="1251"/>
      <c r="XW94" s="1251"/>
      <c r="XX94" s="1251"/>
      <c r="XY94" s="1251"/>
      <c r="XZ94" s="1251"/>
      <c r="YA94" s="1251"/>
      <c r="YB94" s="1251"/>
      <c r="YC94" s="1251"/>
      <c r="YD94" s="1251"/>
      <c r="YE94" s="1251"/>
      <c r="YF94" s="1251"/>
      <c r="YG94" s="1251"/>
      <c r="YH94" s="1251"/>
      <c r="YI94" s="1251"/>
      <c r="YJ94" s="1251"/>
      <c r="YK94" s="1251"/>
      <c r="YL94" s="1251"/>
      <c r="YM94" s="1251"/>
      <c r="YN94" s="1251"/>
      <c r="YO94" s="1251"/>
      <c r="YP94" s="1251"/>
      <c r="YQ94" s="1251"/>
      <c r="YR94" s="1251"/>
      <c r="YS94" s="1251"/>
      <c r="YT94" s="1251"/>
      <c r="YU94" s="1251"/>
      <c r="YV94" s="1251"/>
      <c r="YW94" s="1251"/>
      <c r="YX94" s="1251"/>
      <c r="YY94" s="1251"/>
      <c r="YZ94" s="1251"/>
      <c r="ZA94" s="1251"/>
      <c r="ZB94" s="1251"/>
      <c r="ZC94" s="1251"/>
      <c r="ZD94" s="1251"/>
      <c r="ZE94" s="1251"/>
      <c r="ZF94" s="1251"/>
      <c r="ZG94" s="1251"/>
      <c r="ZH94" s="1251"/>
      <c r="ZI94" s="1251"/>
      <c r="ZJ94" s="1251"/>
      <c r="ZK94" s="1251"/>
      <c r="ZL94" s="1251"/>
      <c r="ZM94" s="1251"/>
      <c r="ZN94" s="1251"/>
      <c r="ZO94" s="1251"/>
      <c r="ZP94" s="1251"/>
      <c r="ZQ94" s="1251"/>
      <c r="ZR94" s="1251"/>
      <c r="ZS94" s="1251"/>
      <c r="ZT94" s="1251"/>
      <c r="ZU94" s="1251"/>
      <c r="ZV94" s="1251"/>
      <c r="ZW94" s="1251"/>
      <c r="ZX94" s="1251"/>
      <c r="ZY94" s="1251"/>
      <c r="ZZ94" s="1251"/>
      <c r="AAA94" s="1251"/>
      <c r="AAB94" s="1251"/>
      <c r="AAC94" s="1251"/>
      <c r="AAD94" s="1251"/>
      <c r="AAE94" s="1251"/>
      <c r="AAF94" s="1251"/>
      <c r="AAG94" s="1251"/>
      <c r="AAH94" s="1251"/>
      <c r="AAI94" s="1251"/>
      <c r="AAJ94" s="1251"/>
      <c r="AAK94" s="1251"/>
      <c r="AAL94" s="1251"/>
      <c r="AAM94" s="1251"/>
      <c r="AAN94" s="1251"/>
      <c r="AAO94" s="1251"/>
      <c r="AAP94" s="1251"/>
      <c r="AAQ94" s="1251"/>
      <c r="AAR94" s="1251"/>
      <c r="AAS94" s="1251"/>
      <c r="AAT94" s="1251"/>
      <c r="AAU94" s="1251"/>
      <c r="AAV94" s="1251"/>
      <c r="AAW94" s="1251"/>
      <c r="AAX94" s="1251"/>
      <c r="AAY94" s="1251"/>
      <c r="AAZ94" s="1251"/>
      <c r="ABA94" s="1251"/>
      <c r="ABB94" s="1251"/>
      <c r="ABC94" s="1251"/>
      <c r="ABD94" s="1251"/>
      <c r="ABE94" s="1251"/>
      <c r="ABF94" s="1251"/>
      <c r="ABG94" s="1251"/>
      <c r="ABH94" s="1251"/>
      <c r="ABI94" s="1251"/>
      <c r="ABJ94" s="1251"/>
      <c r="ABK94" s="1251"/>
      <c r="ABL94" s="1251"/>
      <c r="ABM94" s="1251"/>
      <c r="ABN94" s="1251"/>
      <c r="ABO94" s="1251"/>
      <c r="ABP94" s="1251"/>
      <c r="ABQ94" s="1251"/>
      <c r="ABR94" s="1251"/>
      <c r="ABS94" s="1251"/>
      <c r="ABT94" s="1251"/>
      <c r="ABU94" s="1251"/>
      <c r="ABV94" s="1251"/>
      <c r="ABW94" s="1251"/>
      <c r="ABX94" s="1251"/>
      <c r="ABY94" s="1251"/>
      <c r="ABZ94" s="1251"/>
      <c r="ACA94" s="1251"/>
      <c r="ACB94" s="1251"/>
      <c r="ACC94" s="1251"/>
      <c r="ACD94" s="1251"/>
      <c r="ACE94" s="1251"/>
      <c r="ACF94" s="1251"/>
      <c r="ACG94" s="1251"/>
      <c r="ACH94" s="1251"/>
      <c r="ACI94" s="1251"/>
      <c r="ACJ94" s="1251"/>
      <c r="ACK94" s="1251"/>
      <c r="ACL94" s="1251"/>
      <c r="ACM94" s="1251"/>
      <c r="ACN94" s="1251"/>
      <c r="ACO94" s="1251"/>
      <c r="ACP94" s="1251"/>
      <c r="ACQ94" s="1251"/>
      <c r="ACR94" s="1251"/>
      <c r="ACS94" s="1251"/>
      <c r="ACT94" s="1251"/>
      <c r="ACU94" s="1251"/>
      <c r="ACV94" s="1251"/>
      <c r="ACW94" s="1251"/>
      <c r="ACX94" s="1251"/>
      <c r="ACY94" s="1251"/>
      <c r="ACZ94" s="1251"/>
      <c r="ADA94" s="1251"/>
      <c r="ADB94" s="1251"/>
      <c r="ADC94" s="1251"/>
      <c r="ADD94" s="1251"/>
      <c r="ADE94" s="1251"/>
      <c r="ADF94" s="1251"/>
      <c r="ADG94" s="1251"/>
      <c r="ADH94" s="1251"/>
      <c r="ADI94" s="1251"/>
      <c r="ADJ94" s="1251"/>
      <c r="ADK94" s="1251"/>
      <c r="ADL94" s="1251"/>
      <c r="ADM94" s="1251"/>
      <c r="ADN94" s="1251"/>
      <c r="ADO94" s="1251"/>
      <c r="ADP94" s="1251"/>
      <c r="ADQ94" s="1251"/>
      <c r="ADR94" s="1251"/>
      <c r="ADS94" s="1251"/>
      <c r="ADT94" s="1251"/>
      <c r="ADU94" s="1251"/>
      <c r="ADV94" s="1251"/>
      <c r="ADW94" s="1251"/>
      <c r="ADX94" s="1251"/>
      <c r="ADY94" s="1251"/>
      <c r="ADZ94" s="1251"/>
      <c r="AEA94" s="1251"/>
      <c r="AEB94" s="1251"/>
      <c r="AEC94" s="1251"/>
      <c r="AED94" s="1251"/>
      <c r="AEE94" s="1251"/>
      <c r="AEF94" s="1251"/>
      <c r="AEG94" s="1251"/>
      <c r="AEH94" s="1251"/>
      <c r="AEI94" s="1251"/>
      <c r="AEJ94" s="1251"/>
      <c r="AEK94" s="1251"/>
      <c r="AEL94" s="1251"/>
      <c r="AEM94" s="1251"/>
      <c r="AEN94" s="1251"/>
      <c r="AEO94" s="1251"/>
      <c r="AEP94" s="1251"/>
      <c r="AEQ94" s="1251"/>
      <c r="AER94" s="1251"/>
      <c r="AES94" s="1251"/>
      <c r="AET94" s="1251"/>
      <c r="AEU94" s="1251"/>
      <c r="AEV94" s="1251"/>
      <c r="AEW94" s="1251"/>
      <c r="AEX94" s="1251"/>
      <c r="AEY94" s="1251"/>
      <c r="AEZ94" s="1251"/>
      <c r="AFA94" s="1251"/>
      <c r="AFB94" s="1251"/>
      <c r="AFC94" s="1251"/>
      <c r="AFD94" s="1251"/>
      <c r="AFE94" s="1251"/>
      <c r="AFF94" s="1251"/>
      <c r="AFG94" s="1251"/>
      <c r="AFH94" s="1251"/>
      <c r="AFI94" s="1251"/>
      <c r="AFJ94" s="1251"/>
      <c r="AFK94" s="1251"/>
      <c r="AFL94" s="1251"/>
      <c r="AFM94" s="1251"/>
      <c r="AFN94" s="1251"/>
      <c r="AFO94" s="1251"/>
      <c r="AFP94" s="1251"/>
      <c r="AFQ94" s="1251"/>
      <c r="AFR94" s="1251"/>
      <c r="AFS94" s="1251"/>
      <c r="AFT94" s="1251"/>
      <c r="AFU94" s="1251"/>
      <c r="AFV94" s="1251"/>
      <c r="AFW94" s="1251"/>
      <c r="AFX94" s="1251"/>
      <c r="AFY94" s="1251"/>
      <c r="AFZ94" s="1251"/>
      <c r="AGA94" s="1251"/>
      <c r="AGB94" s="1251"/>
      <c r="AGC94" s="1251"/>
      <c r="AGD94" s="1251"/>
      <c r="AGE94" s="1251"/>
      <c r="AGF94" s="1251"/>
      <c r="AGG94" s="1251"/>
      <c r="AGH94" s="1251"/>
      <c r="AGI94" s="1251"/>
      <c r="AGJ94" s="1251"/>
      <c r="AGK94" s="1251"/>
      <c r="AGL94" s="1251"/>
      <c r="AGM94" s="1251"/>
      <c r="AGN94" s="1251"/>
      <c r="AGO94" s="1251"/>
      <c r="AGP94" s="1251"/>
      <c r="AGQ94" s="1251"/>
      <c r="AGR94" s="1251"/>
      <c r="AGS94" s="1251"/>
      <c r="AGT94" s="1251"/>
      <c r="AGU94" s="1251"/>
      <c r="AGV94" s="1251"/>
      <c r="AGW94" s="1251"/>
      <c r="AGX94" s="1251"/>
      <c r="AGY94" s="1251"/>
      <c r="AGZ94" s="1251"/>
      <c r="AHA94" s="1251"/>
      <c r="AHB94" s="1251"/>
      <c r="AHC94" s="1251"/>
      <c r="AHD94" s="1251"/>
      <c r="AHE94" s="1251"/>
      <c r="AHF94" s="1251"/>
      <c r="AHG94" s="1251"/>
      <c r="AHH94" s="1251"/>
      <c r="AHI94" s="1251"/>
      <c r="AHJ94" s="1251"/>
      <c r="AHK94" s="1251"/>
      <c r="AHL94" s="1251"/>
      <c r="AHM94" s="1251"/>
      <c r="AHN94" s="1251"/>
      <c r="AHO94" s="1251"/>
      <c r="AHP94" s="1251"/>
      <c r="AHQ94" s="1251"/>
      <c r="AHR94" s="1251"/>
      <c r="AHS94" s="1251"/>
      <c r="AHT94" s="1251"/>
      <c r="AHU94" s="1251"/>
      <c r="AHV94" s="1251"/>
      <c r="AHW94" s="1251"/>
      <c r="AHX94" s="1251"/>
      <c r="AHY94" s="1251"/>
      <c r="AHZ94" s="1251"/>
      <c r="AIA94" s="1251"/>
      <c r="AIB94" s="1251"/>
      <c r="AIC94" s="1251"/>
      <c r="AID94" s="1251"/>
      <c r="AIE94" s="1251"/>
      <c r="AIF94" s="1251"/>
      <c r="AIG94" s="1251"/>
      <c r="AIH94" s="1251"/>
      <c r="AII94" s="1251"/>
      <c r="AIJ94" s="1251"/>
      <c r="AIK94" s="1251"/>
      <c r="AIL94" s="1251"/>
      <c r="AIM94" s="1251"/>
      <c r="AIN94" s="1251"/>
      <c r="AIO94" s="1251"/>
      <c r="AIP94" s="1251"/>
      <c r="AIQ94" s="1251"/>
      <c r="AIR94" s="1251"/>
      <c r="AIS94" s="1251"/>
      <c r="AIT94" s="1251"/>
      <c r="AIU94" s="1251"/>
      <c r="AIV94" s="1251"/>
      <c r="AIW94" s="1251"/>
      <c r="AIX94" s="1251"/>
      <c r="AIY94" s="1251"/>
      <c r="AIZ94" s="1251"/>
      <c r="AJA94" s="1251"/>
      <c r="AJB94" s="1251"/>
      <c r="AJC94" s="1251"/>
      <c r="AJD94" s="1251"/>
      <c r="AJE94" s="1251"/>
      <c r="AJF94" s="1251"/>
      <c r="AJG94" s="1251"/>
      <c r="AJH94" s="1251"/>
      <c r="AJI94" s="1251"/>
      <c r="AJJ94" s="1251"/>
      <c r="AJK94" s="1251"/>
      <c r="AJL94" s="1251"/>
      <c r="AJM94" s="1251"/>
      <c r="AJN94" s="1251"/>
      <c r="AJO94" s="1251"/>
      <c r="AJP94" s="1251"/>
      <c r="AJQ94" s="1251"/>
      <c r="AJR94" s="1251"/>
      <c r="AJS94" s="1251"/>
      <c r="AJT94" s="1251"/>
      <c r="AJU94" s="1251"/>
      <c r="AJV94" s="1251"/>
      <c r="AJW94" s="1251"/>
      <c r="AJX94" s="1251"/>
      <c r="AJY94" s="1251"/>
      <c r="AJZ94" s="1251"/>
      <c r="AKA94" s="1251"/>
      <c r="AKB94" s="1251"/>
      <c r="AKC94" s="1251"/>
      <c r="AKD94" s="1251"/>
      <c r="AKE94" s="1251"/>
      <c r="AKF94" s="1251"/>
      <c r="AKG94" s="1251"/>
      <c r="AKH94" s="1251"/>
      <c r="AKI94" s="1251"/>
      <c r="AKJ94" s="1251"/>
      <c r="AKK94" s="1251"/>
      <c r="AKL94" s="1251"/>
      <c r="AKM94" s="1251"/>
      <c r="AKN94" s="1251"/>
      <c r="AKO94" s="1251"/>
      <c r="AKP94" s="1251"/>
      <c r="AKQ94" s="1251"/>
      <c r="AKR94" s="1251"/>
      <c r="AKS94" s="1251"/>
      <c r="AKT94" s="1251"/>
      <c r="AKU94" s="1251"/>
      <c r="AKV94" s="1251"/>
      <c r="AKW94" s="1251"/>
      <c r="AKX94" s="1251"/>
      <c r="AKY94" s="1251"/>
      <c r="AKZ94" s="1251"/>
      <c r="ALA94" s="1251"/>
      <c r="ALB94" s="1251"/>
      <c r="ALC94" s="1251"/>
      <c r="ALD94" s="1251"/>
      <c r="ALE94" s="1251"/>
      <c r="ALF94" s="1251"/>
      <c r="ALG94" s="1251"/>
      <c r="ALH94" s="1251"/>
      <c r="ALI94" s="1251"/>
      <c r="ALJ94" s="1251"/>
      <c r="ALK94" s="1251"/>
      <c r="ALL94" s="1251"/>
      <c r="ALM94" s="1251"/>
      <c r="ALN94" s="1251"/>
      <c r="ALO94" s="1251"/>
      <c r="ALP94" s="1251"/>
      <c r="ALQ94" s="1251"/>
      <c r="ALR94" s="1251"/>
      <c r="ALS94" s="1251"/>
      <c r="ALT94" s="1251"/>
      <c r="ALU94" s="1251"/>
      <c r="ALV94" s="1251"/>
      <c r="ALW94" s="1251"/>
      <c r="ALX94" s="1251"/>
      <c r="ALY94" s="1251"/>
      <c r="ALZ94" s="1251"/>
      <c r="AMA94" s="1251"/>
      <c r="AMB94" s="1251"/>
      <c r="AMC94" s="1251"/>
      <c r="AMD94" s="1251"/>
      <c r="AME94" s="1251"/>
      <c r="AMF94" s="1251"/>
      <c r="AMG94" s="1251"/>
      <c r="AMH94" s="1251"/>
      <c r="AMI94" s="1251"/>
      <c r="AMJ94" s="1251"/>
      <c r="AMK94" s="1251"/>
      <c r="AML94" s="1251"/>
      <c r="AMM94" s="1251"/>
      <c r="AMN94" s="1251"/>
      <c r="AMO94" s="1251"/>
      <c r="AMP94" s="1251"/>
      <c r="AMQ94" s="1251"/>
      <c r="AMR94" s="1251"/>
      <c r="AMS94" s="1251"/>
      <c r="AMT94" s="1251"/>
      <c r="AMU94" s="1251"/>
      <c r="AMV94" s="1251"/>
      <c r="AMW94" s="1251"/>
      <c r="AMX94" s="1251"/>
      <c r="AMY94" s="1251"/>
      <c r="AMZ94" s="1251"/>
      <c r="ANA94" s="1251"/>
      <c r="ANB94" s="1251"/>
      <c r="ANC94" s="1251"/>
      <c r="AND94" s="1251"/>
      <c r="ANE94" s="1251"/>
      <c r="ANF94" s="1251"/>
      <c r="ANG94" s="1251"/>
      <c r="ANH94" s="1251"/>
      <c r="ANI94" s="1251"/>
      <c r="ANJ94" s="1251"/>
      <c r="ANK94" s="1251"/>
      <c r="ANL94" s="1251"/>
      <c r="ANM94" s="1251"/>
      <c r="ANN94" s="1251"/>
      <c r="ANO94" s="1251"/>
      <c r="ANP94" s="1251"/>
      <c r="ANQ94" s="1251"/>
      <c r="ANR94" s="1251"/>
      <c r="ANS94" s="1251"/>
      <c r="ANT94" s="1251"/>
      <c r="ANU94" s="1251"/>
      <c r="ANV94" s="1251"/>
      <c r="ANW94" s="1251"/>
      <c r="ANX94" s="1251"/>
      <c r="ANY94" s="1251"/>
      <c r="ANZ94" s="1251"/>
      <c r="AOA94" s="1251"/>
      <c r="AOB94" s="1251"/>
      <c r="AOC94" s="1251"/>
      <c r="AOD94" s="1251"/>
      <c r="AOE94" s="1251"/>
      <c r="AOF94" s="1251"/>
      <c r="AOG94" s="1251"/>
      <c r="AOH94" s="1251"/>
      <c r="AOI94" s="1251"/>
      <c r="AOJ94" s="1251"/>
      <c r="AOK94" s="1251"/>
      <c r="AOL94" s="1251"/>
      <c r="AOM94" s="1251"/>
      <c r="AON94" s="1251"/>
      <c r="AOO94" s="1251"/>
      <c r="AOP94" s="1251"/>
      <c r="AOQ94" s="1251"/>
      <c r="AOR94" s="1251"/>
      <c r="AOS94" s="1251"/>
      <c r="AOT94" s="1251"/>
      <c r="AOU94" s="1251"/>
      <c r="AOV94" s="1251"/>
      <c r="AOW94" s="1251"/>
      <c r="AOX94" s="1251"/>
      <c r="AOY94" s="1251"/>
      <c r="AOZ94" s="1251"/>
      <c r="APA94" s="1251"/>
      <c r="APB94" s="1251"/>
      <c r="APC94" s="1251"/>
      <c r="APD94" s="1251"/>
      <c r="APE94" s="1251"/>
      <c r="APF94" s="1251"/>
      <c r="APG94" s="1251"/>
      <c r="APH94" s="1251"/>
      <c r="API94" s="1251"/>
      <c r="APJ94" s="1251"/>
      <c r="APK94" s="1251"/>
      <c r="APL94" s="1251"/>
      <c r="APM94" s="1251"/>
      <c r="APN94" s="1251"/>
      <c r="APO94" s="1251"/>
      <c r="APP94" s="1251"/>
      <c r="APQ94" s="1251"/>
      <c r="APR94" s="1251"/>
      <c r="APS94" s="1251"/>
      <c r="APT94" s="1251"/>
      <c r="APU94" s="1251"/>
      <c r="APV94" s="1251"/>
      <c r="APW94" s="1251"/>
      <c r="APX94" s="1251"/>
      <c r="APY94" s="1251"/>
      <c r="APZ94" s="1251"/>
      <c r="AQA94" s="1251"/>
      <c r="AQB94" s="1251"/>
      <c r="AQC94" s="1251"/>
      <c r="AQD94" s="1251"/>
      <c r="AQE94" s="1251"/>
      <c r="AQF94" s="1251"/>
      <c r="AQG94" s="1251"/>
      <c r="AQH94" s="1251"/>
      <c r="AQI94" s="1251"/>
      <c r="AQJ94" s="1251"/>
      <c r="AQK94" s="1251"/>
      <c r="AQL94" s="1251"/>
      <c r="AQM94" s="1251"/>
      <c r="AQN94" s="1251"/>
      <c r="AQO94" s="1251"/>
      <c r="AQP94" s="1251"/>
      <c r="AQQ94" s="1251"/>
      <c r="AQR94" s="1251"/>
      <c r="AQS94" s="1251"/>
      <c r="AQT94" s="1251"/>
      <c r="AQU94" s="1251"/>
      <c r="AQV94" s="1251"/>
      <c r="AQW94" s="1251"/>
      <c r="AQX94" s="1251"/>
      <c r="AQY94" s="1251"/>
      <c r="AQZ94" s="1251"/>
      <c r="ARA94" s="1251"/>
      <c r="ARB94" s="1251"/>
      <c r="ARC94" s="1251"/>
      <c r="ARD94" s="1251"/>
      <c r="ARE94" s="1251"/>
      <c r="ARF94" s="1251"/>
      <c r="ARG94" s="1251"/>
      <c r="ARH94" s="1251"/>
      <c r="ARI94" s="1251"/>
      <c r="ARJ94" s="1251"/>
      <c r="ARK94" s="1251"/>
      <c r="ARL94" s="1251"/>
      <c r="ARM94" s="1251"/>
      <c r="ARN94" s="1251"/>
      <c r="ARO94" s="1251"/>
      <c r="ARP94" s="1251"/>
      <c r="ARQ94" s="1251"/>
      <c r="ARR94" s="1251"/>
      <c r="ARS94" s="1251"/>
      <c r="ART94" s="1251"/>
      <c r="ARU94" s="1251"/>
      <c r="ARV94" s="1251"/>
      <c r="ARW94" s="1251"/>
      <c r="ARX94" s="1251"/>
      <c r="ARY94" s="1251"/>
      <c r="ARZ94" s="1251"/>
      <c r="ASA94" s="1251"/>
      <c r="ASB94" s="1251"/>
      <c r="ASC94" s="1251"/>
      <c r="ASD94" s="1251"/>
      <c r="ASE94" s="1251"/>
      <c r="ASF94" s="1251"/>
      <c r="ASG94" s="1251"/>
      <c r="ASH94" s="1251"/>
      <c r="ASI94" s="1251"/>
      <c r="ASJ94" s="1251"/>
      <c r="ASK94" s="1251"/>
      <c r="ASL94" s="1251"/>
      <c r="ASM94" s="1251"/>
      <c r="ASN94" s="1251"/>
      <c r="ASO94" s="1251"/>
      <c r="ASP94" s="1251"/>
      <c r="ASQ94" s="1251"/>
      <c r="ASR94" s="1251"/>
      <c r="ASS94" s="1251"/>
      <c r="AST94" s="1251"/>
      <c r="ASU94" s="1251"/>
      <c r="ASV94" s="1251"/>
      <c r="ASW94" s="1251"/>
      <c r="ASX94" s="1251"/>
      <c r="ASY94" s="1251"/>
      <c r="ASZ94" s="1251"/>
      <c r="ATA94" s="1251"/>
      <c r="ATB94" s="1251"/>
      <c r="ATC94" s="1251"/>
      <c r="ATD94" s="1251"/>
      <c r="ATE94" s="1251"/>
      <c r="ATF94" s="1251"/>
      <c r="ATG94" s="1251"/>
      <c r="ATH94" s="1251"/>
      <c r="ATI94" s="1251"/>
      <c r="ATJ94" s="1251"/>
      <c r="ATK94" s="1251"/>
      <c r="ATL94" s="1251"/>
      <c r="ATM94" s="1251"/>
      <c r="ATN94" s="1251"/>
      <c r="ATO94" s="1251"/>
      <c r="ATP94" s="1251"/>
      <c r="ATQ94" s="1251"/>
      <c r="ATR94" s="1251"/>
      <c r="ATS94" s="1251"/>
      <c r="ATT94" s="1251"/>
      <c r="ATU94" s="1251"/>
      <c r="ATV94" s="1251"/>
      <c r="ATW94" s="1251"/>
      <c r="ATX94" s="1251"/>
      <c r="ATY94" s="1251"/>
      <c r="ATZ94" s="1251"/>
      <c r="AUA94" s="1251"/>
      <c r="AUB94" s="1251"/>
      <c r="AUC94" s="1251"/>
      <c r="AUD94" s="1251"/>
      <c r="AUE94" s="1251"/>
      <c r="AUF94" s="1251"/>
      <c r="AUG94" s="1251"/>
      <c r="AUH94" s="1251"/>
      <c r="AUI94" s="1251"/>
      <c r="AUJ94" s="1251"/>
      <c r="AUK94" s="1251"/>
      <c r="AUL94" s="1251"/>
      <c r="AUM94" s="1251"/>
      <c r="AUN94" s="1251"/>
      <c r="AUO94" s="1251"/>
      <c r="AUP94" s="1251"/>
      <c r="AUQ94" s="1251"/>
      <c r="AUR94" s="1251"/>
      <c r="AUS94" s="1251"/>
      <c r="AUT94" s="1251"/>
      <c r="AUU94" s="1251"/>
      <c r="AUV94" s="1251"/>
      <c r="AUW94" s="1251"/>
      <c r="AUX94" s="1251"/>
      <c r="AUY94" s="1251"/>
      <c r="AUZ94" s="1251"/>
      <c r="AVA94" s="1251"/>
      <c r="AVB94" s="1251"/>
      <c r="AVC94" s="1251"/>
      <c r="AVD94" s="1251"/>
      <c r="AVE94" s="1251"/>
      <c r="AVF94" s="1251"/>
      <c r="AVG94" s="1251"/>
      <c r="AVH94" s="1251"/>
      <c r="AVI94" s="1251"/>
      <c r="AVJ94" s="1251"/>
      <c r="AVK94" s="1251"/>
      <c r="AVL94" s="1251"/>
      <c r="AVM94" s="1251"/>
      <c r="AVN94" s="1251"/>
      <c r="AVO94" s="1251"/>
      <c r="AVP94" s="1251"/>
      <c r="AVQ94" s="1251"/>
      <c r="AVR94" s="1251"/>
      <c r="AVS94" s="1251"/>
      <c r="AVT94" s="1251"/>
      <c r="AVU94" s="1251"/>
      <c r="AVV94" s="1251"/>
      <c r="AVW94" s="1251"/>
      <c r="AVX94" s="1251"/>
      <c r="AVY94" s="1251"/>
      <c r="AVZ94" s="1251"/>
      <c r="AWA94" s="1251"/>
      <c r="AWB94" s="1251"/>
      <c r="AWC94" s="1251"/>
      <c r="AWD94" s="1251"/>
      <c r="AWE94" s="1251"/>
      <c r="AWF94" s="1251"/>
      <c r="AWG94" s="1251"/>
      <c r="AWH94" s="1251"/>
      <c r="AWI94" s="1251"/>
      <c r="AWJ94" s="1251"/>
      <c r="AWK94" s="1251"/>
      <c r="AWL94" s="1251"/>
      <c r="AWM94" s="1251"/>
      <c r="AWN94" s="1251"/>
      <c r="AWO94" s="1251"/>
      <c r="AWP94" s="1251"/>
      <c r="AWQ94" s="1251"/>
      <c r="AWR94" s="1251"/>
      <c r="AWS94" s="1251"/>
      <c r="AWT94" s="1251"/>
      <c r="AWU94" s="1251"/>
      <c r="AWV94" s="1251"/>
      <c r="AWW94" s="1251"/>
      <c r="AWX94" s="1251"/>
      <c r="AWY94" s="1251"/>
      <c r="AWZ94" s="1251"/>
      <c r="AXA94" s="1251"/>
      <c r="AXB94" s="1251"/>
      <c r="AXC94" s="1251"/>
      <c r="AXD94" s="1251"/>
      <c r="AXE94" s="1251"/>
      <c r="AXF94" s="1251"/>
      <c r="AXG94" s="1251"/>
      <c r="AXH94" s="1251"/>
      <c r="AXI94" s="1251"/>
      <c r="AXJ94" s="1251"/>
      <c r="AXK94" s="1251"/>
      <c r="AXL94" s="1251"/>
      <c r="AXM94" s="1251"/>
      <c r="AXN94" s="1251"/>
      <c r="AXO94" s="1251"/>
      <c r="AXP94" s="1251"/>
      <c r="AXQ94" s="1251"/>
      <c r="AXR94" s="1251"/>
      <c r="AXS94" s="1251"/>
      <c r="AXT94" s="1251"/>
      <c r="AXU94" s="1251"/>
      <c r="AXV94" s="1251"/>
      <c r="AXW94" s="1251"/>
      <c r="AXX94" s="1251"/>
      <c r="AXY94" s="1251"/>
      <c r="AXZ94" s="1251"/>
      <c r="AYA94" s="1251"/>
      <c r="AYB94" s="1251"/>
      <c r="AYC94" s="1251"/>
      <c r="AYD94" s="1251"/>
      <c r="AYE94" s="1251"/>
      <c r="AYF94" s="1251"/>
      <c r="AYG94" s="1251"/>
      <c r="AYH94" s="1251"/>
      <c r="AYI94" s="1251"/>
      <c r="AYJ94" s="1251"/>
      <c r="AYK94" s="1251"/>
      <c r="AYL94" s="1251"/>
      <c r="AYM94" s="1251"/>
      <c r="AYN94" s="1251"/>
      <c r="AYO94" s="1251"/>
      <c r="AYP94" s="1251"/>
      <c r="AYQ94" s="1251"/>
      <c r="AYR94" s="1251"/>
      <c r="AYS94" s="1251"/>
      <c r="AYT94" s="1251"/>
      <c r="AYU94" s="1251"/>
      <c r="AYV94" s="1251"/>
      <c r="AYW94" s="1251"/>
      <c r="AYX94" s="1251"/>
      <c r="AYY94" s="1251"/>
      <c r="AYZ94" s="1251"/>
      <c r="AZA94" s="1251"/>
      <c r="AZB94" s="1251"/>
      <c r="AZC94" s="1251"/>
      <c r="AZD94" s="1251"/>
      <c r="AZE94" s="1251"/>
      <c r="AZF94" s="1251"/>
      <c r="AZG94" s="1251"/>
      <c r="AZH94" s="1251"/>
      <c r="AZI94" s="1251"/>
      <c r="AZJ94" s="1251"/>
      <c r="AZK94" s="1251"/>
      <c r="AZL94" s="1251"/>
      <c r="AZM94" s="1251"/>
      <c r="AZN94" s="1251"/>
      <c r="AZO94" s="1251"/>
      <c r="AZP94" s="1251"/>
      <c r="AZQ94" s="1251"/>
      <c r="AZR94" s="1251"/>
      <c r="AZS94" s="1251"/>
      <c r="AZT94" s="1251"/>
      <c r="AZU94" s="1251"/>
      <c r="AZV94" s="1251"/>
      <c r="AZW94" s="1251"/>
      <c r="AZX94" s="1251"/>
      <c r="AZY94" s="1251"/>
      <c r="AZZ94" s="1251"/>
      <c r="BAA94" s="1251"/>
      <c r="BAB94" s="1251"/>
      <c r="BAC94" s="1251"/>
      <c r="BAD94" s="1251"/>
      <c r="BAE94" s="1251"/>
      <c r="BAF94" s="1251"/>
      <c r="BAG94" s="1251"/>
      <c r="BAH94" s="1251"/>
      <c r="BAI94" s="1251"/>
      <c r="BAJ94" s="1251"/>
      <c r="BAK94" s="1251"/>
      <c r="BAL94" s="1251"/>
      <c r="BAM94" s="1251"/>
      <c r="BAN94" s="1251"/>
      <c r="BAO94" s="1251"/>
      <c r="BAP94" s="1251"/>
      <c r="BAQ94" s="1251"/>
      <c r="BAR94" s="1251"/>
      <c r="BAS94" s="1251"/>
      <c r="BAT94" s="1251"/>
      <c r="BAU94" s="1251"/>
      <c r="BAV94" s="1251"/>
      <c r="BAW94" s="1251"/>
      <c r="BAX94" s="1251"/>
      <c r="BAY94" s="1251"/>
      <c r="BAZ94" s="1251"/>
      <c r="BBA94" s="1251"/>
      <c r="BBB94" s="1251"/>
      <c r="BBC94" s="1251"/>
      <c r="BBD94" s="1251"/>
      <c r="BBE94" s="1251"/>
      <c r="BBF94" s="1251"/>
      <c r="BBG94" s="1251"/>
      <c r="BBH94" s="1251"/>
      <c r="BBI94" s="1251"/>
      <c r="BBJ94" s="1251"/>
      <c r="BBK94" s="1251"/>
      <c r="BBL94" s="1251"/>
      <c r="BBM94" s="1251"/>
      <c r="BBN94" s="1251"/>
      <c r="BBO94" s="1251"/>
      <c r="BBP94" s="1251"/>
      <c r="BBQ94" s="1251"/>
      <c r="BBR94" s="1251"/>
      <c r="BBS94" s="1251"/>
      <c r="BBT94" s="1251"/>
      <c r="BBU94" s="1251"/>
      <c r="BBV94" s="1251"/>
      <c r="BBW94" s="1251"/>
      <c r="BBX94" s="1251"/>
      <c r="BBY94" s="1251"/>
      <c r="BBZ94" s="1251"/>
      <c r="BCA94" s="1251"/>
      <c r="BCB94" s="1251"/>
      <c r="BCC94" s="1251"/>
      <c r="BCD94" s="1251"/>
      <c r="BCE94" s="1251"/>
      <c r="BCF94" s="1251"/>
      <c r="BCG94" s="1251"/>
      <c r="BCH94" s="1251"/>
      <c r="BCI94" s="1251"/>
      <c r="BCJ94" s="1251"/>
      <c r="BCK94" s="1251"/>
      <c r="BCL94" s="1251"/>
      <c r="BCM94" s="1251"/>
      <c r="BCN94" s="1251"/>
      <c r="BCO94" s="1251"/>
      <c r="BCP94" s="1251"/>
      <c r="BCQ94" s="1251"/>
      <c r="BCR94" s="1251"/>
      <c r="BCS94" s="1251"/>
      <c r="BCT94" s="1251"/>
      <c r="BCU94" s="1251"/>
      <c r="BCV94" s="1251"/>
      <c r="BCW94" s="1251"/>
      <c r="BCX94" s="1251"/>
      <c r="BCY94" s="1251"/>
      <c r="BCZ94" s="1251"/>
      <c r="BDA94" s="1251"/>
      <c r="BDB94" s="1251"/>
      <c r="BDC94" s="1251"/>
      <c r="BDD94" s="1251"/>
      <c r="BDE94" s="1251"/>
      <c r="BDF94" s="1251"/>
      <c r="BDG94" s="1251"/>
      <c r="BDH94" s="1251"/>
      <c r="BDI94" s="1251"/>
      <c r="BDJ94" s="1251"/>
      <c r="BDK94" s="1251"/>
      <c r="BDL94" s="1251"/>
      <c r="BDM94" s="1251"/>
      <c r="BDN94" s="1251"/>
      <c r="BDO94" s="1251"/>
      <c r="BDP94" s="1251"/>
      <c r="BDQ94" s="1251"/>
      <c r="BDR94" s="1251"/>
      <c r="BDS94" s="1251"/>
      <c r="BDT94" s="1251"/>
      <c r="BDU94" s="1251"/>
      <c r="BDV94" s="1251"/>
      <c r="BDW94" s="1251"/>
      <c r="BDX94" s="1251"/>
      <c r="BDY94" s="1251"/>
      <c r="BDZ94" s="1251"/>
      <c r="BEA94" s="1251"/>
      <c r="BEB94" s="1251"/>
      <c r="BEC94" s="1251"/>
      <c r="BED94" s="1251"/>
      <c r="BEE94" s="1251"/>
      <c r="BEF94" s="1251"/>
      <c r="BEG94" s="1251"/>
      <c r="BEH94" s="1251"/>
      <c r="BEI94" s="1251"/>
      <c r="BEJ94" s="1251"/>
      <c r="BEK94" s="1251"/>
      <c r="BEL94" s="1251"/>
      <c r="BEM94" s="1251"/>
      <c r="BEN94" s="1251"/>
      <c r="BEO94" s="1251"/>
      <c r="BEP94" s="1251"/>
      <c r="BEQ94" s="1251"/>
      <c r="BER94" s="1251"/>
      <c r="BES94" s="1251"/>
      <c r="BET94" s="1251"/>
      <c r="BEU94" s="1251"/>
      <c r="BEV94" s="1251"/>
      <c r="BEW94" s="1251"/>
      <c r="BEX94" s="1251"/>
      <c r="BEY94" s="1251"/>
      <c r="BEZ94" s="1251"/>
      <c r="BFA94" s="1251"/>
      <c r="BFB94" s="1251"/>
      <c r="BFC94" s="1251"/>
      <c r="BFD94" s="1251"/>
      <c r="BFE94" s="1251"/>
      <c r="BFF94" s="1251"/>
      <c r="BFG94" s="1251"/>
      <c r="BFH94" s="1251"/>
      <c r="BFI94" s="1251"/>
      <c r="BFJ94" s="1251"/>
      <c r="BFK94" s="1251"/>
      <c r="BFL94" s="1251"/>
      <c r="BFM94" s="1251"/>
      <c r="BFN94" s="1251"/>
      <c r="BFO94" s="1251"/>
      <c r="BFP94" s="1251"/>
      <c r="BFQ94" s="1251"/>
      <c r="BFR94" s="1251"/>
      <c r="BFS94" s="1251"/>
      <c r="BFT94" s="1251"/>
      <c r="BFU94" s="1251"/>
      <c r="BFV94" s="1251"/>
      <c r="BFW94" s="1251"/>
      <c r="BFX94" s="1251"/>
      <c r="BFY94" s="1251"/>
      <c r="BFZ94" s="1251"/>
      <c r="BGA94" s="1251"/>
      <c r="BGB94" s="1251"/>
      <c r="BGC94" s="1251"/>
      <c r="BGD94" s="1251"/>
      <c r="BGE94" s="1251"/>
      <c r="BGF94" s="1251"/>
      <c r="BGG94" s="1251"/>
      <c r="BGH94" s="1251"/>
      <c r="BGI94" s="1251"/>
      <c r="BGJ94" s="1251"/>
      <c r="BGK94" s="1251"/>
      <c r="BGL94" s="1251"/>
      <c r="BGM94" s="1251"/>
      <c r="BGN94" s="1251"/>
      <c r="BGO94" s="1251"/>
      <c r="BGP94" s="1251"/>
      <c r="BGQ94" s="1251"/>
      <c r="BGR94" s="1251"/>
      <c r="BGS94" s="1251"/>
      <c r="BGT94" s="1251"/>
      <c r="BGU94" s="1251"/>
      <c r="BGV94" s="1251"/>
      <c r="BGW94" s="1251"/>
      <c r="BGX94" s="1251"/>
      <c r="BGY94" s="1251"/>
      <c r="BGZ94" s="1251"/>
      <c r="BHA94" s="1251"/>
      <c r="BHB94" s="1251"/>
      <c r="BHC94" s="1251"/>
      <c r="BHD94" s="1251"/>
      <c r="BHE94" s="1251"/>
      <c r="BHF94" s="1251"/>
      <c r="BHG94" s="1251"/>
      <c r="BHH94" s="1251"/>
      <c r="BHI94" s="1251"/>
      <c r="BHJ94" s="1251"/>
      <c r="BHK94" s="1251"/>
      <c r="BHL94" s="1251"/>
      <c r="BHM94" s="1251"/>
      <c r="BHN94" s="1251"/>
      <c r="BHO94" s="1251"/>
      <c r="BHP94" s="1251"/>
      <c r="BHQ94" s="1251"/>
      <c r="BHR94" s="1251"/>
      <c r="BHS94" s="1251"/>
      <c r="BHT94" s="1251"/>
      <c r="BHU94" s="1251"/>
      <c r="BHV94" s="1251"/>
      <c r="BHW94" s="1251"/>
      <c r="BHX94" s="1251"/>
      <c r="BHY94" s="1251"/>
      <c r="BHZ94" s="1251"/>
      <c r="BIA94" s="1251"/>
      <c r="BIB94" s="1251"/>
      <c r="BIC94" s="1251"/>
      <c r="BID94" s="1251"/>
      <c r="BIE94" s="1251"/>
      <c r="BIF94" s="1251"/>
      <c r="BIG94" s="1251"/>
      <c r="BIH94" s="1251"/>
      <c r="BII94" s="1251"/>
      <c r="BIJ94" s="1251"/>
      <c r="BIK94" s="1251"/>
      <c r="BIL94" s="1251"/>
      <c r="BIM94" s="1251"/>
      <c r="BIN94" s="1251"/>
      <c r="BIO94" s="1251"/>
      <c r="BIP94" s="1251"/>
      <c r="BIQ94" s="1251"/>
      <c r="BIR94" s="1251"/>
      <c r="BIS94" s="1251"/>
      <c r="BIT94" s="1251"/>
      <c r="BIU94" s="1251"/>
      <c r="BIV94" s="1251"/>
      <c r="BIW94" s="1251"/>
      <c r="BIX94" s="1251"/>
      <c r="BIY94" s="1251"/>
      <c r="BIZ94" s="1251"/>
      <c r="BJA94" s="1251"/>
      <c r="BJB94" s="1251"/>
      <c r="BJC94" s="1251"/>
      <c r="BJD94" s="1251"/>
      <c r="BJE94" s="1251"/>
      <c r="BJF94" s="1251"/>
      <c r="BJG94" s="1251"/>
      <c r="BJH94" s="1251"/>
      <c r="BJI94" s="1251"/>
      <c r="BJJ94" s="1251"/>
      <c r="BJK94" s="1251"/>
      <c r="BJL94" s="1251"/>
      <c r="BJM94" s="1251"/>
      <c r="BJN94" s="1251"/>
      <c r="BJO94" s="1251"/>
      <c r="BJP94" s="1251"/>
      <c r="BJQ94" s="1251"/>
      <c r="BJR94" s="1251"/>
      <c r="BJS94" s="1251"/>
      <c r="BJT94" s="1251"/>
      <c r="BJU94" s="1251"/>
      <c r="BJV94" s="1251"/>
      <c r="BJW94" s="1251"/>
      <c r="BJX94" s="1251"/>
      <c r="BJY94" s="1251"/>
      <c r="BJZ94" s="1251"/>
      <c r="BKA94" s="1251"/>
      <c r="BKB94" s="1251"/>
      <c r="BKC94" s="1251"/>
      <c r="BKD94" s="1251"/>
      <c r="BKE94" s="1251"/>
      <c r="BKF94" s="1251"/>
      <c r="BKG94" s="1251"/>
      <c r="BKH94" s="1251"/>
      <c r="BKI94" s="1251"/>
      <c r="BKJ94" s="1251"/>
      <c r="BKK94" s="1251"/>
      <c r="BKL94" s="1251"/>
      <c r="BKM94" s="1251"/>
      <c r="BKN94" s="1251"/>
      <c r="BKO94" s="1251"/>
      <c r="BKP94" s="1251"/>
      <c r="BKQ94" s="1251"/>
      <c r="BKR94" s="1251"/>
      <c r="BKS94" s="1251"/>
      <c r="BKT94" s="1251"/>
      <c r="BKU94" s="1251"/>
      <c r="BKV94" s="1251"/>
      <c r="BKW94" s="1251"/>
      <c r="BKX94" s="1251"/>
      <c r="BKY94" s="1251"/>
      <c r="BKZ94" s="1251"/>
      <c r="BLA94" s="1251"/>
      <c r="BLB94" s="1251"/>
      <c r="BLC94" s="1251"/>
      <c r="BLD94" s="1251"/>
      <c r="BLE94" s="1251"/>
      <c r="BLF94" s="1251"/>
      <c r="BLG94" s="1251"/>
      <c r="BLH94" s="1251"/>
      <c r="BLI94" s="1251"/>
      <c r="BLJ94" s="1251"/>
      <c r="BLK94" s="1251"/>
      <c r="BLL94" s="1251"/>
      <c r="BLM94" s="1251"/>
      <c r="BLN94" s="1251"/>
      <c r="BLO94" s="1251"/>
      <c r="BLP94" s="1251"/>
      <c r="BLQ94" s="1251"/>
      <c r="BLR94" s="1251"/>
      <c r="BLS94" s="1251"/>
      <c r="BLT94" s="1251"/>
      <c r="BLU94" s="1251"/>
      <c r="BLV94" s="1251"/>
      <c r="BLW94" s="1251"/>
      <c r="BLX94" s="1251"/>
      <c r="BLY94" s="1251"/>
      <c r="BLZ94" s="1251"/>
      <c r="BMA94" s="1251"/>
      <c r="BMB94" s="1251"/>
      <c r="BMC94" s="1251"/>
      <c r="BMD94" s="1251"/>
      <c r="BME94" s="1251"/>
      <c r="BMF94" s="1251"/>
      <c r="BMG94" s="1251"/>
      <c r="BMH94" s="1251"/>
      <c r="BMI94" s="1251"/>
      <c r="BMJ94" s="1251"/>
      <c r="BMK94" s="1251"/>
      <c r="BML94" s="1251"/>
      <c r="BMM94" s="1251"/>
      <c r="BMN94" s="1251"/>
      <c r="BMO94" s="1251"/>
      <c r="BMP94" s="1251"/>
      <c r="BMQ94" s="1251"/>
      <c r="BMR94" s="1251"/>
      <c r="BMS94" s="1251"/>
      <c r="BMT94" s="1251"/>
      <c r="BMU94" s="1251"/>
      <c r="BMV94" s="1251"/>
      <c r="BMW94" s="1251"/>
      <c r="BMX94" s="1251"/>
      <c r="BMY94" s="1251"/>
      <c r="BMZ94" s="1251"/>
      <c r="BNA94" s="1251"/>
      <c r="BNB94" s="1251"/>
      <c r="BNC94" s="1251"/>
      <c r="BND94" s="1251"/>
      <c r="BNE94" s="1251"/>
      <c r="BNF94" s="1251"/>
      <c r="BNG94" s="1251"/>
      <c r="BNH94" s="1251"/>
      <c r="BNI94" s="1251"/>
      <c r="BNJ94" s="1251"/>
      <c r="BNK94" s="1251"/>
      <c r="BNL94" s="1251"/>
      <c r="BNM94" s="1251"/>
      <c r="BNN94" s="1251"/>
      <c r="BNO94" s="1251"/>
      <c r="BNP94" s="1251"/>
      <c r="BNQ94" s="1251"/>
      <c r="BNR94" s="1251"/>
      <c r="BNS94" s="1251"/>
      <c r="BNT94" s="1251"/>
      <c r="BNU94" s="1251"/>
      <c r="BNV94" s="1251"/>
      <c r="BNW94" s="1251"/>
      <c r="BNX94" s="1251"/>
      <c r="BNY94" s="1251"/>
      <c r="BNZ94" s="1251"/>
      <c r="BOA94" s="1251"/>
      <c r="BOB94" s="1251"/>
      <c r="BOC94" s="1251"/>
      <c r="BOD94" s="1251"/>
      <c r="BOE94" s="1251"/>
      <c r="BOF94" s="1251"/>
      <c r="BOG94" s="1251"/>
      <c r="BOH94" s="1251"/>
      <c r="BOI94" s="1251"/>
      <c r="BOJ94" s="1251"/>
      <c r="BOK94" s="1251"/>
      <c r="BOL94" s="1251"/>
      <c r="BOM94" s="1251"/>
      <c r="BON94" s="1251"/>
      <c r="BOO94" s="1251"/>
      <c r="BOP94" s="1251"/>
      <c r="BOQ94" s="1251"/>
      <c r="BOR94" s="1251"/>
      <c r="BOS94" s="1251"/>
      <c r="BOT94" s="1251"/>
      <c r="BOU94" s="1251"/>
      <c r="BOV94" s="1251"/>
      <c r="BOW94" s="1251"/>
      <c r="BOX94" s="1251"/>
      <c r="BOY94" s="1251"/>
      <c r="BOZ94" s="1251"/>
      <c r="BPA94" s="1251"/>
      <c r="BPB94" s="1251"/>
      <c r="BPC94" s="1251"/>
      <c r="BPD94" s="1251"/>
      <c r="BPE94" s="1251"/>
      <c r="BPF94" s="1251"/>
      <c r="BPG94" s="1251"/>
      <c r="BPH94" s="1251"/>
      <c r="BPI94" s="1251"/>
      <c r="BPJ94" s="1251"/>
      <c r="BPK94" s="1251"/>
      <c r="BPL94" s="1251"/>
      <c r="BPM94" s="1251"/>
      <c r="BPN94" s="1251"/>
      <c r="BPO94" s="1251"/>
      <c r="BPP94" s="1251"/>
      <c r="BPQ94" s="1251"/>
      <c r="BPR94" s="1251"/>
      <c r="BPS94" s="1251"/>
      <c r="BPT94" s="1251"/>
      <c r="BPU94" s="1251"/>
      <c r="BPV94" s="1251"/>
      <c r="BPW94" s="1251"/>
      <c r="BPX94" s="1251"/>
      <c r="BPY94" s="1251"/>
      <c r="BPZ94" s="1251"/>
      <c r="BQA94" s="1251"/>
      <c r="BQB94" s="1251"/>
      <c r="BQC94" s="1251"/>
      <c r="BQD94" s="1251"/>
      <c r="BQE94" s="1251"/>
      <c r="BQF94" s="1251"/>
      <c r="BQG94" s="1251"/>
      <c r="BQH94" s="1251"/>
      <c r="BQI94" s="1251"/>
      <c r="BQJ94" s="1251"/>
      <c r="BQK94" s="1251"/>
      <c r="BQL94" s="1251"/>
      <c r="BQM94" s="1251"/>
      <c r="BQN94" s="1251"/>
      <c r="BQO94" s="1251"/>
      <c r="BQP94" s="1251"/>
      <c r="BQQ94" s="1251"/>
      <c r="BQR94" s="1251"/>
      <c r="BQS94" s="1251"/>
      <c r="BQT94" s="1251"/>
      <c r="BQU94" s="1251"/>
      <c r="BQV94" s="1251"/>
      <c r="BQW94" s="1251"/>
      <c r="BQX94" s="1251"/>
      <c r="BQY94" s="1251"/>
      <c r="BQZ94" s="1251"/>
      <c r="BRA94" s="1251"/>
      <c r="BRB94" s="1251"/>
      <c r="BRC94" s="1251"/>
      <c r="BRD94" s="1251"/>
      <c r="BRE94" s="1251"/>
      <c r="BRF94" s="1251"/>
      <c r="BRG94" s="1251"/>
      <c r="BRH94" s="1251"/>
      <c r="BRI94" s="1251"/>
      <c r="BRJ94" s="1251"/>
      <c r="BRK94" s="1251"/>
      <c r="BRL94" s="1251"/>
      <c r="BRM94" s="1251"/>
      <c r="BRN94" s="1251"/>
      <c r="BRO94" s="1251"/>
      <c r="BRP94" s="1251"/>
      <c r="BRQ94" s="1251"/>
      <c r="BRR94" s="1251"/>
      <c r="BRS94" s="1251"/>
      <c r="BRT94" s="1251"/>
      <c r="BRU94" s="1251"/>
      <c r="BRV94" s="1251"/>
      <c r="BRW94" s="1251"/>
      <c r="BRX94" s="1251"/>
      <c r="BRY94" s="1251"/>
      <c r="BRZ94" s="1251"/>
      <c r="BSA94" s="1251"/>
      <c r="BSB94" s="1251"/>
      <c r="BSC94" s="1251"/>
      <c r="BSD94" s="1251"/>
      <c r="BSE94" s="1251"/>
      <c r="BSF94" s="1251"/>
      <c r="BSG94" s="1251"/>
      <c r="BSH94" s="1251"/>
      <c r="BSI94" s="1251"/>
      <c r="BSJ94" s="1251"/>
      <c r="BSK94" s="1251"/>
      <c r="BSL94" s="1251"/>
      <c r="BSM94" s="1251"/>
      <c r="BSN94" s="1251"/>
      <c r="BSO94" s="1251"/>
      <c r="BSP94" s="1251"/>
      <c r="BSQ94" s="1251"/>
      <c r="BSR94" s="1251"/>
      <c r="BSS94" s="1251"/>
      <c r="BST94" s="1251"/>
      <c r="BSU94" s="1251"/>
      <c r="BSV94" s="1251"/>
      <c r="BSW94" s="1251"/>
      <c r="BSX94" s="1251"/>
      <c r="BSY94" s="1251"/>
      <c r="BSZ94" s="1251"/>
      <c r="BTA94" s="1251"/>
      <c r="BTB94" s="1251"/>
      <c r="BTC94" s="1251"/>
      <c r="BTD94" s="1251"/>
      <c r="BTE94" s="1251"/>
      <c r="BTF94" s="1251"/>
      <c r="BTG94" s="1251"/>
      <c r="BTH94" s="1251"/>
      <c r="BTI94" s="1251"/>
    </row>
    <row r="95" spans="1:1881" s="1261" customFormat="1" ht="115.5" hidden="1" customHeight="1" thickBot="1" x14ac:dyDescent="0.35">
      <c r="A95" s="1248">
        <v>150</v>
      </c>
      <c r="B95" s="593" t="s">
        <v>1193</v>
      </c>
      <c r="C95" s="593" t="s">
        <v>1194</v>
      </c>
      <c r="D95" s="24" t="s">
        <v>1271</v>
      </c>
      <c r="E95" s="1249" t="e">
        <f>HLOOKUP($D$2,'2020 Data(H)'!$C$1:$CZ$426,70,FALSE)</f>
        <v>#N/A</v>
      </c>
      <c r="F95" s="1263">
        <v>0</v>
      </c>
      <c r="G95" s="727"/>
      <c r="H95" s="730"/>
      <c r="I95" s="760"/>
      <c r="J95" s="1251"/>
      <c r="K95" s="1251"/>
      <c r="L95" s="701"/>
      <c r="M95" s="1251"/>
      <c r="N95" s="1253"/>
      <c r="O95" s="1251"/>
      <c r="P95" s="1251"/>
      <c r="Q95" s="1251"/>
      <c r="R95" s="1251"/>
      <c r="S95" s="1251"/>
      <c r="T95" s="1251"/>
      <c r="U95" s="1251"/>
      <c r="V95" s="1251"/>
      <c r="W95" s="1251"/>
      <c r="X95" s="1251"/>
      <c r="Y95" s="1251"/>
      <c r="Z95" s="1248"/>
      <c r="AA95" s="1248"/>
      <c r="AB95" s="1248"/>
      <c r="AC95" s="1248"/>
      <c r="AD95" s="1248"/>
      <c r="AE95" s="1248"/>
      <c r="AF95" s="1248"/>
      <c r="AG95" s="1248"/>
      <c r="AH95" s="1248"/>
      <c r="AI95" s="1248"/>
      <c r="AJ95" s="1248"/>
      <c r="AK95" s="1248"/>
      <c r="AL95" s="1248"/>
      <c r="AM95" s="1248"/>
      <c r="AN95" s="1248"/>
      <c r="AO95" s="1248"/>
      <c r="AP95" s="1248"/>
      <c r="AQ95" s="1248"/>
      <c r="AR95" s="1248"/>
      <c r="AS95" s="1251"/>
      <c r="AT95" s="1251"/>
      <c r="AU95" s="1251"/>
      <c r="AV95" s="1251"/>
      <c r="AW95" s="1251"/>
      <c r="AX95" s="1251"/>
      <c r="AY95" s="1251"/>
      <c r="AZ95" s="1251"/>
      <c r="BA95" s="1251"/>
      <c r="BB95" s="1251"/>
      <c r="BC95" s="1251"/>
      <c r="BD95" s="1251"/>
      <c r="BE95" s="1251"/>
      <c r="BF95" s="1251"/>
      <c r="BG95" s="1251"/>
      <c r="BH95" s="1251"/>
      <c r="BI95" s="1251"/>
      <c r="BJ95" s="1251"/>
      <c r="BK95" s="1251"/>
      <c r="BL95" s="1251"/>
      <c r="BM95" s="1251"/>
      <c r="BN95" s="1251"/>
      <c r="BO95" s="1251"/>
      <c r="BP95" s="1251"/>
      <c r="BQ95" s="1251"/>
      <c r="BR95" s="1251"/>
      <c r="BS95" s="1251"/>
      <c r="BT95" s="1251"/>
      <c r="BU95" s="1251"/>
      <c r="BV95" s="1251"/>
      <c r="BW95" s="1251"/>
      <c r="BX95" s="1251"/>
      <c r="BY95" s="1251"/>
      <c r="BZ95" s="1251"/>
      <c r="CA95" s="1251"/>
      <c r="CB95" s="1251"/>
      <c r="CC95" s="1251"/>
      <c r="CD95" s="1251"/>
      <c r="CE95" s="1251"/>
      <c r="CF95" s="1251"/>
      <c r="CG95" s="1251"/>
      <c r="CH95" s="1251"/>
      <c r="CI95" s="1251"/>
      <c r="CJ95" s="1251"/>
      <c r="CK95" s="1251"/>
      <c r="CL95" s="1251"/>
      <c r="CM95" s="1251"/>
      <c r="CN95" s="1251"/>
      <c r="CO95" s="1251"/>
      <c r="CP95" s="1251"/>
      <c r="CQ95" s="1251"/>
      <c r="CR95" s="1251"/>
      <c r="CS95" s="1251"/>
      <c r="CT95" s="1251"/>
      <c r="CU95" s="1251"/>
      <c r="CV95" s="1251"/>
      <c r="CW95" s="1251"/>
      <c r="CX95" s="1251"/>
      <c r="CY95" s="1251"/>
      <c r="CZ95" s="1251"/>
      <c r="DA95" s="1251"/>
      <c r="DB95" s="1251"/>
      <c r="DC95" s="1251"/>
      <c r="DD95" s="1251"/>
      <c r="DE95" s="1251"/>
      <c r="DF95" s="1251"/>
      <c r="DG95" s="1251"/>
      <c r="DH95" s="1251"/>
      <c r="DI95" s="1251"/>
      <c r="DJ95" s="1251"/>
      <c r="DK95" s="1251"/>
      <c r="DL95" s="1251"/>
      <c r="DM95" s="1251"/>
      <c r="DN95" s="1251"/>
      <c r="DO95" s="1251"/>
      <c r="DP95" s="1251"/>
      <c r="DQ95" s="1251"/>
      <c r="DR95" s="1251"/>
      <c r="DS95" s="1251"/>
      <c r="DT95" s="1251"/>
      <c r="DU95" s="1251"/>
      <c r="DV95" s="1251"/>
      <c r="DW95" s="1251"/>
      <c r="DX95" s="1251"/>
      <c r="DY95" s="1251"/>
      <c r="DZ95" s="1251"/>
      <c r="EA95" s="1251"/>
      <c r="EB95" s="1251"/>
      <c r="EC95" s="1251"/>
      <c r="ED95" s="1251"/>
      <c r="EE95" s="1251"/>
      <c r="EF95" s="1251"/>
      <c r="EG95" s="1251"/>
      <c r="EH95" s="1251"/>
      <c r="EI95" s="1251"/>
      <c r="EJ95" s="1251"/>
      <c r="EK95" s="1251"/>
      <c r="EL95" s="1251"/>
      <c r="EM95" s="1251"/>
      <c r="EN95" s="1251"/>
      <c r="EO95" s="1251"/>
      <c r="EP95" s="1251"/>
      <c r="EQ95" s="1251"/>
      <c r="ER95" s="1251"/>
      <c r="ES95" s="1251"/>
      <c r="ET95" s="1251"/>
      <c r="EU95" s="1251"/>
      <c r="EV95" s="1251"/>
      <c r="EW95" s="1251"/>
      <c r="EX95" s="1251"/>
      <c r="EY95" s="1251"/>
      <c r="EZ95" s="1251"/>
      <c r="FA95" s="1251"/>
      <c r="FB95" s="1251"/>
      <c r="FC95" s="1251"/>
      <c r="FD95" s="1251"/>
      <c r="FE95" s="1251"/>
      <c r="FF95" s="1251"/>
      <c r="FG95" s="1251"/>
      <c r="FH95" s="1251"/>
      <c r="FI95" s="1251"/>
      <c r="FJ95" s="1251"/>
      <c r="FK95" s="1251"/>
      <c r="FL95" s="1251"/>
      <c r="FM95" s="1251"/>
      <c r="FN95" s="1251"/>
      <c r="FO95" s="1251"/>
      <c r="FP95" s="1251"/>
      <c r="FQ95" s="1251"/>
      <c r="FR95" s="1251"/>
      <c r="FS95" s="1251"/>
      <c r="FT95" s="1251"/>
      <c r="FU95" s="1251"/>
      <c r="FV95" s="1251"/>
      <c r="FW95" s="1251"/>
      <c r="FX95" s="1251"/>
      <c r="FY95" s="1251"/>
      <c r="FZ95" s="1251"/>
      <c r="GA95" s="1251"/>
      <c r="GB95" s="1251"/>
      <c r="GC95" s="1251"/>
      <c r="GD95" s="1251"/>
      <c r="GE95" s="1251"/>
      <c r="GF95" s="1251"/>
      <c r="GG95" s="1251"/>
      <c r="GH95" s="1251"/>
      <c r="GI95" s="1251"/>
      <c r="GJ95" s="1251"/>
      <c r="GK95" s="1251"/>
      <c r="GL95" s="1251"/>
      <c r="GM95" s="1251"/>
      <c r="GN95" s="1251"/>
      <c r="GO95" s="1251"/>
      <c r="GP95" s="1251"/>
      <c r="GQ95" s="1251"/>
      <c r="GR95" s="1251"/>
      <c r="GS95" s="1251"/>
      <c r="GT95" s="1251"/>
      <c r="GU95" s="1251"/>
      <c r="GV95" s="1251"/>
      <c r="GW95" s="1251"/>
      <c r="GX95" s="1251"/>
      <c r="GY95" s="1251"/>
      <c r="GZ95" s="1251"/>
      <c r="HA95" s="1251"/>
      <c r="HB95" s="1251"/>
      <c r="HC95" s="1251"/>
      <c r="HD95" s="1251"/>
      <c r="HE95" s="1251"/>
      <c r="HF95" s="1251"/>
      <c r="HG95" s="1251"/>
      <c r="HH95" s="1251"/>
      <c r="HI95" s="1251"/>
      <c r="HJ95" s="1251"/>
      <c r="HK95" s="1251"/>
      <c r="HL95" s="1251"/>
      <c r="HM95" s="1251"/>
      <c r="HN95" s="1251"/>
      <c r="HO95" s="1251"/>
      <c r="HP95" s="1251"/>
      <c r="HQ95" s="1251"/>
      <c r="HR95" s="1251"/>
      <c r="HS95" s="1251"/>
      <c r="HT95" s="1251"/>
      <c r="HU95" s="1251"/>
      <c r="HV95" s="1251"/>
      <c r="HW95" s="1251"/>
      <c r="HX95" s="1251"/>
      <c r="HY95" s="1251"/>
      <c r="HZ95" s="1251"/>
      <c r="IA95" s="1251"/>
      <c r="IB95" s="1251"/>
      <c r="IC95" s="1251"/>
      <c r="ID95" s="1251"/>
      <c r="IE95" s="1251"/>
      <c r="IF95" s="1251"/>
      <c r="IG95" s="1251"/>
      <c r="IH95" s="1251"/>
      <c r="II95" s="1251"/>
      <c r="IJ95" s="1251"/>
      <c r="IK95" s="1251"/>
      <c r="IL95" s="1251"/>
      <c r="IM95" s="1251"/>
      <c r="IN95" s="1251"/>
      <c r="IO95" s="1251"/>
      <c r="IP95" s="1251"/>
      <c r="IQ95" s="1251"/>
      <c r="IR95" s="1251"/>
      <c r="IS95" s="1251"/>
      <c r="IT95" s="1251"/>
      <c r="IU95" s="1251"/>
      <c r="IV95" s="1251"/>
      <c r="IW95" s="1251"/>
      <c r="IX95" s="1251"/>
      <c r="IY95" s="1251"/>
      <c r="IZ95" s="1251"/>
      <c r="JA95" s="1251"/>
      <c r="JB95" s="1251"/>
      <c r="JC95" s="1251"/>
      <c r="JD95" s="1251"/>
      <c r="JE95" s="1251"/>
      <c r="JF95" s="1251"/>
      <c r="JG95" s="1251"/>
      <c r="JH95" s="1251"/>
      <c r="JI95" s="1251"/>
      <c r="JJ95" s="1251"/>
      <c r="JK95" s="1251"/>
      <c r="JL95" s="1251"/>
      <c r="JM95" s="1251"/>
      <c r="JN95" s="1251"/>
      <c r="JO95" s="1251"/>
      <c r="JP95" s="1251"/>
      <c r="JQ95" s="1251"/>
      <c r="JR95" s="1251"/>
      <c r="JS95" s="1251"/>
      <c r="JT95" s="1251"/>
      <c r="JU95" s="1251"/>
      <c r="JV95" s="1251"/>
      <c r="JW95" s="1251"/>
      <c r="JX95" s="1251"/>
      <c r="JY95" s="1251"/>
      <c r="JZ95" s="1251"/>
      <c r="KA95" s="1251"/>
      <c r="KB95" s="1251"/>
      <c r="KC95" s="1251"/>
      <c r="KD95" s="1251"/>
      <c r="KE95" s="1251"/>
      <c r="KF95" s="1251"/>
      <c r="KG95" s="1251"/>
      <c r="KH95" s="1251"/>
      <c r="KI95" s="1251"/>
      <c r="KJ95" s="1251"/>
      <c r="KK95" s="1251"/>
      <c r="KL95" s="1251"/>
      <c r="KM95" s="1251"/>
      <c r="KN95" s="1251"/>
      <c r="KO95" s="1251"/>
      <c r="KP95" s="1251"/>
      <c r="KQ95" s="1251"/>
      <c r="KR95" s="1251"/>
      <c r="KS95" s="1251"/>
      <c r="KT95" s="1251"/>
      <c r="KU95" s="1251"/>
      <c r="KV95" s="1251"/>
      <c r="KW95" s="1251"/>
      <c r="KX95" s="1251"/>
      <c r="KY95" s="1251"/>
      <c r="KZ95" s="1251"/>
      <c r="LA95" s="1251"/>
      <c r="LB95" s="1251"/>
      <c r="LC95" s="1251"/>
      <c r="LD95" s="1251"/>
      <c r="LE95" s="1251"/>
      <c r="LF95" s="1251"/>
      <c r="LG95" s="1251"/>
      <c r="LH95" s="1251"/>
      <c r="LI95" s="1251"/>
      <c r="LJ95" s="1251"/>
      <c r="LK95" s="1251"/>
      <c r="LL95" s="1251"/>
      <c r="LM95" s="1251"/>
      <c r="LN95" s="1251"/>
      <c r="LO95" s="1251"/>
      <c r="LP95" s="1251"/>
      <c r="LQ95" s="1251"/>
      <c r="LR95" s="1251"/>
      <c r="LS95" s="1251"/>
      <c r="LT95" s="1251"/>
      <c r="LU95" s="1251"/>
      <c r="LV95" s="1251"/>
      <c r="LW95" s="1251"/>
      <c r="LX95" s="1251"/>
      <c r="LY95" s="1251"/>
      <c r="LZ95" s="1251"/>
      <c r="MA95" s="1251"/>
      <c r="MB95" s="1251"/>
      <c r="MC95" s="1251"/>
      <c r="MD95" s="1251"/>
      <c r="ME95" s="1251"/>
      <c r="MF95" s="1251"/>
      <c r="MG95" s="1251"/>
      <c r="MH95" s="1251"/>
      <c r="MI95" s="1251"/>
      <c r="MJ95" s="1251"/>
      <c r="MK95" s="1251"/>
      <c r="ML95" s="1251"/>
      <c r="MM95" s="1251"/>
      <c r="MN95" s="1251"/>
      <c r="MO95" s="1251"/>
      <c r="MP95" s="1251"/>
      <c r="MQ95" s="1251"/>
      <c r="MR95" s="1251"/>
      <c r="MS95" s="1251"/>
      <c r="MT95" s="1251"/>
      <c r="MU95" s="1251"/>
      <c r="MV95" s="1251"/>
      <c r="MW95" s="1251"/>
      <c r="MX95" s="1251"/>
      <c r="MY95" s="1251"/>
      <c r="MZ95" s="1251"/>
      <c r="NA95" s="1251"/>
      <c r="NB95" s="1251"/>
      <c r="NC95" s="1251"/>
      <c r="ND95" s="1251"/>
      <c r="NE95" s="1251"/>
      <c r="NF95" s="1251"/>
      <c r="NG95" s="1251"/>
      <c r="NH95" s="1251"/>
      <c r="NI95" s="1251"/>
      <c r="NJ95" s="1251"/>
      <c r="NK95" s="1251"/>
      <c r="NL95" s="1251"/>
      <c r="NM95" s="1251"/>
      <c r="NN95" s="1251"/>
      <c r="NO95" s="1251"/>
      <c r="NP95" s="1251"/>
      <c r="NQ95" s="1251"/>
      <c r="NR95" s="1251"/>
      <c r="NS95" s="1251"/>
      <c r="NT95" s="1251"/>
      <c r="NU95" s="1251"/>
      <c r="NV95" s="1251"/>
      <c r="NW95" s="1251"/>
      <c r="NX95" s="1251"/>
      <c r="NY95" s="1251"/>
      <c r="NZ95" s="1251"/>
      <c r="OA95" s="1251"/>
      <c r="OB95" s="1251"/>
      <c r="OC95" s="1251"/>
      <c r="OD95" s="1251"/>
      <c r="OE95" s="1251"/>
      <c r="OF95" s="1251"/>
      <c r="OG95" s="1251"/>
      <c r="OH95" s="1251"/>
      <c r="OI95" s="1251"/>
      <c r="OJ95" s="1251"/>
      <c r="OK95" s="1251"/>
      <c r="OL95" s="1251"/>
      <c r="OM95" s="1251"/>
      <c r="ON95" s="1251"/>
      <c r="OO95" s="1251"/>
      <c r="OP95" s="1251"/>
      <c r="OQ95" s="1251"/>
      <c r="OR95" s="1251"/>
      <c r="OS95" s="1251"/>
      <c r="OT95" s="1251"/>
      <c r="OU95" s="1251"/>
      <c r="OV95" s="1251"/>
      <c r="OW95" s="1251"/>
      <c r="OX95" s="1251"/>
      <c r="OY95" s="1251"/>
      <c r="OZ95" s="1251"/>
      <c r="PA95" s="1251"/>
      <c r="PB95" s="1251"/>
      <c r="PC95" s="1251"/>
      <c r="PD95" s="1251"/>
      <c r="PE95" s="1251"/>
      <c r="PF95" s="1251"/>
      <c r="PG95" s="1251"/>
      <c r="PH95" s="1251"/>
      <c r="PI95" s="1251"/>
      <c r="PJ95" s="1251"/>
      <c r="PK95" s="1251"/>
      <c r="PL95" s="1251"/>
      <c r="PM95" s="1251"/>
      <c r="PN95" s="1251"/>
      <c r="PO95" s="1251"/>
      <c r="PP95" s="1251"/>
      <c r="PQ95" s="1251"/>
      <c r="PR95" s="1251"/>
      <c r="PS95" s="1251"/>
      <c r="PT95" s="1251"/>
      <c r="PU95" s="1251"/>
      <c r="PV95" s="1251"/>
      <c r="PW95" s="1251"/>
      <c r="PX95" s="1251"/>
      <c r="PY95" s="1251"/>
      <c r="PZ95" s="1251"/>
      <c r="QA95" s="1251"/>
      <c r="QB95" s="1251"/>
      <c r="QC95" s="1251"/>
      <c r="QD95" s="1251"/>
      <c r="QE95" s="1251"/>
      <c r="QF95" s="1251"/>
      <c r="QG95" s="1251"/>
      <c r="QH95" s="1251"/>
      <c r="QI95" s="1251"/>
      <c r="QJ95" s="1251"/>
      <c r="QK95" s="1251"/>
      <c r="QL95" s="1251"/>
      <c r="QM95" s="1251"/>
      <c r="QN95" s="1251"/>
      <c r="QO95" s="1251"/>
      <c r="QP95" s="1251"/>
      <c r="QQ95" s="1251"/>
      <c r="QR95" s="1251"/>
      <c r="QS95" s="1251"/>
      <c r="QT95" s="1251"/>
      <c r="QU95" s="1251"/>
      <c r="QV95" s="1251"/>
      <c r="QW95" s="1251"/>
      <c r="QX95" s="1251"/>
      <c r="QY95" s="1251"/>
      <c r="QZ95" s="1251"/>
      <c r="RA95" s="1251"/>
      <c r="RB95" s="1251"/>
      <c r="RC95" s="1251"/>
      <c r="RD95" s="1251"/>
      <c r="RE95" s="1251"/>
      <c r="RF95" s="1251"/>
      <c r="RG95" s="1251"/>
      <c r="RH95" s="1251"/>
      <c r="RI95" s="1251"/>
      <c r="RJ95" s="1251"/>
      <c r="RK95" s="1251"/>
      <c r="RL95" s="1251"/>
      <c r="RM95" s="1251"/>
      <c r="RN95" s="1251"/>
      <c r="RO95" s="1251"/>
      <c r="RP95" s="1251"/>
      <c r="RQ95" s="1251"/>
      <c r="RR95" s="1251"/>
      <c r="RS95" s="1251"/>
      <c r="RT95" s="1251"/>
      <c r="RU95" s="1251"/>
      <c r="RV95" s="1251"/>
      <c r="RW95" s="1251"/>
      <c r="RX95" s="1251"/>
      <c r="RY95" s="1251"/>
      <c r="RZ95" s="1251"/>
      <c r="SA95" s="1251"/>
      <c r="SB95" s="1251"/>
      <c r="SC95" s="1251"/>
      <c r="SD95" s="1251"/>
      <c r="SE95" s="1251"/>
      <c r="SF95" s="1251"/>
      <c r="SG95" s="1251"/>
      <c r="SH95" s="1251"/>
      <c r="SI95" s="1251"/>
      <c r="SJ95" s="1251"/>
      <c r="SK95" s="1251"/>
      <c r="SL95" s="1251"/>
      <c r="SM95" s="1251"/>
      <c r="SN95" s="1251"/>
      <c r="SO95" s="1251"/>
      <c r="SP95" s="1251"/>
      <c r="SQ95" s="1251"/>
      <c r="SR95" s="1251"/>
      <c r="SS95" s="1251"/>
      <c r="ST95" s="1251"/>
      <c r="SU95" s="1251"/>
      <c r="SV95" s="1251"/>
      <c r="SW95" s="1251"/>
      <c r="SX95" s="1251"/>
      <c r="SY95" s="1251"/>
      <c r="SZ95" s="1251"/>
      <c r="TA95" s="1251"/>
      <c r="TB95" s="1251"/>
      <c r="TC95" s="1251"/>
      <c r="TD95" s="1251"/>
      <c r="TE95" s="1251"/>
      <c r="TF95" s="1251"/>
      <c r="TG95" s="1251"/>
      <c r="TH95" s="1251"/>
      <c r="TI95" s="1251"/>
      <c r="TJ95" s="1251"/>
      <c r="TK95" s="1251"/>
      <c r="TL95" s="1251"/>
      <c r="TM95" s="1251"/>
      <c r="TN95" s="1251"/>
      <c r="TO95" s="1251"/>
      <c r="TP95" s="1251"/>
      <c r="TQ95" s="1251"/>
      <c r="TR95" s="1251"/>
      <c r="TS95" s="1251"/>
      <c r="TT95" s="1251"/>
      <c r="TU95" s="1251"/>
      <c r="TV95" s="1251"/>
      <c r="TW95" s="1251"/>
      <c r="TX95" s="1251"/>
      <c r="TY95" s="1251"/>
      <c r="TZ95" s="1251"/>
      <c r="UA95" s="1251"/>
      <c r="UB95" s="1251"/>
      <c r="UC95" s="1251"/>
      <c r="UD95" s="1251"/>
      <c r="UE95" s="1251"/>
      <c r="UF95" s="1251"/>
      <c r="UG95" s="1251"/>
      <c r="UH95" s="1251"/>
      <c r="UI95" s="1251"/>
      <c r="UJ95" s="1251"/>
      <c r="UK95" s="1251"/>
      <c r="UL95" s="1251"/>
      <c r="UM95" s="1251"/>
      <c r="UN95" s="1251"/>
      <c r="UO95" s="1251"/>
      <c r="UP95" s="1251"/>
      <c r="UQ95" s="1251"/>
      <c r="UR95" s="1251"/>
      <c r="US95" s="1251"/>
      <c r="UT95" s="1251"/>
      <c r="UU95" s="1251"/>
      <c r="UV95" s="1251"/>
      <c r="UW95" s="1251"/>
      <c r="UX95" s="1251"/>
      <c r="UY95" s="1251"/>
      <c r="UZ95" s="1251"/>
      <c r="VA95" s="1251"/>
      <c r="VB95" s="1251"/>
      <c r="VC95" s="1251"/>
      <c r="VD95" s="1251"/>
      <c r="VE95" s="1251"/>
      <c r="VF95" s="1251"/>
      <c r="VG95" s="1251"/>
      <c r="VH95" s="1251"/>
      <c r="VI95" s="1251"/>
      <c r="VJ95" s="1251"/>
      <c r="VK95" s="1251"/>
      <c r="VL95" s="1251"/>
      <c r="VM95" s="1251"/>
      <c r="VN95" s="1251"/>
      <c r="VO95" s="1251"/>
      <c r="VP95" s="1251"/>
      <c r="VQ95" s="1251"/>
      <c r="VR95" s="1251"/>
      <c r="VS95" s="1251"/>
      <c r="VT95" s="1251"/>
      <c r="VU95" s="1251"/>
      <c r="VV95" s="1251"/>
      <c r="VW95" s="1251"/>
      <c r="VX95" s="1251"/>
      <c r="VY95" s="1251"/>
      <c r="VZ95" s="1251"/>
      <c r="WA95" s="1251"/>
      <c r="WB95" s="1251"/>
      <c r="WC95" s="1251"/>
      <c r="WD95" s="1251"/>
      <c r="WE95" s="1251"/>
      <c r="WF95" s="1251"/>
      <c r="WG95" s="1251"/>
      <c r="WH95" s="1251"/>
      <c r="WI95" s="1251"/>
      <c r="WJ95" s="1251"/>
      <c r="WK95" s="1251"/>
      <c r="WL95" s="1251"/>
      <c r="WM95" s="1251"/>
      <c r="WN95" s="1251"/>
      <c r="WO95" s="1251"/>
      <c r="WP95" s="1251"/>
      <c r="WQ95" s="1251"/>
      <c r="WR95" s="1251"/>
      <c r="WS95" s="1251"/>
      <c r="WT95" s="1251"/>
      <c r="WU95" s="1251"/>
      <c r="WV95" s="1251"/>
      <c r="WW95" s="1251"/>
      <c r="WX95" s="1251"/>
      <c r="WY95" s="1251"/>
      <c r="WZ95" s="1251"/>
      <c r="XA95" s="1251"/>
      <c r="XB95" s="1251"/>
      <c r="XC95" s="1251"/>
      <c r="XD95" s="1251"/>
      <c r="XE95" s="1251"/>
      <c r="XF95" s="1251"/>
      <c r="XG95" s="1251"/>
      <c r="XH95" s="1251"/>
      <c r="XI95" s="1251"/>
      <c r="XJ95" s="1251"/>
      <c r="XK95" s="1251"/>
      <c r="XL95" s="1251"/>
      <c r="XM95" s="1251"/>
      <c r="XN95" s="1251"/>
      <c r="XO95" s="1251"/>
      <c r="XP95" s="1251"/>
      <c r="XQ95" s="1251"/>
      <c r="XR95" s="1251"/>
      <c r="XS95" s="1251"/>
      <c r="XT95" s="1251"/>
      <c r="XU95" s="1251"/>
      <c r="XV95" s="1251"/>
      <c r="XW95" s="1251"/>
      <c r="XX95" s="1251"/>
      <c r="XY95" s="1251"/>
      <c r="XZ95" s="1251"/>
      <c r="YA95" s="1251"/>
      <c r="YB95" s="1251"/>
      <c r="YC95" s="1251"/>
      <c r="YD95" s="1251"/>
      <c r="YE95" s="1251"/>
      <c r="YF95" s="1251"/>
      <c r="YG95" s="1251"/>
      <c r="YH95" s="1251"/>
      <c r="YI95" s="1251"/>
      <c r="YJ95" s="1251"/>
      <c r="YK95" s="1251"/>
      <c r="YL95" s="1251"/>
      <c r="YM95" s="1251"/>
      <c r="YN95" s="1251"/>
      <c r="YO95" s="1251"/>
      <c r="YP95" s="1251"/>
      <c r="YQ95" s="1251"/>
      <c r="YR95" s="1251"/>
      <c r="YS95" s="1251"/>
      <c r="YT95" s="1251"/>
      <c r="YU95" s="1251"/>
      <c r="YV95" s="1251"/>
      <c r="YW95" s="1251"/>
      <c r="YX95" s="1251"/>
      <c r="YY95" s="1251"/>
      <c r="YZ95" s="1251"/>
      <c r="ZA95" s="1251"/>
      <c r="ZB95" s="1251"/>
      <c r="ZC95" s="1251"/>
      <c r="ZD95" s="1251"/>
      <c r="ZE95" s="1251"/>
      <c r="ZF95" s="1251"/>
      <c r="ZG95" s="1251"/>
      <c r="ZH95" s="1251"/>
      <c r="ZI95" s="1251"/>
      <c r="ZJ95" s="1251"/>
      <c r="ZK95" s="1251"/>
      <c r="ZL95" s="1251"/>
      <c r="ZM95" s="1251"/>
      <c r="ZN95" s="1251"/>
      <c r="ZO95" s="1251"/>
      <c r="ZP95" s="1251"/>
      <c r="ZQ95" s="1251"/>
      <c r="ZR95" s="1251"/>
      <c r="ZS95" s="1251"/>
      <c r="ZT95" s="1251"/>
      <c r="ZU95" s="1251"/>
      <c r="ZV95" s="1251"/>
      <c r="ZW95" s="1251"/>
      <c r="ZX95" s="1251"/>
      <c r="ZY95" s="1251"/>
      <c r="ZZ95" s="1251"/>
      <c r="AAA95" s="1251"/>
      <c r="AAB95" s="1251"/>
      <c r="AAC95" s="1251"/>
      <c r="AAD95" s="1251"/>
      <c r="AAE95" s="1251"/>
      <c r="AAF95" s="1251"/>
      <c r="AAG95" s="1251"/>
      <c r="AAH95" s="1251"/>
      <c r="AAI95" s="1251"/>
      <c r="AAJ95" s="1251"/>
      <c r="AAK95" s="1251"/>
      <c r="AAL95" s="1251"/>
      <c r="AAM95" s="1251"/>
      <c r="AAN95" s="1251"/>
      <c r="AAO95" s="1251"/>
      <c r="AAP95" s="1251"/>
      <c r="AAQ95" s="1251"/>
      <c r="AAR95" s="1251"/>
      <c r="AAS95" s="1251"/>
      <c r="AAT95" s="1251"/>
      <c r="AAU95" s="1251"/>
      <c r="AAV95" s="1251"/>
      <c r="AAW95" s="1251"/>
      <c r="AAX95" s="1251"/>
      <c r="AAY95" s="1251"/>
      <c r="AAZ95" s="1251"/>
      <c r="ABA95" s="1251"/>
      <c r="ABB95" s="1251"/>
      <c r="ABC95" s="1251"/>
      <c r="ABD95" s="1251"/>
      <c r="ABE95" s="1251"/>
      <c r="ABF95" s="1251"/>
      <c r="ABG95" s="1251"/>
      <c r="ABH95" s="1251"/>
      <c r="ABI95" s="1251"/>
      <c r="ABJ95" s="1251"/>
      <c r="ABK95" s="1251"/>
      <c r="ABL95" s="1251"/>
      <c r="ABM95" s="1251"/>
      <c r="ABN95" s="1251"/>
      <c r="ABO95" s="1251"/>
      <c r="ABP95" s="1251"/>
      <c r="ABQ95" s="1251"/>
      <c r="ABR95" s="1251"/>
      <c r="ABS95" s="1251"/>
      <c r="ABT95" s="1251"/>
      <c r="ABU95" s="1251"/>
      <c r="ABV95" s="1251"/>
      <c r="ABW95" s="1251"/>
      <c r="ABX95" s="1251"/>
      <c r="ABY95" s="1251"/>
      <c r="ABZ95" s="1251"/>
      <c r="ACA95" s="1251"/>
      <c r="ACB95" s="1251"/>
      <c r="ACC95" s="1251"/>
      <c r="ACD95" s="1251"/>
      <c r="ACE95" s="1251"/>
      <c r="ACF95" s="1251"/>
      <c r="ACG95" s="1251"/>
      <c r="ACH95" s="1251"/>
      <c r="ACI95" s="1251"/>
      <c r="ACJ95" s="1251"/>
      <c r="ACK95" s="1251"/>
      <c r="ACL95" s="1251"/>
      <c r="ACM95" s="1251"/>
      <c r="ACN95" s="1251"/>
      <c r="ACO95" s="1251"/>
      <c r="ACP95" s="1251"/>
      <c r="ACQ95" s="1251"/>
      <c r="ACR95" s="1251"/>
      <c r="ACS95" s="1251"/>
      <c r="ACT95" s="1251"/>
      <c r="ACU95" s="1251"/>
      <c r="ACV95" s="1251"/>
      <c r="ACW95" s="1251"/>
      <c r="ACX95" s="1251"/>
      <c r="ACY95" s="1251"/>
      <c r="ACZ95" s="1251"/>
      <c r="ADA95" s="1251"/>
      <c r="ADB95" s="1251"/>
      <c r="ADC95" s="1251"/>
      <c r="ADD95" s="1251"/>
      <c r="ADE95" s="1251"/>
      <c r="ADF95" s="1251"/>
      <c r="ADG95" s="1251"/>
      <c r="ADH95" s="1251"/>
      <c r="ADI95" s="1251"/>
      <c r="ADJ95" s="1251"/>
      <c r="ADK95" s="1251"/>
      <c r="ADL95" s="1251"/>
      <c r="ADM95" s="1251"/>
      <c r="ADN95" s="1251"/>
      <c r="ADO95" s="1251"/>
      <c r="ADP95" s="1251"/>
      <c r="ADQ95" s="1251"/>
      <c r="ADR95" s="1251"/>
      <c r="ADS95" s="1251"/>
      <c r="ADT95" s="1251"/>
      <c r="ADU95" s="1251"/>
      <c r="ADV95" s="1251"/>
      <c r="ADW95" s="1251"/>
      <c r="ADX95" s="1251"/>
      <c r="ADY95" s="1251"/>
      <c r="ADZ95" s="1251"/>
      <c r="AEA95" s="1251"/>
      <c r="AEB95" s="1251"/>
      <c r="AEC95" s="1251"/>
      <c r="AED95" s="1251"/>
      <c r="AEE95" s="1251"/>
      <c r="AEF95" s="1251"/>
      <c r="AEG95" s="1251"/>
      <c r="AEH95" s="1251"/>
      <c r="AEI95" s="1251"/>
      <c r="AEJ95" s="1251"/>
      <c r="AEK95" s="1251"/>
      <c r="AEL95" s="1251"/>
      <c r="AEM95" s="1251"/>
      <c r="AEN95" s="1251"/>
      <c r="AEO95" s="1251"/>
      <c r="AEP95" s="1251"/>
      <c r="AEQ95" s="1251"/>
      <c r="AER95" s="1251"/>
      <c r="AES95" s="1251"/>
      <c r="AET95" s="1251"/>
      <c r="AEU95" s="1251"/>
      <c r="AEV95" s="1251"/>
      <c r="AEW95" s="1251"/>
      <c r="AEX95" s="1251"/>
      <c r="AEY95" s="1251"/>
      <c r="AEZ95" s="1251"/>
      <c r="AFA95" s="1251"/>
      <c r="AFB95" s="1251"/>
      <c r="AFC95" s="1251"/>
      <c r="AFD95" s="1251"/>
      <c r="AFE95" s="1251"/>
      <c r="AFF95" s="1251"/>
      <c r="AFG95" s="1251"/>
      <c r="AFH95" s="1251"/>
      <c r="AFI95" s="1251"/>
      <c r="AFJ95" s="1251"/>
      <c r="AFK95" s="1251"/>
      <c r="AFL95" s="1251"/>
      <c r="AFM95" s="1251"/>
      <c r="AFN95" s="1251"/>
      <c r="AFO95" s="1251"/>
      <c r="AFP95" s="1251"/>
      <c r="AFQ95" s="1251"/>
      <c r="AFR95" s="1251"/>
      <c r="AFS95" s="1251"/>
      <c r="AFT95" s="1251"/>
      <c r="AFU95" s="1251"/>
      <c r="AFV95" s="1251"/>
      <c r="AFW95" s="1251"/>
      <c r="AFX95" s="1251"/>
      <c r="AFY95" s="1251"/>
      <c r="AFZ95" s="1251"/>
      <c r="AGA95" s="1251"/>
      <c r="AGB95" s="1251"/>
      <c r="AGC95" s="1251"/>
      <c r="AGD95" s="1251"/>
      <c r="AGE95" s="1251"/>
      <c r="AGF95" s="1251"/>
      <c r="AGG95" s="1251"/>
      <c r="AGH95" s="1251"/>
      <c r="AGI95" s="1251"/>
      <c r="AGJ95" s="1251"/>
      <c r="AGK95" s="1251"/>
      <c r="AGL95" s="1251"/>
      <c r="AGM95" s="1251"/>
      <c r="AGN95" s="1251"/>
      <c r="AGO95" s="1251"/>
      <c r="AGP95" s="1251"/>
      <c r="AGQ95" s="1251"/>
      <c r="AGR95" s="1251"/>
      <c r="AGS95" s="1251"/>
      <c r="AGT95" s="1251"/>
      <c r="AGU95" s="1251"/>
      <c r="AGV95" s="1251"/>
      <c r="AGW95" s="1251"/>
      <c r="AGX95" s="1251"/>
      <c r="AGY95" s="1251"/>
      <c r="AGZ95" s="1251"/>
      <c r="AHA95" s="1251"/>
      <c r="AHB95" s="1251"/>
      <c r="AHC95" s="1251"/>
      <c r="AHD95" s="1251"/>
      <c r="AHE95" s="1251"/>
      <c r="AHF95" s="1251"/>
      <c r="AHG95" s="1251"/>
      <c r="AHH95" s="1251"/>
      <c r="AHI95" s="1251"/>
      <c r="AHJ95" s="1251"/>
      <c r="AHK95" s="1251"/>
      <c r="AHL95" s="1251"/>
      <c r="AHM95" s="1251"/>
      <c r="AHN95" s="1251"/>
      <c r="AHO95" s="1251"/>
      <c r="AHP95" s="1251"/>
      <c r="AHQ95" s="1251"/>
      <c r="AHR95" s="1251"/>
      <c r="AHS95" s="1251"/>
      <c r="AHT95" s="1251"/>
      <c r="AHU95" s="1251"/>
      <c r="AHV95" s="1251"/>
      <c r="AHW95" s="1251"/>
      <c r="AHX95" s="1251"/>
      <c r="AHY95" s="1251"/>
      <c r="AHZ95" s="1251"/>
      <c r="AIA95" s="1251"/>
      <c r="AIB95" s="1251"/>
      <c r="AIC95" s="1251"/>
      <c r="AID95" s="1251"/>
      <c r="AIE95" s="1251"/>
      <c r="AIF95" s="1251"/>
      <c r="AIG95" s="1251"/>
      <c r="AIH95" s="1251"/>
      <c r="AII95" s="1251"/>
      <c r="AIJ95" s="1251"/>
      <c r="AIK95" s="1251"/>
      <c r="AIL95" s="1251"/>
      <c r="AIM95" s="1251"/>
      <c r="AIN95" s="1251"/>
      <c r="AIO95" s="1251"/>
      <c r="AIP95" s="1251"/>
      <c r="AIQ95" s="1251"/>
      <c r="AIR95" s="1251"/>
      <c r="AIS95" s="1251"/>
      <c r="AIT95" s="1251"/>
      <c r="AIU95" s="1251"/>
      <c r="AIV95" s="1251"/>
      <c r="AIW95" s="1251"/>
      <c r="AIX95" s="1251"/>
      <c r="AIY95" s="1251"/>
      <c r="AIZ95" s="1251"/>
      <c r="AJA95" s="1251"/>
      <c r="AJB95" s="1251"/>
      <c r="AJC95" s="1251"/>
      <c r="AJD95" s="1251"/>
      <c r="AJE95" s="1251"/>
      <c r="AJF95" s="1251"/>
      <c r="AJG95" s="1251"/>
      <c r="AJH95" s="1251"/>
      <c r="AJI95" s="1251"/>
      <c r="AJJ95" s="1251"/>
      <c r="AJK95" s="1251"/>
      <c r="AJL95" s="1251"/>
      <c r="AJM95" s="1251"/>
      <c r="AJN95" s="1251"/>
      <c r="AJO95" s="1251"/>
      <c r="AJP95" s="1251"/>
      <c r="AJQ95" s="1251"/>
      <c r="AJR95" s="1251"/>
      <c r="AJS95" s="1251"/>
      <c r="AJT95" s="1251"/>
      <c r="AJU95" s="1251"/>
      <c r="AJV95" s="1251"/>
      <c r="AJW95" s="1251"/>
      <c r="AJX95" s="1251"/>
      <c r="AJY95" s="1251"/>
      <c r="AJZ95" s="1251"/>
      <c r="AKA95" s="1251"/>
      <c r="AKB95" s="1251"/>
      <c r="AKC95" s="1251"/>
      <c r="AKD95" s="1251"/>
      <c r="AKE95" s="1251"/>
      <c r="AKF95" s="1251"/>
      <c r="AKG95" s="1251"/>
      <c r="AKH95" s="1251"/>
      <c r="AKI95" s="1251"/>
      <c r="AKJ95" s="1251"/>
      <c r="AKK95" s="1251"/>
      <c r="AKL95" s="1251"/>
      <c r="AKM95" s="1251"/>
      <c r="AKN95" s="1251"/>
      <c r="AKO95" s="1251"/>
      <c r="AKP95" s="1251"/>
      <c r="AKQ95" s="1251"/>
      <c r="AKR95" s="1251"/>
      <c r="AKS95" s="1251"/>
      <c r="AKT95" s="1251"/>
      <c r="AKU95" s="1251"/>
      <c r="AKV95" s="1251"/>
      <c r="AKW95" s="1251"/>
      <c r="AKX95" s="1251"/>
      <c r="AKY95" s="1251"/>
      <c r="AKZ95" s="1251"/>
      <c r="ALA95" s="1251"/>
      <c r="ALB95" s="1251"/>
      <c r="ALC95" s="1251"/>
      <c r="ALD95" s="1251"/>
      <c r="ALE95" s="1251"/>
      <c r="ALF95" s="1251"/>
      <c r="ALG95" s="1251"/>
      <c r="ALH95" s="1251"/>
      <c r="ALI95" s="1251"/>
      <c r="ALJ95" s="1251"/>
      <c r="ALK95" s="1251"/>
      <c r="ALL95" s="1251"/>
      <c r="ALM95" s="1251"/>
      <c r="ALN95" s="1251"/>
      <c r="ALO95" s="1251"/>
      <c r="ALP95" s="1251"/>
      <c r="ALQ95" s="1251"/>
      <c r="ALR95" s="1251"/>
      <c r="ALS95" s="1251"/>
      <c r="ALT95" s="1251"/>
      <c r="ALU95" s="1251"/>
      <c r="ALV95" s="1251"/>
      <c r="ALW95" s="1251"/>
      <c r="ALX95" s="1251"/>
      <c r="ALY95" s="1251"/>
      <c r="ALZ95" s="1251"/>
      <c r="AMA95" s="1251"/>
      <c r="AMB95" s="1251"/>
      <c r="AMC95" s="1251"/>
      <c r="AMD95" s="1251"/>
      <c r="AME95" s="1251"/>
      <c r="AMF95" s="1251"/>
      <c r="AMG95" s="1251"/>
      <c r="AMH95" s="1251"/>
      <c r="AMI95" s="1251"/>
      <c r="AMJ95" s="1251"/>
      <c r="AMK95" s="1251"/>
      <c r="AML95" s="1251"/>
      <c r="AMM95" s="1251"/>
      <c r="AMN95" s="1251"/>
      <c r="AMO95" s="1251"/>
      <c r="AMP95" s="1251"/>
      <c r="AMQ95" s="1251"/>
      <c r="AMR95" s="1251"/>
      <c r="AMS95" s="1251"/>
      <c r="AMT95" s="1251"/>
      <c r="AMU95" s="1251"/>
      <c r="AMV95" s="1251"/>
      <c r="AMW95" s="1251"/>
      <c r="AMX95" s="1251"/>
      <c r="AMY95" s="1251"/>
      <c r="AMZ95" s="1251"/>
      <c r="ANA95" s="1251"/>
      <c r="ANB95" s="1251"/>
      <c r="ANC95" s="1251"/>
      <c r="AND95" s="1251"/>
      <c r="ANE95" s="1251"/>
      <c r="ANF95" s="1251"/>
      <c r="ANG95" s="1251"/>
      <c r="ANH95" s="1251"/>
      <c r="ANI95" s="1251"/>
      <c r="ANJ95" s="1251"/>
      <c r="ANK95" s="1251"/>
      <c r="ANL95" s="1251"/>
      <c r="ANM95" s="1251"/>
      <c r="ANN95" s="1251"/>
      <c r="ANO95" s="1251"/>
      <c r="ANP95" s="1251"/>
      <c r="ANQ95" s="1251"/>
      <c r="ANR95" s="1251"/>
      <c r="ANS95" s="1251"/>
      <c r="ANT95" s="1251"/>
      <c r="ANU95" s="1251"/>
      <c r="ANV95" s="1251"/>
      <c r="ANW95" s="1251"/>
      <c r="ANX95" s="1251"/>
      <c r="ANY95" s="1251"/>
      <c r="ANZ95" s="1251"/>
      <c r="AOA95" s="1251"/>
      <c r="AOB95" s="1251"/>
      <c r="AOC95" s="1251"/>
      <c r="AOD95" s="1251"/>
      <c r="AOE95" s="1251"/>
      <c r="AOF95" s="1251"/>
      <c r="AOG95" s="1251"/>
      <c r="AOH95" s="1251"/>
      <c r="AOI95" s="1251"/>
      <c r="AOJ95" s="1251"/>
      <c r="AOK95" s="1251"/>
      <c r="AOL95" s="1251"/>
      <c r="AOM95" s="1251"/>
      <c r="AON95" s="1251"/>
      <c r="AOO95" s="1251"/>
      <c r="AOP95" s="1251"/>
      <c r="AOQ95" s="1251"/>
      <c r="AOR95" s="1251"/>
      <c r="AOS95" s="1251"/>
      <c r="AOT95" s="1251"/>
      <c r="AOU95" s="1251"/>
      <c r="AOV95" s="1251"/>
      <c r="AOW95" s="1251"/>
      <c r="AOX95" s="1251"/>
      <c r="AOY95" s="1251"/>
      <c r="AOZ95" s="1251"/>
      <c r="APA95" s="1251"/>
      <c r="APB95" s="1251"/>
      <c r="APC95" s="1251"/>
      <c r="APD95" s="1251"/>
      <c r="APE95" s="1251"/>
      <c r="APF95" s="1251"/>
      <c r="APG95" s="1251"/>
      <c r="APH95" s="1251"/>
      <c r="API95" s="1251"/>
      <c r="APJ95" s="1251"/>
      <c r="APK95" s="1251"/>
      <c r="APL95" s="1251"/>
      <c r="APM95" s="1251"/>
      <c r="APN95" s="1251"/>
      <c r="APO95" s="1251"/>
      <c r="APP95" s="1251"/>
      <c r="APQ95" s="1251"/>
      <c r="APR95" s="1251"/>
      <c r="APS95" s="1251"/>
      <c r="APT95" s="1251"/>
      <c r="APU95" s="1251"/>
      <c r="APV95" s="1251"/>
      <c r="APW95" s="1251"/>
      <c r="APX95" s="1251"/>
      <c r="APY95" s="1251"/>
      <c r="APZ95" s="1251"/>
      <c r="AQA95" s="1251"/>
      <c r="AQB95" s="1251"/>
      <c r="AQC95" s="1251"/>
      <c r="AQD95" s="1251"/>
      <c r="AQE95" s="1251"/>
      <c r="AQF95" s="1251"/>
      <c r="AQG95" s="1251"/>
      <c r="AQH95" s="1251"/>
      <c r="AQI95" s="1251"/>
      <c r="AQJ95" s="1251"/>
      <c r="AQK95" s="1251"/>
      <c r="AQL95" s="1251"/>
      <c r="AQM95" s="1251"/>
      <c r="AQN95" s="1251"/>
      <c r="AQO95" s="1251"/>
      <c r="AQP95" s="1251"/>
      <c r="AQQ95" s="1251"/>
      <c r="AQR95" s="1251"/>
      <c r="AQS95" s="1251"/>
      <c r="AQT95" s="1251"/>
      <c r="AQU95" s="1251"/>
      <c r="AQV95" s="1251"/>
      <c r="AQW95" s="1251"/>
      <c r="AQX95" s="1251"/>
      <c r="AQY95" s="1251"/>
      <c r="AQZ95" s="1251"/>
      <c r="ARA95" s="1251"/>
      <c r="ARB95" s="1251"/>
      <c r="ARC95" s="1251"/>
      <c r="ARD95" s="1251"/>
      <c r="ARE95" s="1251"/>
      <c r="ARF95" s="1251"/>
      <c r="ARG95" s="1251"/>
      <c r="ARH95" s="1251"/>
      <c r="ARI95" s="1251"/>
      <c r="ARJ95" s="1251"/>
      <c r="ARK95" s="1251"/>
      <c r="ARL95" s="1251"/>
      <c r="ARM95" s="1251"/>
      <c r="ARN95" s="1251"/>
      <c r="ARO95" s="1251"/>
      <c r="ARP95" s="1251"/>
      <c r="ARQ95" s="1251"/>
      <c r="ARR95" s="1251"/>
      <c r="ARS95" s="1251"/>
      <c r="ART95" s="1251"/>
      <c r="ARU95" s="1251"/>
      <c r="ARV95" s="1251"/>
      <c r="ARW95" s="1251"/>
      <c r="ARX95" s="1251"/>
      <c r="ARY95" s="1251"/>
      <c r="ARZ95" s="1251"/>
      <c r="ASA95" s="1251"/>
      <c r="ASB95" s="1251"/>
      <c r="ASC95" s="1251"/>
      <c r="ASD95" s="1251"/>
      <c r="ASE95" s="1251"/>
      <c r="ASF95" s="1251"/>
      <c r="ASG95" s="1251"/>
      <c r="ASH95" s="1251"/>
      <c r="ASI95" s="1251"/>
      <c r="ASJ95" s="1251"/>
      <c r="ASK95" s="1251"/>
      <c r="ASL95" s="1251"/>
      <c r="ASM95" s="1251"/>
      <c r="ASN95" s="1251"/>
      <c r="ASO95" s="1251"/>
      <c r="ASP95" s="1251"/>
      <c r="ASQ95" s="1251"/>
      <c r="ASR95" s="1251"/>
      <c r="ASS95" s="1251"/>
      <c r="AST95" s="1251"/>
      <c r="ASU95" s="1251"/>
      <c r="ASV95" s="1251"/>
      <c r="ASW95" s="1251"/>
      <c r="ASX95" s="1251"/>
      <c r="ASY95" s="1251"/>
      <c r="ASZ95" s="1251"/>
      <c r="ATA95" s="1251"/>
      <c r="ATB95" s="1251"/>
      <c r="ATC95" s="1251"/>
      <c r="ATD95" s="1251"/>
      <c r="ATE95" s="1251"/>
      <c r="ATF95" s="1251"/>
      <c r="ATG95" s="1251"/>
      <c r="ATH95" s="1251"/>
      <c r="ATI95" s="1251"/>
      <c r="ATJ95" s="1251"/>
      <c r="ATK95" s="1251"/>
      <c r="ATL95" s="1251"/>
      <c r="ATM95" s="1251"/>
      <c r="ATN95" s="1251"/>
      <c r="ATO95" s="1251"/>
      <c r="ATP95" s="1251"/>
      <c r="ATQ95" s="1251"/>
      <c r="ATR95" s="1251"/>
      <c r="ATS95" s="1251"/>
      <c r="ATT95" s="1251"/>
      <c r="ATU95" s="1251"/>
      <c r="ATV95" s="1251"/>
      <c r="ATW95" s="1251"/>
      <c r="ATX95" s="1251"/>
      <c r="ATY95" s="1251"/>
      <c r="ATZ95" s="1251"/>
      <c r="AUA95" s="1251"/>
      <c r="AUB95" s="1251"/>
      <c r="AUC95" s="1251"/>
      <c r="AUD95" s="1251"/>
      <c r="AUE95" s="1251"/>
      <c r="AUF95" s="1251"/>
      <c r="AUG95" s="1251"/>
      <c r="AUH95" s="1251"/>
      <c r="AUI95" s="1251"/>
      <c r="AUJ95" s="1251"/>
      <c r="AUK95" s="1251"/>
      <c r="AUL95" s="1251"/>
      <c r="AUM95" s="1251"/>
      <c r="AUN95" s="1251"/>
      <c r="AUO95" s="1251"/>
      <c r="AUP95" s="1251"/>
      <c r="AUQ95" s="1251"/>
      <c r="AUR95" s="1251"/>
      <c r="AUS95" s="1251"/>
      <c r="AUT95" s="1251"/>
      <c r="AUU95" s="1251"/>
      <c r="AUV95" s="1251"/>
      <c r="AUW95" s="1251"/>
      <c r="AUX95" s="1251"/>
      <c r="AUY95" s="1251"/>
      <c r="AUZ95" s="1251"/>
      <c r="AVA95" s="1251"/>
      <c r="AVB95" s="1251"/>
      <c r="AVC95" s="1251"/>
      <c r="AVD95" s="1251"/>
      <c r="AVE95" s="1251"/>
      <c r="AVF95" s="1251"/>
      <c r="AVG95" s="1251"/>
      <c r="AVH95" s="1251"/>
      <c r="AVI95" s="1251"/>
      <c r="AVJ95" s="1251"/>
      <c r="AVK95" s="1251"/>
      <c r="AVL95" s="1251"/>
      <c r="AVM95" s="1251"/>
      <c r="AVN95" s="1251"/>
      <c r="AVO95" s="1251"/>
      <c r="AVP95" s="1251"/>
      <c r="AVQ95" s="1251"/>
      <c r="AVR95" s="1251"/>
      <c r="AVS95" s="1251"/>
      <c r="AVT95" s="1251"/>
      <c r="AVU95" s="1251"/>
      <c r="AVV95" s="1251"/>
      <c r="AVW95" s="1251"/>
      <c r="AVX95" s="1251"/>
      <c r="AVY95" s="1251"/>
      <c r="AVZ95" s="1251"/>
      <c r="AWA95" s="1251"/>
      <c r="AWB95" s="1251"/>
      <c r="AWC95" s="1251"/>
      <c r="AWD95" s="1251"/>
      <c r="AWE95" s="1251"/>
      <c r="AWF95" s="1251"/>
      <c r="AWG95" s="1251"/>
      <c r="AWH95" s="1251"/>
      <c r="AWI95" s="1251"/>
      <c r="AWJ95" s="1251"/>
      <c r="AWK95" s="1251"/>
      <c r="AWL95" s="1251"/>
      <c r="AWM95" s="1251"/>
      <c r="AWN95" s="1251"/>
      <c r="AWO95" s="1251"/>
      <c r="AWP95" s="1251"/>
      <c r="AWQ95" s="1251"/>
      <c r="AWR95" s="1251"/>
      <c r="AWS95" s="1251"/>
      <c r="AWT95" s="1251"/>
      <c r="AWU95" s="1251"/>
      <c r="AWV95" s="1251"/>
      <c r="AWW95" s="1251"/>
      <c r="AWX95" s="1251"/>
      <c r="AWY95" s="1251"/>
      <c r="AWZ95" s="1251"/>
      <c r="AXA95" s="1251"/>
      <c r="AXB95" s="1251"/>
      <c r="AXC95" s="1251"/>
      <c r="AXD95" s="1251"/>
      <c r="AXE95" s="1251"/>
      <c r="AXF95" s="1251"/>
      <c r="AXG95" s="1251"/>
      <c r="AXH95" s="1251"/>
      <c r="AXI95" s="1251"/>
      <c r="AXJ95" s="1251"/>
      <c r="AXK95" s="1251"/>
      <c r="AXL95" s="1251"/>
      <c r="AXM95" s="1251"/>
      <c r="AXN95" s="1251"/>
      <c r="AXO95" s="1251"/>
      <c r="AXP95" s="1251"/>
      <c r="AXQ95" s="1251"/>
      <c r="AXR95" s="1251"/>
      <c r="AXS95" s="1251"/>
      <c r="AXT95" s="1251"/>
      <c r="AXU95" s="1251"/>
      <c r="AXV95" s="1251"/>
      <c r="AXW95" s="1251"/>
      <c r="AXX95" s="1251"/>
      <c r="AXY95" s="1251"/>
      <c r="AXZ95" s="1251"/>
      <c r="AYA95" s="1251"/>
      <c r="AYB95" s="1251"/>
      <c r="AYC95" s="1251"/>
      <c r="AYD95" s="1251"/>
      <c r="AYE95" s="1251"/>
      <c r="AYF95" s="1251"/>
      <c r="AYG95" s="1251"/>
      <c r="AYH95" s="1251"/>
      <c r="AYI95" s="1251"/>
      <c r="AYJ95" s="1251"/>
      <c r="AYK95" s="1251"/>
      <c r="AYL95" s="1251"/>
      <c r="AYM95" s="1251"/>
      <c r="AYN95" s="1251"/>
      <c r="AYO95" s="1251"/>
      <c r="AYP95" s="1251"/>
      <c r="AYQ95" s="1251"/>
      <c r="AYR95" s="1251"/>
      <c r="AYS95" s="1251"/>
      <c r="AYT95" s="1251"/>
      <c r="AYU95" s="1251"/>
      <c r="AYV95" s="1251"/>
      <c r="AYW95" s="1251"/>
      <c r="AYX95" s="1251"/>
      <c r="AYY95" s="1251"/>
      <c r="AYZ95" s="1251"/>
      <c r="AZA95" s="1251"/>
      <c r="AZB95" s="1251"/>
      <c r="AZC95" s="1251"/>
      <c r="AZD95" s="1251"/>
      <c r="AZE95" s="1251"/>
      <c r="AZF95" s="1251"/>
      <c r="AZG95" s="1251"/>
      <c r="AZH95" s="1251"/>
      <c r="AZI95" s="1251"/>
      <c r="AZJ95" s="1251"/>
      <c r="AZK95" s="1251"/>
      <c r="AZL95" s="1251"/>
      <c r="AZM95" s="1251"/>
      <c r="AZN95" s="1251"/>
      <c r="AZO95" s="1251"/>
      <c r="AZP95" s="1251"/>
      <c r="AZQ95" s="1251"/>
      <c r="AZR95" s="1251"/>
      <c r="AZS95" s="1251"/>
      <c r="AZT95" s="1251"/>
      <c r="AZU95" s="1251"/>
      <c r="AZV95" s="1251"/>
      <c r="AZW95" s="1251"/>
      <c r="AZX95" s="1251"/>
      <c r="AZY95" s="1251"/>
      <c r="AZZ95" s="1251"/>
      <c r="BAA95" s="1251"/>
      <c r="BAB95" s="1251"/>
      <c r="BAC95" s="1251"/>
      <c r="BAD95" s="1251"/>
      <c r="BAE95" s="1251"/>
      <c r="BAF95" s="1251"/>
      <c r="BAG95" s="1251"/>
      <c r="BAH95" s="1251"/>
      <c r="BAI95" s="1251"/>
      <c r="BAJ95" s="1251"/>
      <c r="BAK95" s="1251"/>
      <c r="BAL95" s="1251"/>
      <c r="BAM95" s="1251"/>
      <c r="BAN95" s="1251"/>
      <c r="BAO95" s="1251"/>
      <c r="BAP95" s="1251"/>
      <c r="BAQ95" s="1251"/>
      <c r="BAR95" s="1251"/>
      <c r="BAS95" s="1251"/>
      <c r="BAT95" s="1251"/>
      <c r="BAU95" s="1251"/>
      <c r="BAV95" s="1251"/>
      <c r="BAW95" s="1251"/>
      <c r="BAX95" s="1251"/>
      <c r="BAY95" s="1251"/>
      <c r="BAZ95" s="1251"/>
      <c r="BBA95" s="1251"/>
      <c r="BBB95" s="1251"/>
      <c r="BBC95" s="1251"/>
      <c r="BBD95" s="1251"/>
      <c r="BBE95" s="1251"/>
      <c r="BBF95" s="1251"/>
      <c r="BBG95" s="1251"/>
      <c r="BBH95" s="1251"/>
      <c r="BBI95" s="1251"/>
      <c r="BBJ95" s="1251"/>
      <c r="BBK95" s="1251"/>
      <c r="BBL95" s="1251"/>
      <c r="BBM95" s="1251"/>
      <c r="BBN95" s="1251"/>
      <c r="BBO95" s="1251"/>
      <c r="BBP95" s="1251"/>
      <c r="BBQ95" s="1251"/>
      <c r="BBR95" s="1251"/>
      <c r="BBS95" s="1251"/>
      <c r="BBT95" s="1251"/>
      <c r="BBU95" s="1251"/>
      <c r="BBV95" s="1251"/>
      <c r="BBW95" s="1251"/>
      <c r="BBX95" s="1251"/>
      <c r="BBY95" s="1251"/>
      <c r="BBZ95" s="1251"/>
      <c r="BCA95" s="1251"/>
      <c r="BCB95" s="1251"/>
      <c r="BCC95" s="1251"/>
      <c r="BCD95" s="1251"/>
      <c r="BCE95" s="1251"/>
      <c r="BCF95" s="1251"/>
      <c r="BCG95" s="1251"/>
      <c r="BCH95" s="1251"/>
      <c r="BCI95" s="1251"/>
      <c r="BCJ95" s="1251"/>
      <c r="BCK95" s="1251"/>
      <c r="BCL95" s="1251"/>
      <c r="BCM95" s="1251"/>
      <c r="BCN95" s="1251"/>
      <c r="BCO95" s="1251"/>
      <c r="BCP95" s="1251"/>
      <c r="BCQ95" s="1251"/>
      <c r="BCR95" s="1251"/>
      <c r="BCS95" s="1251"/>
      <c r="BCT95" s="1251"/>
      <c r="BCU95" s="1251"/>
      <c r="BCV95" s="1251"/>
      <c r="BCW95" s="1251"/>
      <c r="BCX95" s="1251"/>
      <c r="BCY95" s="1251"/>
      <c r="BCZ95" s="1251"/>
      <c r="BDA95" s="1251"/>
      <c r="BDB95" s="1251"/>
      <c r="BDC95" s="1251"/>
      <c r="BDD95" s="1251"/>
      <c r="BDE95" s="1251"/>
      <c r="BDF95" s="1251"/>
      <c r="BDG95" s="1251"/>
      <c r="BDH95" s="1251"/>
      <c r="BDI95" s="1251"/>
      <c r="BDJ95" s="1251"/>
      <c r="BDK95" s="1251"/>
      <c r="BDL95" s="1251"/>
      <c r="BDM95" s="1251"/>
      <c r="BDN95" s="1251"/>
      <c r="BDO95" s="1251"/>
      <c r="BDP95" s="1251"/>
      <c r="BDQ95" s="1251"/>
      <c r="BDR95" s="1251"/>
      <c r="BDS95" s="1251"/>
      <c r="BDT95" s="1251"/>
      <c r="BDU95" s="1251"/>
      <c r="BDV95" s="1251"/>
      <c r="BDW95" s="1251"/>
      <c r="BDX95" s="1251"/>
      <c r="BDY95" s="1251"/>
      <c r="BDZ95" s="1251"/>
      <c r="BEA95" s="1251"/>
      <c r="BEB95" s="1251"/>
      <c r="BEC95" s="1251"/>
      <c r="BED95" s="1251"/>
      <c r="BEE95" s="1251"/>
      <c r="BEF95" s="1251"/>
      <c r="BEG95" s="1251"/>
      <c r="BEH95" s="1251"/>
      <c r="BEI95" s="1251"/>
      <c r="BEJ95" s="1251"/>
      <c r="BEK95" s="1251"/>
      <c r="BEL95" s="1251"/>
      <c r="BEM95" s="1251"/>
      <c r="BEN95" s="1251"/>
      <c r="BEO95" s="1251"/>
      <c r="BEP95" s="1251"/>
      <c r="BEQ95" s="1251"/>
      <c r="BER95" s="1251"/>
      <c r="BES95" s="1251"/>
      <c r="BET95" s="1251"/>
      <c r="BEU95" s="1251"/>
      <c r="BEV95" s="1251"/>
      <c r="BEW95" s="1251"/>
      <c r="BEX95" s="1251"/>
      <c r="BEY95" s="1251"/>
      <c r="BEZ95" s="1251"/>
      <c r="BFA95" s="1251"/>
      <c r="BFB95" s="1251"/>
      <c r="BFC95" s="1251"/>
      <c r="BFD95" s="1251"/>
      <c r="BFE95" s="1251"/>
      <c r="BFF95" s="1251"/>
      <c r="BFG95" s="1251"/>
      <c r="BFH95" s="1251"/>
      <c r="BFI95" s="1251"/>
      <c r="BFJ95" s="1251"/>
      <c r="BFK95" s="1251"/>
      <c r="BFL95" s="1251"/>
      <c r="BFM95" s="1251"/>
      <c r="BFN95" s="1251"/>
      <c r="BFO95" s="1251"/>
      <c r="BFP95" s="1251"/>
      <c r="BFQ95" s="1251"/>
      <c r="BFR95" s="1251"/>
      <c r="BFS95" s="1251"/>
      <c r="BFT95" s="1251"/>
      <c r="BFU95" s="1251"/>
      <c r="BFV95" s="1251"/>
      <c r="BFW95" s="1251"/>
      <c r="BFX95" s="1251"/>
      <c r="BFY95" s="1251"/>
      <c r="BFZ95" s="1251"/>
      <c r="BGA95" s="1251"/>
      <c r="BGB95" s="1251"/>
      <c r="BGC95" s="1251"/>
      <c r="BGD95" s="1251"/>
      <c r="BGE95" s="1251"/>
      <c r="BGF95" s="1251"/>
      <c r="BGG95" s="1251"/>
      <c r="BGH95" s="1251"/>
      <c r="BGI95" s="1251"/>
      <c r="BGJ95" s="1251"/>
      <c r="BGK95" s="1251"/>
      <c r="BGL95" s="1251"/>
      <c r="BGM95" s="1251"/>
      <c r="BGN95" s="1251"/>
      <c r="BGO95" s="1251"/>
      <c r="BGP95" s="1251"/>
      <c r="BGQ95" s="1251"/>
      <c r="BGR95" s="1251"/>
      <c r="BGS95" s="1251"/>
      <c r="BGT95" s="1251"/>
      <c r="BGU95" s="1251"/>
      <c r="BGV95" s="1251"/>
      <c r="BGW95" s="1251"/>
      <c r="BGX95" s="1251"/>
      <c r="BGY95" s="1251"/>
      <c r="BGZ95" s="1251"/>
      <c r="BHA95" s="1251"/>
      <c r="BHB95" s="1251"/>
      <c r="BHC95" s="1251"/>
      <c r="BHD95" s="1251"/>
      <c r="BHE95" s="1251"/>
      <c r="BHF95" s="1251"/>
      <c r="BHG95" s="1251"/>
      <c r="BHH95" s="1251"/>
      <c r="BHI95" s="1251"/>
      <c r="BHJ95" s="1251"/>
      <c r="BHK95" s="1251"/>
      <c r="BHL95" s="1251"/>
      <c r="BHM95" s="1251"/>
      <c r="BHN95" s="1251"/>
      <c r="BHO95" s="1251"/>
      <c r="BHP95" s="1251"/>
      <c r="BHQ95" s="1251"/>
      <c r="BHR95" s="1251"/>
      <c r="BHS95" s="1251"/>
      <c r="BHT95" s="1251"/>
      <c r="BHU95" s="1251"/>
      <c r="BHV95" s="1251"/>
      <c r="BHW95" s="1251"/>
      <c r="BHX95" s="1251"/>
      <c r="BHY95" s="1251"/>
      <c r="BHZ95" s="1251"/>
      <c r="BIA95" s="1251"/>
      <c r="BIB95" s="1251"/>
      <c r="BIC95" s="1251"/>
      <c r="BID95" s="1251"/>
      <c r="BIE95" s="1251"/>
      <c r="BIF95" s="1251"/>
      <c r="BIG95" s="1251"/>
      <c r="BIH95" s="1251"/>
      <c r="BII95" s="1251"/>
      <c r="BIJ95" s="1251"/>
      <c r="BIK95" s="1251"/>
      <c r="BIL95" s="1251"/>
      <c r="BIM95" s="1251"/>
      <c r="BIN95" s="1251"/>
      <c r="BIO95" s="1251"/>
      <c r="BIP95" s="1251"/>
      <c r="BIQ95" s="1251"/>
      <c r="BIR95" s="1251"/>
      <c r="BIS95" s="1251"/>
      <c r="BIT95" s="1251"/>
      <c r="BIU95" s="1251"/>
      <c r="BIV95" s="1251"/>
      <c r="BIW95" s="1251"/>
      <c r="BIX95" s="1251"/>
      <c r="BIY95" s="1251"/>
      <c r="BIZ95" s="1251"/>
      <c r="BJA95" s="1251"/>
      <c r="BJB95" s="1251"/>
      <c r="BJC95" s="1251"/>
      <c r="BJD95" s="1251"/>
      <c r="BJE95" s="1251"/>
      <c r="BJF95" s="1251"/>
      <c r="BJG95" s="1251"/>
      <c r="BJH95" s="1251"/>
      <c r="BJI95" s="1251"/>
      <c r="BJJ95" s="1251"/>
      <c r="BJK95" s="1251"/>
      <c r="BJL95" s="1251"/>
      <c r="BJM95" s="1251"/>
      <c r="BJN95" s="1251"/>
      <c r="BJO95" s="1251"/>
      <c r="BJP95" s="1251"/>
      <c r="BJQ95" s="1251"/>
      <c r="BJR95" s="1251"/>
      <c r="BJS95" s="1251"/>
      <c r="BJT95" s="1251"/>
      <c r="BJU95" s="1251"/>
      <c r="BJV95" s="1251"/>
      <c r="BJW95" s="1251"/>
      <c r="BJX95" s="1251"/>
      <c r="BJY95" s="1251"/>
      <c r="BJZ95" s="1251"/>
      <c r="BKA95" s="1251"/>
      <c r="BKB95" s="1251"/>
      <c r="BKC95" s="1251"/>
      <c r="BKD95" s="1251"/>
      <c r="BKE95" s="1251"/>
      <c r="BKF95" s="1251"/>
      <c r="BKG95" s="1251"/>
      <c r="BKH95" s="1251"/>
      <c r="BKI95" s="1251"/>
      <c r="BKJ95" s="1251"/>
      <c r="BKK95" s="1251"/>
      <c r="BKL95" s="1251"/>
      <c r="BKM95" s="1251"/>
      <c r="BKN95" s="1251"/>
      <c r="BKO95" s="1251"/>
      <c r="BKP95" s="1251"/>
      <c r="BKQ95" s="1251"/>
      <c r="BKR95" s="1251"/>
      <c r="BKS95" s="1251"/>
      <c r="BKT95" s="1251"/>
      <c r="BKU95" s="1251"/>
      <c r="BKV95" s="1251"/>
      <c r="BKW95" s="1251"/>
      <c r="BKX95" s="1251"/>
      <c r="BKY95" s="1251"/>
      <c r="BKZ95" s="1251"/>
      <c r="BLA95" s="1251"/>
      <c r="BLB95" s="1251"/>
      <c r="BLC95" s="1251"/>
      <c r="BLD95" s="1251"/>
      <c r="BLE95" s="1251"/>
      <c r="BLF95" s="1251"/>
      <c r="BLG95" s="1251"/>
      <c r="BLH95" s="1251"/>
      <c r="BLI95" s="1251"/>
      <c r="BLJ95" s="1251"/>
      <c r="BLK95" s="1251"/>
      <c r="BLL95" s="1251"/>
      <c r="BLM95" s="1251"/>
      <c r="BLN95" s="1251"/>
      <c r="BLO95" s="1251"/>
      <c r="BLP95" s="1251"/>
      <c r="BLQ95" s="1251"/>
      <c r="BLR95" s="1251"/>
      <c r="BLS95" s="1251"/>
      <c r="BLT95" s="1251"/>
      <c r="BLU95" s="1251"/>
      <c r="BLV95" s="1251"/>
      <c r="BLW95" s="1251"/>
      <c r="BLX95" s="1251"/>
      <c r="BLY95" s="1251"/>
      <c r="BLZ95" s="1251"/>
      <c r="BMA95" s="1251"/>
      <c r="BMB95" s="1251"/>
      <c r="BMC95" s="1251"/>
      <c r="BMD95" s="1251"/>
      <c r="BME95" s="1251"/>
      <c r="BMF95" s="1251"/>
      <c r="BMG95" s="1251"/>
      <c r="BMH95" s="1251"/>
      <c r="BMI95" s="1251"/>
      <c r="BMJ95" s="1251"/>
      <c r="BMK95" s="1251"/>
      <c r="BML95" s="1251"/>
      <c r="BMM95" s="1251"/>
      <c r="BMN95" s="1251"/>
      <c r="BMO95" s="1251"/>
      <c r="BMP95" s="1251"/>
      <c r="BMQ95" s="1251"/>
      <c r="BMR95" s="1251"/>
      <c r="BMS95" s="1251"/>
      <c r="BMT95" s="1251"/>
      <c r="BMU95" s="1251"/>
      <c r="BMV95" s="1251"/>
      <c r="BMW95" s="1251"/>
      <c r="BMX95" s="1251"/>
      <c r="BMY95" s="1251"/>
      <c r="BMZ95" s="1251"/>
      <c r="BNA95" s="1251"/>
      <c r="BNB95" s="1251"/>
      <c r="BNC95" s="1251"/>
      <c r="BND95" s="1251"/>
      <c r="BNE95" s="1251"/>
      <c r="BNF95" s="1251"/>
      <c r="BNG95" s="1251"/>
      <c r="BNH95" s="1251"/>
      <c r="BNI95" s="1251"/>
      <c r="BNJ95" s="1251"/>
      <c r="BNK95" s="1251"/>
      <c r="BNL95" s="1251"/>
      <c r="BNM95" s="1251"/>
      <c r="BNN95" s="1251"/>
      <c r="BNO95" s="1251"/>
      <c r="BNP95" s="1251"/>
      <c r="BNQ95" s="1251"/>
      <c r="BNR95" s="1251"/>
      <c r="BNS95" s="1251"/>
      <c r="BNT95" s="1251"/>
      <c r="BNU95" s="1251"/>
      <c r="BNV95" s="1251"/>
      <c r="BNW95" s="1251"/>
      <c r="BNX95" s="1251"/>
      <c r="BNY95" s="1251"/>
      <c r="BNZ95" s="1251"/>
      <c r="BOA95" s="1251"/>
      <c r="BOB95" s="1251"/>
      <c r="BOC95" s="1251"/>
      <c r="BOD95" s="1251"/>
      <c r="BOE95" s="1251"/>
      <c r="BOF95" s="1251"/>
      <c r="BOG95" s="1251"/>
      <c r="BOH95" s="1251"/>
      <c r="BOI95" s="1251"/>
      <c r="BOJ95" s="1251"/>
      <c r="BOK95" s="1251"/>
      <c r="BOL95" s="1251"/>
      <c r="BOM95" s="1251"/>
      <c r="BON95" s="1251"/>
      <c r="BOO95" s="1251"/>
      <c r="BOP95" s="1251"/>
      <c r="BOQ95" s="1251"/>
      <c r="BOR95" s="1251"/>
      <c r="BOS95" s="1251"/>
      <c r="BOT95" s="1251"/>
      <c r="BOU95" s="1251"/>
      <c r="BOV95" s="1251"/>
      <c r="BOW95" s="1251"/>
      <c r="BOX95" s="1251"/>
      <c r="BOY95" s="1251"/>
      <c r="BOZ95" s="1251"/>
      <c r="BPA95" s="1251"/>
      <c r="BPB95" s="1251"/>
      <c r="BPC95" s="1251"/>
      <c r="BPD95" s="1251"/>
      <c r="BPE95" s="1251"/>
      <c r="BPF95" s="1251"/>
      <c r="BPG95" s="1251"/>
      <c r="BPH95" s="1251"/>
      <c r="BPI95" s="1251"/>
      <c r="BPJ95" s="1251"/>
      <c r="BPK95" s="1251"/>
      <c r="BPL95" s="1251"/>
      <c r="BPM95" s="1251"/>
      <c r="BPN95" s="1251"/>
      <c r="BPO95" s="1251"/>
      <c r="BPP95" s="1251"/>
      <c r="BPQ95" s="1251"/>
      <c r="BPR95" s="1251"/>
      <c r="BPS95" s="1251"/>
      <c r="BPT95" s="1251"/>
      <c r="BPU95" s="1251"/>
      <c r="BPV95" s="1251"/>
      <c r="BPW95" s="1251"/>
      <c r="BPX95" s="1251"/>
      <c r="BPY95" s="1251"/>
      <c r="BPZ95" s="1251"/>
      <c r="BQA95" s="1251"/>
      <c r="BQB95" s="1251"/>
      <c r="BQC95" s="1251"/>
      <c r="BQD95" s="1251"/>
      <c r="BQE95" s="1251"/>
      <c r="BQF95" s="1251"/>
      <c r="BQG95" s="1251"/>
      <c r="BQH95" s="1251"/>
      <c r="BQI95" s="1251"/>
      <c r="BQJ95" s="1251"/>
      <c r="BQK95" s="1251"/>
      <c r="BQL95" s="1251"/>
      <c r="BQM95" s="1251"/>
      <c r="BQN95" s="1251"/>
      <c r="BQO95" s="1251"/>
      <c r="BQP95" s="1251"/>
      <c r="BQQ95" s="1251"/>
      <c r="BQR95" s="1251"/>
      <c r="BQS95" s="1251"/>
      <c r="BQT95" s="1251"/>
      <c r="BQU95" s="1251"/>
      <c r="BQV95" s="1251"/>
      <c r="BQW95" s="1251"/>
      <c r="BQX95" s="1251"/>
      <c r="BQY95" s="1251"/>
      <c r="BQZ95" s="1251"/>
      <c r="BRA95" s="1251"/>
      <c r="BRB95" s="1251"/>
      <c r="BRC95" s="1251"/>
      <c r="BRD95" s="1251"/>
      <c r="BRE95" s="1251"/>
      <c r="BRF95" s="1251"/>
      <c r="BRG95" s="1251"/>
      <c r="BRH95" s="1251"/>
      <c r="BRI95" s="1251"/>
      <c r="BRJ95" s="1251"/>
      <c r="BRK95" s="1251"/>
      <c r="BRL95" s="1251"/>
      <c r="BRM95" s="1251"/>
      <c r="BRN95" s="1251"/>
      <c r="BRO95" s="1251"/>
      <c r="BRP95" s="1251"/>
      <c r="BRQ95" s="1251"/>
      <c r="BRR95" s="1251"/>
      <c r="BRS95" s="1251"/>
      <c r="BRT95" s="1251"/>
      <c r="BRU95" s="1251"/>
      <c r="BRV95" s="1251"/>
      <c r="BRW95" s="1251"/>
      <c r="BRX95" s="1251"/>
      <c r="BRY95" s="1251"/>
      <c r="BRZ95" s="1251"/>
      <c r="BSA95" s="1251"/>
      <c r="BSB95" s="1251"/>
      <c r="BSC95" s="1251"/>
      <c r="BSD95" s="1251"/>
      <c r="BSE95" s="1251"/>
      <c r="BSF95" s="1251"/>
      <c r="BSG95" s="1251"/>
      <c r="BSH95" s="1251"/>
      <c r="BSI95" s="1251"/>
      <c r="BSJ95" s="1251"/>
      <c r="BSK95" s="1251"/>
      <c r="BSL95" s="1251"/>
      <c r="BSM95" s="1251"/>
      <c r="BSN95" s="1251"/>
      <c r="BSO95" s="1251"/>
      <c r="BSP95" s="1251"/>
      <c r="BSQ95" s="1251"/>
      <c r="BSR95" s="1251"/>
      <c r="BSS95" s="1251"/>
      <c r="BST95" s="1251"/>
      <c r="BSU95" s="1251"/>
      <c r="BSV95" s="1251"/>
      <c r="BSW95" s="1251"/>
      <c r="BSX95" s="1251"/>
      <c r="BSY95" s="1251"/>
      <c r="BSZ95" s="1251"/>
      <c r="BTA95" s="1251"/>
      <c r="BTB95" s="1251"/>
      <c r="BTC95" s="1251"/>
      <c r="BTD95" s="1251"/>
      <c r="BTE95" s="1251"/>
      <c r="BTF95" s="1251"/>
      <c r="BTG95" s="1251"/>
      <c r="BTH95" s="1251"/>
      <c r="BTI95" s="1251"/>
    </row>
    <row r="96" spans="1:1881" s="1261" customFormat="1" ht="115.5" hidden="1" customHeight="1" thickBot="1" x14ac:dyDescent="0.35">
      <c r="A96" s="1248">
        <v>587</v>
      </c>
      <c r="B96" s="635" t="s">
        <v>1272</v>
      </c>
      <c r="C96" s="635" t="s">
        <v>1273</v>
      </c>
      <c r="D96" s="24" t="s">
        <v>1378</v>
      </c>
      <c r="E96" s="1249" t="e">
        <f>HLOOKUP($D$2,'2020 Data(H)'!$C$1:$CZ$426,237,FALSE)</f>
        <v>#N/A</v>
      </c>
      <c r="F96" s="1263">
        <v>0</v>
      </c>
      <c r="G96" s="727"/>
      <c r="H96" s="730"/>
      <c r="I96" s="760"/>
      <c r="J96" s="1251"/>
      <c r="K96" s="1251"/>
      <c r="L96" s="701"/>
      <c r="M96" s="1251"/>
      <c r="N96" s="1253"/>
      <c r="O96" s="1251"/>
      <c r="P96" s="1251"/>
      <c r="Q96" s="1251"/>
      <c r="R96" s="1251"/>
      <c r="S96" s="1251"/>
      <c r="T96" s="1251"/>
      <c r="U96" s="1251"/>
      <c r="V96" s="1251"/>
      <c r="W96" s="1251"/>
      <c r="X96" s="1251"/>
      <c r="Y96" s="1251"/>
      <c r="Z96" s="1248"/>
      <c r="AA96" s="1248"/>
      <c r="AB96" s="1248"/>
      <c r="AC96" s="1248"/>
      <c r="AD96" s="1248"/>
      <c r="AE96" s="1248"/>
      <c r="AF96" s="1248"/>
      <c r="AG96" s="1248"/>
      <c r="AH96" s="1248"/>
      <c r="AI96" s="1248"/>
      <c r="AJ96" s="1248"/>
      <c r="AK96" s="1248"/>
      <c r="AL96" s="1248"/>
      <c r="AM96" s="1248"/>
      <c r="AN96" s="1248"/>
      <c r="AO96" s="1248"/>
      <c r="AP96" s="1248"/>
      <c r="AQ96" s="1248"/>
      <c r="AR96" s="1248"/>
      <c r="AS96" s="1251"/>
      <c r="AT96" s="1251"/>
      <c r="AU96" s="1251"/>
      <c r="AV96" s="1251"/>
      <c r="AW96" s="1251"/>
      <c r="AX96" s="1251"/>
      <c r="AY96" s="1251"/>
      <c r="AZ96" s="1251"/>
      <c r="BA96" s="1251"/>
      <c r="BB96" s="1251"/>
      <c r="BC96" s="1251"/>
      <c r="BD96" s="1251"/>
      <c r="BE96" s="1251"/>
      <c r="BF96" s="1251"/>
      <c r="BG96" s="1251"/>
      <c r="BH96" s="1251"/>
      <c r="BI96" s="1251"/>
      <c r="BJ96" s="1251"/>
      <c r="BK96" s="1251"/>
      <c r="BL96" s="1251"/>
      <c r="BM96" s="1251"/>
      <c r="BN96" s="1251"/>
      <c r="BO96" s="1251"/>
      <c r="BP96" s="1251"/>
      <c r="BQ96" s="1251"/>
      <c r="BR96" s="1251"/>
      <c r="BS96" s="1251"/>
      <c r="BT96" s="1251"/>
      <c r="BU96" s="1251"/>
      <c r="BV96" s="1251"/>
      <c r="BW96" s="1251"/>
      <c r="BX96" s="1251"/>
      <c r="BY96" s="1251"/>
      <c r="BZ96" s="1251"/>
      <c r="CA96" s="1251"/>
      <c r="CB96" s="1251"/>
      <c r="CC96" s="1251"/>
      <c r="CD96" s="1251"/>
      <c r="CE96" s="1251"/>
      <c r="CF96" s="1251"/>
      <c r="CG96" s="1251"/>
      <c r="CH96" s="1251"/>
      <c r="CI96" s="1251"/>
      <c r="CJ96" s="1251"/>
      <c r="CK96" s="1251"/>
      <c r="CL96" s="1251"/>
      <c r="CM96" s="1251"/>
      <c r="CN96" s="1251"/>
      <c r="CO96" s="1251"/>
      <c r="CP96" s="1251"/>
      <c r="CQ96" s="1251"/>
      <c r="CR96" s="1251"/>
      <c r="CS96" s="1251"/>
      <c r="CT96" s="1251"/>
      <c r="CU96" s="1251"/>
      <c r="CV96" s="1251"/>
      <c r="CW96" s="1251"/>
      <c r="CX96" s="1251"/>
      <c r="CY96" s="1251"/>
      <c r="CZ96" s="1251"/>
      <c r="DA96" s="1251"/>
      <c r="DB96" s="1251"/>
      <c r="DC96" s="1251"/>
      <c r="DD96" s="1251"/>
      <c r="DE96" s="1251"/>
      <c r="DF96" s="1251"/>
      <c r="DG96" s="1251"/>
      <c r="DH96" s="1251"/>
      <c r="DI96" s="1251"/>
      <c r="DJ96" s="1251"/>
      <c r="DK96" s="1251"/>
      <c r="DL96" s="1251"/>
      <c r="DM96" s="1251"/>
      <c r="DN96" s="1251"/>
      <c r="DO96" s="1251"/>
      <c r="DP96" s="1251"/>
      <c r="DQ96" s="1251"/>
      <c r="DR96" s="1251"/>
      <c r="DS96" s="1251"/>
      <c r="DT96" s="1251"/>
      <c r="DU96" s="1251"/>
      <c r="DV96" s="1251"/>
      <c r="DW96" s="1251"/>
      <c r="DX96" s="1251"/>
      <c r="DY96" s="1251"/>
      <c r="DZ96" s="1251"/>
      <c r="EA96" s="1251"/>
      <c r="EB96" s="1251"/>
      <c r="EC96" s="1251"/>
      <c r="ED96" s="1251"/>
      <c r="EE96" s="1251"/>
      <c r="EF96" s="1251"/>
      <c r="EG96" s="1251"/>
      <c r="EH96" s="1251"/>
      <c r="EI96" s="1251"/>
      <c r="EJ96" s="1251"/>
      <c r="EK96" s="1251"/>
      <c r="EL96" s="1251"/>
      <c r="EM96" s="1251"/>
      <c r="EN96" s="1251"/>
      <c r="EO96" s="1251"/>
      <c r="EP96" s="1251"/>
      <c r="EQ96" s="1251"/>
      <c r="ER96" s="1251"/>
      <c r="ES96" s="1251"/>
      <c r="ET96" s="1251"/>
      <c r="EU96" s="1251"/>
      <c r="EV96" s="1251"/>
      <c r="EW96" s="1251"/>
      <c r="EX96" s="1251"/>
      <c r="EY96" s="1251"/>
      <c r="EZ96" s="1251"/>
      <c r="FA96" s="1251"/>
      <c r="FB96" s="1251"/>
      <c r="FC96" s="1251"/>
      <c r="FD96" s="1251"/>
      <c r="FE96" s="1251"/>
      <c r="FF96" s="1251"/>
      <c r="FG96" s="1251"/>
      <c r="FH96" s="1251"/>
      <c r="FI96" s="1251"/>
      <c r="FJ96" s="1251"/>
      <c r="FK96" s="1251"/>
      <c r="FL96" s="1251"/>
      <c r="FM96" s="1251"/>
      <c r="FN96" s="1251"/>
      <c r="FO96" s="1251"/>
      <c r="FP96" s="1251"/>
      <c r="FQ96" s="1251"/>
      <c r="FR96" s="1251"/>
      <c r="FS96" s="1251"/>
      <c r="FT96" s="1251"/>
      <c r="FU96" s="1251"/>
      <c r="FV96" s="1251"/>
      <c r="FW96" s="1251"/>
      <c r="FX96" s="1251"/>
      <c r="FY96" s="1251"/>
      <c r="FZ96" s="1251"/>
      <c r="GA96" s="1251"/>
      <c r="GB96" s="1251"/>
      <c r="GC96" s="1251"/>
      <c r="GD96" s="1251"/>
      <c r="GE96" s="1251"/>
      <c r="GF96" s="1251"/>
      <c r="GG96" s="1251"/>
      <c r="GH96" s="1251"/>
      <c r="GI96" s="1251"/>
      <c r="GJ96" s="1251"/>
      <c r="GK96" s="1251"/>
      <c r="GL96" s="1251"/>
      <c r="GM96" s="1251"/>
      <c r="GN96" s="1251"/>
      <c r="GO96" s="1251"/>
      <c r="GP96" s="1251"/>
      <c r="GQ96" s="1251"/>
      <c r="GR96" s="1251"/>
      <c r="GS96" s="1251"/>
      <c r="GT96" s="1251"/>
      <c r="GU96" s="1251"/>
      <c r="GV96" s="1251"/>
      <c r="GW96" s="1251"/>
      <c r="GX96" s="1251"/>
      <c r="GY96" s="1251"/>
      <c r="GZ96" s="1251"/>
      <c r="HA96" s="1251"/>
      <c r="HB96" s="1251"/>
      <c r="HC96" s="1251"/>
      <c r="HD96" s="1251"/>
      <c r="HE96" s="1251"/>
      <c r="HF96" s="1251"/>
      <c r="HG96" s="1251"/>
      <c r="HH96" s="1251"/>
      <c r="HI96" s="1251"/>
      <c r="HJ96" s="1251"/>
      <c r="HK96" s="1251"/>
      <c r="HL96" s="1251"/>
      <c r="HM96" s="1251"/>
      <c r="HN96" s="1251"/>
      <c r="HO96" s="1251"/>
      <c r="HP96" s="1251"/>
      <c r="HQ96" s="1251"/>
      <c r="HR96" s="1251"/>
      <c r="HS96" s="1251"/>
      <c r="HT96" s="1251"/>
      <c r="HU96" s="1251"/>
      <c r="HV96" s="1251"/>
      <c r="HW96" s="1251"/>
      <c r="HX96" s="1251"/>
      <c r="HY96" s="1251"/>
      <c r="HZ96" s="1251"/>
      <c r="IA96" s="1251"/>
      <c r="IB96" s="1251"/>
      <c r="IC96" s="1251"/>
      <c r="ID96" s="1251"/>
      <c r="IE96" s="1251"/>
      <c r="IF96" s="1251"/>
      <c r="IG96" s="1251"/>
      <c r="IH96" s="1251"/>
      <c r="II96" s="1251"/>
      <c r="IJ96" s="1251"/>
      <c r="IK96" s="1251"/>
      <c r="IL96" s="1251"/>
      <c r="IM96" s="1251"/>
      <c r="IN96" s="1251"/>
      <c r="IO96" s="1251"/>
      <c r="IP96" s="1251"/>
      <c r="IQ96" s="1251"/>
      <c r="IR96" s="1251"/>
      <c r="IS96" s="1251"/>
      <c r="IT96" s="1251"/>
      <c r="IU96" s="1251"/>
      <c r="IV96" s="1251"/>
      <c r="IW96" s="1251"/>
      <c r="IX96" s="1251"/>
      <c r="IY96" s="1251"/>
      <c r="IZ96" s="1251"/>
      <c r="JA96" s="1251"/>
      <c r="JB96" s="1251"/>
      <c r="JC96" s="1251"/>
      <c r="JD96" s="1251"/>
      <c r="JE96" s="1251"/>
      <c r="JF96" s="1251"/>
      <c r="JG96" s="1251"/>
      <c r="JH96" s="1251"/>
      <c r="JI96" s="1251"/>
      <c r="JJ96" s="1251"/>
      <c r="JK96" s="1251"/>
      <c r="JL96" s="1251"/>
      <c r="JM96" s="1251"/>
      <c r="JN96" s="1251"/>
      <c r="JO96" s="1251"/>
      <c r="JP96" s="1251"/>
      <c r="JQ96" s="1251"/>
      <c r="JR96" s="1251"/>
      <c r="JS96" s="1251"/>
      <c r="JT96" s="1251"/>
      <c r="JU96" s="1251"/>
      <c r="JV96" s="1251"/>
      <c r="JW96" s="1251"/>
      <c r="JX96" s="1251"/>
      <c r="JY96" s="1251"/>
      <c r="JZ96" s="1251"/>
      <c r="KA96" s="1251"/>
      <c r="KB96" s="1251"/>
      <c r="KC96" s="1251"/>
      <c r="KD96" s="1251"/>
      <c r="KE96" s="1251"/>
      <c r="KF96" s="1251"/>
      <c r="KG96" s="1251"/>
      <c r="KH96" s="1251"/>
      <c r="KI96" s="1251"/>
      <c r="KJ96" s="1251"/>
      <c r="KK96" s="1251"/>
      <c r="KL96" s="1251"/>
      <c r="KM96" s="1251"/>
      <c r="KN96" s="1251"/>
      <c r="KO96" s="1251"/>
      <c r="KP96" s="1251"/>
      <c r="KQ96" s="1251"/>
      <c r="KR96" s="1251"/>
      <c r="KS96" s="1251"/>
      <c r="KT96" s="1251"/>
      <c r="KU96" s="1251"/>
      <c r="KV96" s="1251"/>
      <c r="KW96" s="1251"/>
      <c r="KX96" s="1251"/>
      <c r="KY96" s="1251"/>
      <c r="KZ96" s="1251"/>
      <c r="LA96" s="1251"/>
      <c r="LB96" s="1251"/>
      <c r="LC96" s="1251"/>
      <c r="LD96" s="1251"/>
      <c r="LE96" s="1251"/>
      <c r="LF96" s="1251"/>
      <c r="LG96" s="1251"/>
      <c r="LH96" s="1251"/>
      <c r="LI96" s="1251"/>
      <c r="LJ96" s="1251"/>
      <c r="LK96" s="1251"/>
      <c r="LL96" s="1251"/>
      <c r="LM96" s="1251"/>
      <c r="LN96" s="1251"/>
      <c r="LO96" s="1251"/>
      <c r="LP96" s="1251"/>
      <c r="LQ96" s="1251"/>
      <c r="LR96" s="1251"/>
      <c r="LS96" s="1251"/>
      <c r="LT96" s="1251"/>
      <c r="LU96" s="1251"/>
      <c r="LV96" s="1251"/>
      <c r="LW96" s="1251"/>
      <c r="LX96" s="1251"/>
      <c r="LY96" s="1251"/>
      <c r="LZ96" s="1251"/>
      <c r="MA96" s="1251"/>
      <c r="MB96" s="1251"/>
      <c r="MC96" s="1251"/>
      <c r="MD96" s="1251"/>
      <c r="ME96" s="1251"/>
      <c r="MF96" s="1251"/>
      <c r="MG96" s="1251"/>
      <c r="MH96" s="1251"/>
      <c r="MI96" s="1251"/>
      <c r="MJ96" s="1251"/>
      <c r="MK96" s="1251"/>
      <c r="ML96" s="1251"/>
      <c r="MM96" s="1251"/>
      <c r="MN96" s="1251"/>
      <c r="MO96" s="1251"/>
      <c r="MP96" s="1251"/>
      <c r="MQ96" s="1251"/>
      <c r="MR96" s="1251"/>
      <c r="MS96" s="1251"/>
      <c r="MT96" s="1251"/>
      <c r="MU96" s="1251"/>
      <c r="MV96" s="1251"/>
      <c r="MW96" s="1251"/>
      <c r="MX96" s="1251"/>
      <c r="MY96" s="1251"/>
      <c r="MZ96" s="1251"/>
      <c r="NA96" s="1251"/>
      <c r="NB96" s="1251"/>
      <c r="NC96" s="1251"/>
      <c r="ND96" s="1251"/>
      <c r="NE96" s="1251"/>
      <c r="NF96" s="1251"/>
      <c r="NG96" s="1251"/>
      <c r="NH96" s="1251"/>
      <c r="NI96" s="1251"/>
      <c r="NJ96" s="1251"/>
      <c r="NK96" s="1251"/>
      <c r="NL96" s="1251"/>
      <c r="NM96" s="1251"/>
      <c r="NN96" s="1251"/>
      <c r="NO96" s="1251"/>
      <c r="NP96" s="1251"/>
      <c r="NQ96" s="1251"/>
      <c r="NR96" s="1251"/>
      <c r="NS96" s="1251"/>
      <c r="NT96" s="1251"/>
      <c r="NU96" s="1251"/>
      <c r="NV96" s="1251"/>
      <c r="NW96" s="1251"/>
      <c r="NX96" s="1251"/>
      <c r="NY96" s="1251"/>
      <c r="NZ96" s="1251"/>
      <c r="OA96" s="1251"/>
      <c r="OB96" s="1251"/>
      <c r="OC96" s="1251"/>
      <c r="OD96" s="1251"/>
      <c r="OE96" s="1251"/>
      <c r="OF96" s="1251"/>
      <c r="OG96" s="1251"/>
      <c r="OH96" s="1251"/>
      <c r="OI96" s="1251"/>
      <c r="OJ96" s="1251"/>
      <c r="OK96" s="1251"/>
      <c r="OL96" s="1251"/>
      <c r="OM96" s="1251"/>
      <c r="ON96" s="1251"/>
      <c r="OO96" s="1251"/>
      <c r="OP96" s="1251"/>
      <c r="OQ96" s="1251"/>
      <c r="OR96" s="1251"/>
      <c r="OS96" s="1251"/>
      <c r="OT96" s="1251"/>
      <c r="OU96" s="1251"/>
      <c r="OV96" s="1251"/>
      <c r="OW96" s="1251"/>
      <c r="OX96" s="1251"/>
      <c r="OY96" s="1251"/>
      <c r="OZ96" s="1251"/>
      <c r="PA96" s="1251"/>
      <c r="PB96" s="1251"/>
      <c r="PC96" s="1251"/>
      <c r="PD96" s="1251"/>
      <c r="PE96" s="1251"/>
      <c r="PF96" s="1251"/>
      <c r="PG96" s="1251"/>
      <c r="PH96" s="1251"/>
      <c r="PI96" s="1251"/>
      <c r="PJ96" s="1251"/>
      <c r="PK96" s="1251"/>
      <c r="PL96" s="1251"/>
      <c r="PM96" s="1251"/>
      <c r="PN96" s="1251"/>
      <c r="PO96" s="1251"/>
      <c r="PP96" s="1251"/>
      <c r="PQ96" s="1251"/>
      <c r="PR96" s="1251"/>
      <c r="PS96" s="1251"/>
      <c r="PT96" s="1251"/>
      <c r="PU96" s="1251"/>
      <c r="PV96" s="1251"/>
      <c r="PW96" s="1251"/>
      <c r="PX96" s="1251"/>
      <c r="PY96" s="1251"/>
      <c r="PZ96" s="1251"/>
      <c r="QA96" s="1251"/>
      <c r="QB96" s="1251"/>
      <c r="QC96" s="1251"/>
      <c r="QD96" s="1251"/>
      <c r="QE96" s="1251"/>
      <c r="QF96" s="1251"/>
      <c r="QG96" s="1251"/>
      <c r="QH96" s="1251"/>
      <c r="QI96" s="1251"/>
      <c r="QJ96" s="1251"/>
      <c r="QK96" s="1251"/>
      <c r="QL96" s="1251"/>
      <c r="QM96" s="1251"/>
      <c r="QN96" s="1251"/>
      <c r="QO96" s="1251"/>
      <c r="QP96" s="1251"/>
      <c r="QQ96" s="1251"/>
      <c r="QR96" s="1251"/>
      <c r="QS96" s="1251"/>
      <c r="QT96" s="1251"/>
      <c r="QU96" s="1251"/>
      <c r="QV96" s="1251"/>
      <c r="QW96" s="1251"/>
      <c r="QX96" s="1251"/>
      <c r="QY96" s="1251"/>
      <c r="QZ96" s="1251"/>
      <c r="RA96" s="1251"/>
      <c r="RB96" s="1251"/>
      <c r="RC96" s="1251"/>
      <c r="RD96" s="1251"/>
      <c r="RE96" s="1251"/>
      <c r="RF96" s="1251"/>
      <c r="RG96" s="1251"/>
      <c r="RH96" s="1251"/>
      <c r="RI96" s="1251"/>
      <c r="RJ96" s="1251"/>
      <c r="RK96" s="1251"/>
      <c r="RL96" s="1251"/>
      <c r="RM96" s="1251"/>
      <c r="RN96" s="1251"/>
      <c r="RO96" s="1251"/>
      <c r="RP96" s="1251"/>
      <c r="RQ96" s="1251"/>
      <c r="RR96" s="1251"/>
      <c r="RS96" s="1251"/>
      <c r="RT96" s="1251"/>
      <c r="RU96" s="1251"/>
      <c r="RV96" s="1251"/>
      <c r="RW96" s="1251"/>
      <c r="RX96" s="1251"/>
      <c r="RY96" s="1251"/>
      <c r="RZ96" s="1251"/>
      <c r="SA96" s="1251"/>
      <c r="SB96" s="1251"/>
      <c r="SC96" s="1251"/>
      <c r="SD96" s="1251"/>
      <c r="SE96" s="1251"/>
      <c r="SF96" s="1251"/>
      <c r="SG96" s="1251"/>
      <c r="SH96" s="1251"/>
      <c r="SI96" s="1251"/>
      <c r="SJ96" s="1251"/>
      <c r="SK96" s="1251"/>
      <c r="SL96" s="1251"/>
      <c r="SM96" s="1251"/>
      <c r="SN96" s="1251"/>
      <c r="SO96" s="1251"/>
      <c r="SP96" s="1251"/>
      <c r="SQ96" s="1251"/>
      <c r="SR96" s="1251"/>
      <c r="SS96" s="1251"/>
      <c r="ST96" s="1251"/>
      <c r="SU96" s="1251"/>
      <c r="SV96" s="1251"/>
      <c r="SW96" s="1251"/>
      <c r="SX96" s="1251"/>
      <c r="SY96" s="1251"/>
      <c r="SZ96" s="1251"/>
      <c r="TA96" s="1251"/>
      <c r="TB96" s="1251"/>
      <c r="TC96" s="1251"/>
      <c r="TD96" s="1251"/>
      <c r="TE96" s="1251"/>
      <c r="TF96" s="1251"/>
      <c r="TG96" s="1251"/>
      <c r="TH96" s="1251"/>
      <c r="TI96" s="1251"/>
      <c r="TJ96" s="1251"/>
      <c r="TK96" s="1251"/>
      <c r="TL96" s="1251"/>
      <c r="TM96" s="1251"/>
      <c r="TN96" s="1251"/>
      <c r="TO96" s="1251"/>
      <c r="TP96" s="1251"/>
      <c r="TQ96" s="1251"/>
      <c r="TR96" s="1251"/>
      <c r="TS96" s="1251"/>
      <c r="TT96" s="1251"/>
      <c r="TU96" s="1251"/>
      <c r="TV96" s="1251"/>
      <c r="TW96" s="1251"/>
      <c r="TX96" s="1251"/>
      <c r="TY96" s="1251"/>
      <c r="TZ96" s="1251"/>
      <c r="UA96" s="1251"/>
      <c r="UB96" s="1251"/>
      <c r="UC96" s="1251"/>
      <c r="UD96" s="1251"/>
      <c r="UE96" s="1251"/>
      <c r="UF96" s="1251"/>
      <c r="UG96" s="1251"/>
      <c r="UH96" s="1251"/>
      <c r="UI96" s="1251"/>
      <c r="UJ96" s="1251"/>
      <c r="UK96" s="1251"/>
      <c r="UL96" s="1251"/>
      <c r="UM96" s="1251"/>
      <c r="UN96" s="1251"/>
      <c r="UO96" s="1251"/>
      <c r="UP96" s="1251"/>
      <c r="UQ96" s="1251"/>
      <c r="UR96" s="1251"/>
      <c r="US96" s="1251"/>
      <c r="UT96" s="1251"/>
      <c r="UU96" s="1251"/>
      <c r="UV96" s="1251"/>
      <c r="UW96" s="1251"/>
      <c r="UX96" s="1251"/>
      <c r="UY96" s="1251"/>
      <c r="UZ96" s="1251"/>
      <c r="VA96" s="1251"/>
      <c r="VB96" s="1251"/>
      <c r="VC96" s="1251"/>
      <c r="VD96" s="1251"/>
      <c r="VE96" s="1251"/>
      <c r="VF96" s="1251"/>
      <c r="VG96" s="1251"/>
      <c r="VH96" s="1251"/>
      <c r="VI96" s="1251"/>
      <c r="VJ96" s="1251"/>
      <c r="VK96" s="1251"/>
      <c r="VL96" s="1251"/>
      <c r="VM96" s="1251"/>
      <c r="VN96" s="1251"/>
      <c r="VO96" s="1251"/>
      <c r="VP96" s="1251"/>
      <c r="VQ96" s="1251"/>
      <c r="VR96" s="1251"/>
      <c r="VS96" s="1251"/>
      <c r="VT96" s="1251"/>
      <c r="VU96" s="1251"/>
      <c r="VV96" s="1251"/>
      <c r="VW96" s="1251"/>
      <c r="VX96" s="1251"/>
      <c r="VY96" s="1251"/>
      <c r="VZ96" s="1251"/>
      <c r="WA96" s="1251"/>
      <c r="WB96" s="1251"/>
      <c r="WC96" s="1251"/>
      <c r="WD96" s="1251"/>
      <c r="WE96" s="1251"/>
      <c r="WF96" s="1251"/>
      <c r="WG96" s="1251"/>
      <c r="WH96" s="1251"/>
      <c r="WI96" s="1251"/>
      <c r="WJ96" s="1251"/>
      <c r="WK96" s="1251"/>
      <c r="WL96" s="1251"/>
      <c r="WM96" s="1251"/>
      <c r="WN96" s="1251"/>
      <c r="WO96" s="1251"/>
      <c r="WP96" s="1251"/>
      <c r="WQ96" s="1251"/>
      <c r="WR96" s="1251"/>
      <c r="WS96" s="1251"/>
      <c r="WT96" s="1251"/>
      <c r="WU96" s="1251"/>
      <c r="WV96" s="1251"/>
      <c r="WW96" s="1251"/>
      <c r="WX96" s="1251"/>
      <c r="WY96" s="1251"/>
      <c r="WZ96" s="1251"/>
      <c r="XA96" s="1251"/>
      <c r="XB96" s="1251"/>
      <c r="XC96" s="1251"/>
      <c r="XD96" s="1251"/>
      <c r="XE96" s="1251"/>
      <c r="XF96" s="1251"/>
      <c r="XG96" s="1251"/>
      <c r="XH96" s="1251"/>
      <c r="XI96" s="1251"/>
      <c r="XJ96" s="1251"/>
      <c r="XK96" s="1251"/>
      <c r="XL96" s="1251"/>
      <c r="XM96" s="1251"/>
      <c r="XN96" s="1251"/>
      <c r="XO96" s="1251"/>
      <c r="XP96" s="1251"/>
      <c r="XQ96" s="1251"/>
      <c r="XR96" s="1251"/>
      <c r="XS96" s="1251"/>
      <c r="XT96" s="1251"/>
      <c r="XU96" s="1251"/>
      <c r="XV96" s="1251"/>
      <c r="XW96" s="1251"/>
      <c r="XX96" s="1251"/>
      <c r="XY96" s="1251"/>
      <c r="XZ96" s="1251"/>
      <c r="YA96" s="1251"/>
      <c r="YB96" s="1251"/>
      <c r="YC96" s="1251"/>
      <c r="YD96" s="1251"/>
      <c r="YE96" s="1251"/>
      <c r="YF96" s="1251"/>
      <c r="YG96" s="1251"/>
      <c r="YH96" s="1251"/>
      <c r="YI96" s="1251"/>
      <c r="YJ96" s="1251"/>
      <c r="YK96" s="1251"/>
      <c r="YL96" s="1251"/>
      <c r="YM96" s="1251"/>
      <c r="YN96" s="1251"/>
      <c r="YO96" s="1251"/>
      <c r="YP96" s="1251"/>
      <c r="YQ96" s="1251"/>
      <c r="YR96" s="1251"/>
      <c r="YS96" s="1251"/>
      <c r="YT96" s="1251"/>
      <c r="YU96" s="1251"/>
      <c r="YV96" s="1251"/>
      <c r="YW96" s="1251"/>
      <c r="YX96" s="1251"/>
      <c r="YY96" s="1251"/>
      <c r="YZ96" s="1251"/>
      <c r="ZA96" s="1251"/>
      <c r="ZB96" s="1251"/>
      <c r="ZC96" s="1251"/>
      <c r="ZD96" s="1251"/>
      <c r="ZE96" s="1251"/>
      <c r="ZF96" s="1251"/>
      <c r="ZG96" s="1251"/>
      <c r="ZH96" s="1251"/>
      <c r="ZI96" s="1251"/>
      <c r="ZJ96" s="1251"/>
      <c r="ZK96" s="1251"/>
      <c r="ZL96" s="1251"/>
      <c r="ZM96" s="1251"/>
      <c r="ZN96" s="1251"/>
      <c r="ZO96" s="1251"/>
      <c r="ZP96" s="1251"/>
      <c r="ZQ96" s="1251"/>
      <c r="ZR96" s="1251"/>
      <c r="ZS96" s="1251"/>
      <c r="ZT96" s="1251"/>
      <c r="ZU96" s="1251"/>
      <c r="ZV96" s="1251"/>
      <c r="ZW96" s="1251"/>
      <c r="ZX96" s="1251"/>
      <c r="ZY96" s="1251"/>
      <c r="ZZ96" s="1251"/>
      <c r="AAA96" s="1251"/>
      <c r="AAB96" s="1251"/>
      <c r="AAC96" s="1251"/>
      <c r="AAD96" s="1251"/>
      <c r="AAE96" s="1251"/>
      <c r="AAF96" s="1251"/>
      <c r="AAG96" s="1251"/>
      <c r="AAH96" s="1251"/>
      <c r="AAI96" s="1251"/>
      <c r="AAJ96" s="1251"/>
      <c r="AAK96" s="1251"/>
      <c r="AAL96" s="1251"/>
      <c r="AAM96" s="1251"/>
      <c r="AAN96" s="1251"/>
      <c r="AAO96" s="1251"/>
      <c r="AAP96" s="1251"/>
      <c r="AAQ96" s="1251"/>
      <c r="AAR96" s="1251"/>
      <c r="AAS96" s="1251"/>
      <c r="AAT96" s="1251"/>
      <c r="AAU96" s="1251"/>
      <c r="AAV96" s="1251"/>
      <c r="AAW96" s="1251"/>
      <c r="AAX96" s="1251"/>
      <c r="AAY96" s="1251"/>
      <c r="AAZ96" s="1251"/>
      <c r="ABA96" s="1251"/>
      <c r="ABB96" s="1251"/>
      <c r="ABC96" s="1251"/>
      <c r="ABD96" s="1251"/>
      <c r="ABE96" s="1251"/>
      <c r="ABF96" s="1251"/>
      <c r="ABG96" s="1251"/>
      <c r="ABH96" s="1251"/>
      <c r="ABI96" s="1251"/>
      <c r="ABJ96" s="1251"/>
      <c r="ABK96" s="1251"/>
      <c r="ABL96" s="1251"/>
      <c r="ABM96" s="1251"/>
      <c r="ABN96" s="1251"/>
      <c r="ABO96" s="1251"/>
      <c r="ABP96" s="1251"/>
      <c r="ABQ96" s="1251"/>
      <c r="ABR96" s="1251"/>
      <c r="ABS96" s="1251"/>
      <c r="ABT96" s="1251"/>
      <c r="ABU96" s="1251"/>
      <c r="ABV96" s="1251"/>
      <c r="ABW96" s="1251"/>
      <c r="ABX96" s="1251"/>
      <c r="ABY96" s="1251"/>
      <c r="ABZ96" s="1251"/>
      <c r="ACA96" s="1251"/>
      <c r="ACB96" s="1251"/>
      <c r="ACC96" s="1251"/>
      <c r="ACD96" s="1251"/>
      <c r="ACE96" s="1251"/>
      <c r="ACF96" s="1251"/>
      <c r="ACG96" s="1251"/>
      <c r="ACH96" s="1251"/>
      <c r="ACI96" s="1251"/>
      <c r="ACJ96" s="1251"/>
      <c r="ACK96" s="1251"/>
      <c r="ACL96" s="1251"/>
      <c r="ACM96" s="1251"/>
      <c r="ACN96" s="1251"/>
      <c r="ACO96" s="1251"/>
      <c r="ACP96" s="1251"/>
      <c r="ACQ96" s="1251"/>
      <c r="ACR96" s="1251"/>
      <c r="ACS96" s="1251"/>
      <c r="ACT96" s="1251"/>
      <c r="ACU96" s="1251"/>
      <c r="ACV96" s="1251"/>
      <c r="ACW96" s="1251"/>
      <c r="ACX96" s="1251"/>
      <c r="ACY96" s="1251"/>
      <c r="ACZ96" s="1251"/>
      <c r="ADA96" s="1251"/>
      <c r="ADB96" s="1251"/>
      <c r="ADC96" s="1251"/>
      <c r="ADD96" s="1251"/>
      <c r="ADE96" s="1251"/>
      <c r="ADF96" s="1251"/>
      <c r="ADG96" s="1251"/>
      <c r="ADH96" s="1251"/>
      <c r="ADI96" s="1251"/>
      <c r="ADJ96" s="1251"/>
      <c r="ADK96" s="1251"/>
      <c r="ADL96" s="1251"/>
      <c r="ADM96" s="1251"/>
      <c r="ADN96" s="1251"/>
      <c r="ADO96" s="1251"/>
      <c r="ADP96" s="1251"/>
      <c r="ADQ96" s="1251"/>
      <c r="ADR96" s="1251"/>
      <c r="ADS96" s="1251"/>
      <c r="ADT96" s="1251"/>
      <c r="ADU96" s="1251"/>
      <c r="ADV96" s="1251"/>
      <c r="ADW96" s="1251"/>
      <c r="ADX96" s="1251"/>
      <c r="ADY96" s="1251"/>
      <c r="ADZ96" s="1251"/>
      <c r="AEA96" s="1251"/>
      <c r="AEB96" s="1251"/>
      <c r="AEC96" s="1251"/>
      <c r="AED96" s="1251"/>
      <c r="AEE96" s="1251"/>
      <c r="AEF96" s="1251"/>
      <c r="AEG96" s="1251"/>
      <c r="AEH96" s="1251"/>
      <c r="AEI96" s="1251"/>
      <c r="AEJ96" s="1251"/>
      <c r="AEK96" s="1251"/>
      <c r="AEL96" s="1251"/>
      <c r="AEM96" s="1251"/>
      <c r="AEN96" s="1251"/>
      <c r="AEO96" s="1251"/>
      <c r="AEP96" s="1251"/>
      <c r="AEQ96" s="1251"/>
      <c r="AER96" s="1251"/>
      <c r="AES96" s="1251"/>
      <c r="AET96" s="1251"/>
      <c r="AEU96" s="1251"/>
      <c r="AEV96" s="1251"/>
      <c r="AEW96" s="1251"/>
      <c r="AEX96" s="1251"/>
      <c r="AEY96" s="1251"/>
      <c r="AEZ96" s="1251"/>
      <c r="AFA96" s="1251"/>
      <c r="AFB96" s="1251"/>
      <c r="AFC96" s="1251"/>
      <c r="AFD96" s="1251"/>
      <c r="AFE96" s="1251"/>
      <c r="AFF96" s="1251"/>
      <c r="AFG96" s="1251"/>
      <c r="AFH96" s="1251"/>
      <c r="AFI96" s="1251"/>
      <c r="AFJ96" s="1251"/>
      <c r="AFK96" s="1251"/>
      <c r="AFL96" s="1251"/>
      <c r="AFM96" s="1251"/>
      <c r="AFN96" s="1251"/>
      <c r="AFO96" s="1251"/>
      <c r="AFP96" s="1251"/>
      <c r="AFQ96" s="1251"/>
      <c r="AFR96" s="1251"/>
      <c r="AFS96" s="1251"/>
      <c r="AFT96" s="1251"/>
      <c r="AFU96" s="1251"/>
      <c r="AFV96" s="1251"/>
      <c r="AFW96" s="1251"/>
      <c r="AFX96" s="1251"/>
      <c r="AFY96" s="1251"/>
      <c r="AFZ96" s="1251"/>
      <c r="AGA96" s="1251"/>
      <c r="AGB96" s="1251"/>
      <c r="AGC96" s="1251"/>
      <c r="AGD96" s="1251"/>
      <c r="AGE96" s="1251"/>
      <c r="AGF96" s="1251"/>
      <c r="AGG96" s="1251"/>
      <c r="AGH96" s="1251"/>
      <c r="AGI96" s="1251"/>
      <c r="AGJ96" s="1251"/>
      <c r="AGK96" s="1251"/>
      <c r="AGL96" s="1251"/>
      <c r="AGM96" s="1251"/>
      <c r="AGN96" s="1251"/>
      <c r="AGO96" s="1251"/>
      <c r="AGP96" s="1251"/>
      <c r="AGQ96" s="1251"/>
      <c r="AGR96" s="1251"/>
      <c r="AGS96" s="1251"/>
      <c r="AGT96" s="1251"/>
      <c r="AGU96" s="1251"/>
      <c r="AGV96" s="1251"/>
      <c r="AGW96" s="1251"/>
      <c r="AGX96" s="1251"/>
      <c r="AGY96" s="1251"/>
      <c r="AGZ96" s="1251"/>
      <c r="AHA96" s="1251"/>
      <c r="AHB96" s="1251"/>
      <c r="AHC96" s="1251"/>
      <c r="AHD96" s="1251"/>
      <c r="AHE96" s="1251"/>
      <c r="AHF96" s="1251"/>
      <c r="AHG96" s="1251"/>
      <c r="AHH96" s="1251"/>
      <c r="AHI96" s="1251"/>
      <c r="AHJ96" s="1251"/>
      <c r="AHK96" s="1251"/>
      <c r="AHL96" s="1251"/>
      <c r="AHM96" s="1251"/>
      <c r="AHN96" s="1251"/>
      <c r="AHO96" s="1251"/>
      <c r="AHP96" s="1251"/>
      <c r="AHQ96" s="1251"/>
      <c r="AHR96" s="1251"/>
      <c r="AHS96" s="1251"/>
      <c r="AHT96" s="1251"/>
      <c r="AHU96" s="1251"/>
      <c r="AHV96" s="1251"/>
      <c r="AHW96" s="1251"/>
      <c r="AHX96" s="1251"/>
      <c r="AHY96" s="1251"/>
      <c r="AHZ96" s="1251"/>
      <c r="AIA96" s="1251"/>
      <c r="AIB96" s="1251"/>
      <c r="AIC96" s="1251"/>
      <c r="AID96" s="1251"/>
      <c r="AIE96" s="1251"/>
      <c r="AIF96" s="1251"/>
      <c r="AIG96" s="1251"/>
      <c r="AIH96" s="1251"/>
      <c r="AII96" s="1251"/>
      <c r="AIJ96" s="1251"/>
      <c r="AIK96" s="1251"/>
      <c r="AIL96" s="1251"/>
      <c r="AIM96" s="1251"/>
      <c r="AIN96" s="1251"/>
      <c r="AIO96" s="1251"/>
      <c r="AIP96" s="1251"/>
      <c r="AIQ96" s="1251"/>
      <c r="AIR96" s="1251"/>
      <c r="AIS96" s="1251"/>
      <c r="AIT96" s="1251"/>
      <c r="AIU96" s="1251"/>
      <c r="AIV96" s="1251"/>
      <c r="AIW96" s="1251"/>
      <c r="AIX96" s="1251"/>
      <c r="AIY96" s="1251"/>
      <c r="AIZ96" s="1251"/>
      <c r="AJA96" s="1251"/>
      <c r="AJB96" s="1251"/>
      <c r="AJC96" s="1251"/>
      <c r="AJD96" s="1251"/>
      <c r="AJE96" s="1251"/>
      <c r="AJF96" s="1251"/>
      <c r="AJG96" s="1251"/>
      <c r="AJH96" s="1251"/>
      <c r="AJI96" s="1251"/>
      <c r="AJJ96" s="1251"/>
      <c r="AJK96" s="1251"/>
      <c r="AJL96" s="1251"/>
      <c r="AJM96" s="1251"/>
      <c r="AJN96" s="1251"/>
      <c r="AJO96" s="1251"/>
      <c r="AJP96" s="1251"/>
      <c r="AJQ96" s="1251"/>
      <c r="AJR96" s="1251"/>
      <c r="AJS96" s="1251"/>
      <c r="AJT96" s="1251"/>
      <c r="AJU96" s="1251"/>
      <c r="AJV96" s="1251"/>
      <c r="AJW96" s="1251"/>
      <c r="AJX96" s="1251"/>
      <c r="AJY96" s="1251"/>
      <c r="AJZ96" s="1251"/>
      <c r="AKA96" s="1251"/>
      <c r="AKB96" s="1251"/>
      <c r="AKC96" s="1251"/>
      <c r="AKD96" s="1251"/>
      <c r="AKE96" s="1251"/>
      <c r="AKF96" s="1251"/>
      <c r="AKG96" s="1251"/>
      <c r="AKH96" s="1251"/>
      <c r="AKI96" s="1251"/>
      <c r="AKJ96" s="1251"/>
      <c r="AKK96" s="1251"/>
      <c r="AKL96" s="1251"/>
      <c r="AKM96" s="1251"/>
      <c r="AKN96" s="1251"/>
      <c r="AKO96" s="1251"/>
      <c r="AKP96" s="1251"/>
      <c r="AKQ96" s="1251"/>
      <c r="AKR96" s="1251"/>
      <c r="AKS96" s="1251"/>
      <c r="AKT96" s="1251"/>
      <c r="AKU96" s="1251"/>
      <c r="AKV96" s="1251"/>
      <c r="AKW96" s="1251"/>
      <c r="AKX96" s="1251"/>
      <c r="AKY96" s="1251"/>
      <c r="AKZ96" s="1251"/>
      <c r="ALA96" s="1251"/>
      <c r="ALB96" s="1251"/>
      <c r="ALC96" s="1251"/>
      <c r="ALD96" s="1251"/>
      <c r="ALE96" s="1251"/>
      <c r="ALF96" s="1251"/>
      <c r="ALG96" s="1251"/>
      <c r="ALH96" s="1251"/>
      <c r="ALI96" s="1251"/>
      <c r="ALJ96" s="1251"/>
      <c r="ALK96" s="1251"/>
      <c r="ALL96" s="1251"/>
      <c r="ALM96" s="1251"/>
      <c r="ALN96" s="1251"/>
      <c r="ALO96" s="1251"/>
      <c r="ALP96" s="1251"/>
      <c r="ALQ96" s="1251"/>
      <c r="ALR96" s="1251"/>
      <c r="ALS96" s="1251"/>
      <c r="ALT96" s="1251"/>
      <c r="ALU96" s="1251"/>
      <c r="ALV96" s="1251"/>
      <c r="ALW96" s="1251"/>
      <c r="ALX96" s="1251"/>
      <c r="ALY96" s="1251"/>
      <c r="ALZ96" s="1251"/>
      <c r="AMA96" s="1251"/>
      <c r="AMB96" s="1251"/>
      <c r="AMC96" s="1251"/>
      <c r="AMD96" s="1251"/>
      <c r="AME96" s="1251"/>
      <c r="AMF96" s="1251"/>
      <c r="AMG96" s="1251"/>
      <c r="AMH96" s="1251"/>
      <c r="AMI96" s="1251"/>
      <c r="AMJ96" s="1251"/>
      <c r="AMK96" s="1251"/>
      <c r="AML96" s="1251"/>
      <c r="AMM96" s="1251"/>
      <c r="AMN96" s="1251"/>
      <c r="AMO96" s="1251"/>
      <c r="AMP96" s="1251"/>
      <c r="AMQ96" s="1251"/>
      <c r="AMR96" s="1251"/>
      <c r="AMS96" s="1251"/>
      <c r="AMT96" s="1251"/>
      <c r="AMU96" s="1251"/>
      <c r="AMV96" s="1251"/>
      <c r="AMW96" s="1251"/>
      <c r="AMX96" s="1251"/>
      <c r="AMY96" s="1251"/>
      <c r="AMZ96" s="1251"/>
      <c r="ANA96" s="1251"/>
      <c r="ANB96" s="1251"/>
      <c r="ANC96" s="1251"/>
      <c r="AND96" s="1251"/>
      <c r="ANE96" s="1251"/>
      <c r="ANF96" s="1251"/>
      <c r="ANG96" s="1251"/>
      <c r="ANH96" s="1251"/>
      <c r="ANI96" s="1251"/>
      <c r="ANJ96" s="1251"/>
      <c r="ANK96" s="1251"/>
      <c r="ANL96" s="1251"/>
      <c r="ANM96" s="1251"/>
      <c r="ANN96" s="1251"/>
      <c r="ANO96" s="1251"/>
      <c r="ANP96" s="1251"/>
      <c r="ANQ96" s="1251"/>
      <c r="ANR96" s="1251"/>
      <c r="ANS96" s="1251"/>
      <c r="ANT96" s="1251"/>
      <c r="ANU96" s="1251"/>
      <c r="ANV96" s="1251"/>
      <c r="ANW96" s="1251"/>
      <c r="ANX96" s="1251"/>
      <c r="ANY96" s="1251"/>
      <c r="ANZ96" s="1251"/>
      <c r="AOA96" s="1251"/>
      <c r="AOB96" s="1251"/>
      <c r="AOC96" s="1251"/>
      <c r="AOD96" s="1251"/>
      <c r="AOE96" s="1251"/>
      <c r="AOF96" s="1251"/>
      <c r="AOG96" s="1251"/>
      <c r="AOH96" s="1251"/>
      <c r="AOI96" s="1251"/>
      <c r="AOJ96" s="1251"/>
      <c r="AOK96" s="1251"/>
      <c r="AOL96" s="1251"/>
      <c r="AOM96" s="1251"/>
      <c r="AON96" s="1251"/>
      <c r="AOO96" s="1251"/>
      <c r="AOP96" s="1251"/>
      <c r="AOQ96" s="1251"/>
      <c r="AOR96" s="1251"/>
      <c r="AOS96" s="1251"/>
      <c r="AOT96" s="1251"/>
      <c r="AOU96" s="1251"/>
      <c r="AOV96" s="1251"/>
      <c r="AOW96" s="1251"/>
      <c r="AOX96" s="1251"/>
      <c r="AOY96" s="1251"/>
      <c r="AOZ96" s="1251"/>
      <c r="APA96" s="1251"/>
      <c r="APB96" s="1251"/>
      <c r="APC96" s="1251"/>
      <c r="APD96" s="1251"/>
      <c r="APE96" s="1251"/>
      <c r="APF96" s="1251"/>
      <c r="APG96" s="1251"/>
      <c r="APH96" s="1251"/>
      <c r="API96" s="1251"/>
      <c r="APJ96" s="1251"/>
      <c r="APK96" s="1251"/>
      <c r="APL96" s="1251"/>
      <c r="APM96" s="1251"/>
      <c r="APN96" s="1251"/>
      <c r="APO96" s="1251"/>
      <c r="APP96" s="1251"/>
      <c r="APQ96" s="1251"/>
      <c r="APR96" s="1251"/>
      <c r="APS96" s="1251"/>
      <c r="APT96" s="1251"/>
      <c r="APU96" s="1251"/>
      <c r="APV96" s="1251"/>
      <c r="APW96" s="1251"/>
      <c r="APX96" s="1251"/>
      <c r="APY96" s="1251"/>
      <c r="APZ96" s="1251"/>
      <c r="AQA96" s="1251"/>
      <c r="AQB96" s="1251"/>
      <c r="AQC96" s="1251"/>
      <c r="AQD96" s="1251"/>
      <c r="AQE96" s="1251"/>
      <c r="AQF96" s="1251"/>
      <c r="AQG96" s="1251"/>
      <c r="AQH96" s="1251"/>
      <c r="AQI96" s="1251"/>
      <c r="AQJ96" s="1251"/>
      <c r="AQK96" s="1251"/>
      <c r="AQL96" s="1251"/>
      <c r="AQM96" s="1251"/>
      <c r="AQN96" s="1251"/>
      <c r="AQO96" s="1251"/>
      <c r="AQP96" s="1251"/>
      <c r="AQQ96" s="1251"/>
      <c r="AQR96" s="1251"/>
      <c r="AQS96" s="1251"/>
      <c r="AQT96" s="1251"/>
      <c r="AQU96" s="1251"/>
      <c r="AQV96" s="1251"/>
      <c r="AQW96" s="1251"/>
      <c r="AQX96" s="1251"/>
      <c r="AQY96" s="1251"/>
      <c r="AQZ96" s="1251"/>
      <c r="ARA96" s="1251"/>
      <c r="ARB96" s="1251"/>
      <c r="ARC96" s="1251"/>
      <c r="ARD96" s="1251"/>
      <c r="ARE96" s="1251"/>
      <c r="ARF96" s="1251"/>
      <c r="ARG96" s="1251"/>
      <c r="ARH96" s="1251"/>
      <c r="ARI96" s="1251"/>
      <c r="ARJ96" s="1251"/>
      <c r="ARK96" s="1251"/>
      <c r="ARL96" s="1251"/>
      <c r="ARM96" s="1251"/>
      <c r="ARN96" s="1251"/>
      <c r="ARO96" s="1251"/>
      <c r="ARP96" s="1251"/>
      <c r="ARQ96" s="1251"/>
      <c r="ARR96" s="1251"/>
      <c r="ARS96" s="1251"/>
      <c r="ART96" s="1251"/>
      <c r="ARU96" s="1251"/>
      <c r="ARV96" s="1251"/>
      <c r="ARW96" s="1251"/>
      <c r="ARX96" s="1251"/>
      <c r="ARY96" s="1251"/>
      <c r="ARZ96" s="1251"/>
      <c r="ASA96" s="1251"/>
      <c r="ASB96" s="1251"/>
      <c r="ASC96" s="1251"/>
      <c r="ASD96" s="1251"/>
      <c r="ASE96" s="1251"/>
      <c r="ASF96" s="1251"/>
      <c r="ASG96" s="1251"/>
      <c r="ASH96" s="1251"/>
      <c r="ASI96" s="1251"/>
      <c r="ASJ96" s="1251"/>
      <c r="ASK96" s="1251"/>
      <c r="ASL96" s="1251"/>
      <c r="ASM96" s="1251"/>
      <c r="ASN96" s="1251"/>
      <c r="ASO96" s="1251"/>
      <c r="ASP96" s="1251"/>
      <c r="ASQ96" s="1251"/>
      <c r="ASR96" s="1251"/>
      <c r="ASS96" s="1251"/>
      <c r="AST96" s="1251"/>
      <c r="ASU96" s="1251"/>
      <c r="ASV96" s="1251"/>
      <c r="ASW96" s="1251"/>
      <c r="ASX96" s="1251"/>
      <c r="ASY96" s="1251"/>
      <c r="ASZ96" s="1251"/>
      <c r="ATA96" s="1251"/>
      <c r="ATB96" s="1251"/>
      <c r="ATC96" s="1251"/>
      <c r="ATD96" s="1251"/>
      <c r="ATE96" s="1251"/>
      <c r="ATF96" s="1251"/>
      <c r="ATG96" s="1251"/>
      <c r="ATH96" s="1251"/>
      <c r="ATI96" s="1251"/>
      <c r="ATJ96" s="1251"/>
      <c r="ATK96" s="1251"/>
      <c r="ATL96" s="1251"/>
      <c r="ATM96" s="1251"/>
      <c r="ATN96" s="1251"/>
      <c r="ATO96" s="1251"/>
      <c r="ATP96" s="1251"/>
      <c r="ATQ96" s="1251"/>
      <c r="ATR96" s="1251"/>
      <c r="ATS96" s="1251"/>
      <c r="ATT96" s="1251"/>
      <c r="ATU96" s="1251"/>
      <c r="ATV96" s="1251"/>
      <c r="ATW96" s="1251"/>
      <c r="ATX96" s="1251"/>
      <c r="ATY96" s="1251"/>
      <c r="ATZ96" s="1251"/>
      <c r="AUA96" s="1251"/>
      <c r="AUB96" s="1251"/>
      <c r="AUC96" s="1251"/>
      <c r="AUD96" s="1251"/>
      <c r="AUE96" s="1251"/>
      <c r="AUF96" s="1251"/>
      <c r="AUG96" s="1251"/>
      <c r="AUH96" s="1251"/>
      <c r="AUI96" s="1251"/>
      <c r="AUJ96" s="1251"/>
      <c r="AUK96" s="1251"/>
      <c r="AUL96" s="1251"/>
      <c r="AUM96" s="1251"/>
      <c r="AUN96" s="1251"/>
      <c r="AUO96" s="1251"/>
      <c r="AUP96" s="1251"/>
      <c r="AUQ96" s="1251"/>
      <c r="AUR96" s="1251"/>
      <c r="AUS96" s="1251"/>
      <c r="AUT96" s="1251"/>
      <c r="AUU96" s="1251"/>
      <c r="AUV96" s="1251"/>
      <c r="AUW96" s="1251"/>
      <c r="AUX96" s="1251"/>
      <c r="AUY96" s="1251"/>
      <c r="AUZ96" s="1251"/>
      <c r="AVA96" s="1251"/>
      <c r="AVB96" s="1251"/>
      <c r="AVC96" s="1251"/>
      <c r="AVD96" s="1251"/>
      <c r="AVE96" s="1251"/>
      <c r="AVF96" s="1251"/>
      <c r="AVG96" s="1251"/>
      <c r="AVH96" s="1251"/>
      <c r="AVI96" s="1251"/>
      <c r="AVJ96" s="1251"/>
      <c r="AVK96" s="1251"/>
      <c r="AVL96" s="1251"/>
      <c r="AVM96" s="1251"/>
      <c r="AVN96" s="1251"/>
      <c r="AVO96" s="1251"/>
      <c r="AVP96" s="1251"/>
      <c r="AVQ96" s="1251"/>
      <c r="AVR96" s="1251"/>
      <c r="AVS96" s="1251"/>
      <c r="AVT96" s="1251"/>
      <c r="AVU96" s="1251"/>
      <c r="AVV96" s="1251"/>
      <c r="AVW96" s="1251"/>
      <c r="AVX96" s="1251"/>
      <c r="AVY96" s="1251"/>
      <c r="AVZ96" s="1251"/>
      <c r="AWA96" s="1251"/>
      <c r="AWB96" s="1251"/>
      <c r="AWC96" s="1251"/>
      <c r="AWD96" s="1251"/>
      <c r="AWE96" s="1251"/>
      <c r="AWF96" s="1251"/>
      <c r="AWG96" s="1251"/>
      <c r="AWH96" s="1251"/>
      <c r="AWI96" s="1251"/>
      <c r="AWJ96" s="1251"/>
      <c r="AWK96" s="1251"/>
      <c r="AWL96" s="1251"/>
      <c r="AWM96" s="1251"/>
      <c r="AWN96" s="1251"/>
      <c r="AWO96" s="1251"/>
      <c r="AWP96" s="1251"/>
      <c r="AWQ96" s="1251"/>
      <c r="AWR96" s="1251"/>
      <c r="AWS96" s="1251"/>
      <c r="AWT96" s="1251"/>
      <c r="AWU96" s="1251"/>
      <c r="AWV96" s="1251"/>
      <c r="AWW96" s="1251"/>
      <c r="AWX96" s="1251"/>
      <c r="AWY96" s="1251"/>
      <c r="AWZ96" s="1251"/>
      <c r="AXA96" s="1251"/>
      <c r="AXB96" s="1251"/>
      <c r="AXC96" s="1251"/>
      <c r="AXD96" s="1251"/>
      <c r="AXE96" s="1251"/>
      <c r="AXF96" s="1251"/>
      <c r="AXG96" s="1251"/>
      <c r="AXH96" s="1251"/>
      <c r="AXI96" s="1251"/>
      <c r="AXJ96" s="1251"/>
      <c r="AXK96" s="1251"/>
      <c r="AXL96" s="1251"/>
      <c r="AXM96" s="1251"/>
      <c r="AXN96" s="1251"/>
      <c r="AXO96" s="1251"/>
      <c r="AXP96" s="1251"/>
      <c r="AXQ96" s="1251"/>
      <c r="AXR96" s="1251"/>
      <c r="AXS96" s="1251"/>
      <c r="AXT96" s="1251"/>
      <c r="AXU96" s="1251"/>
      <c r="AXV96" s="1251"/>
      <c r="AXW96" s="1251"/>
      <c r="AXX96" s="1251"/>
      <c r="AXY96" s="1251"/>
      <c r="AXZ96" s="1251"/>
      <c r="AYA96" s="1251"/>
      <c r="AYB96" s="1251"/>
      <c r="AYC96" s="1251"/>
      <c r="AYD96" s="1251"/>
      <c r="AYE96" s="1251"/>
      <c r="AYF96" s="1251"/>
      <c r="AYG96" s="1251"/>
      <c r="AYH96" s="1251"/>
      <c r="AYI96" s="1251"/>
      <c r="AYJ96" s="1251"/>
      <c r="AYK96" s="1251"/>
      <c r="AYL96" s="1251"/>
      <c r="AYM96" s="1251"/>
      <c r="AYN96" s="1251"/>
      <c r="AYO96" s="1251"/>
      <c r="AYP96" s="1251"/>
      <c r="AYQ96" s="1251"/>
      <c r="AYR96" s="1251"/>
      <c r="AYS96" s="1251"/>
      <c r="AYT96" s="1251"/>
      <c r="AYU96" s="1251"/>
      <c r="AYV96" s="1251"/>
      <c r="AYW96" s="1251"/>
      <c r="AYX96" s="1251"/>
      <c r="AYY96" s="1251"/>
      <c r="AYZ96" s="1251"/>
      <c r="AZA96" s="1251"/>
      <c r="AZB96" s="1251"/>
      <c r="AZC96" s="1251"/>
      <c r="AZD96" s="1251"/>
      <c r="AZE96" s="1251"/>
      <c r="AZF96" s="1251"/>
      <c r="AZG96" s="1251"/>
      <c r="AZH96" s="1251"/>
      <c r="AZI96" s="1251"/>
      <c r="AZJ96" s="1251"/>
      <c r="AZK96" s="1251"/>
      <c r="AZL96" s="1251"/>
      <c r="AZM96" s="1251"/>
      <c r="AZN96" s="1251"/>
      <c r="AZO96" s="1251"/>
      <c r="AZP96" s="1251"/>
      <c r="AZQ96" s="1251"/>
      <c r="AZR96" s="1251"/>
      <c r="AZS96" s="1251"/>
      <c r="AZT96" s="1251"/>
      <c r="AZU96" s="1251"/>
      <c r="AZV96" s="1251"/>
      <c r="AZW96" s="1251"/>
      <c r="AZX96" s="1251"/>
      <c r="AZY96" s="1251"/>
      <c r="AZZ96" s="1251"/>
      <c r="BAA96" s="1251"/>
      <c r="BAB96" s="1251"/>
      <c r="BAC96" s="1251"/>
      <c r="BAD96" s="1251"/>
      <c r="BAE96" s="1251"/>
      <c r="BAF96" s="1251"/>
      <c r="BAG96" s="1251"/>
      <c r="BAH96" s="1251"/>
      <c r="BAI96" s="1251"/>
      <c r="BAJ96" s="1251"/>
      <c r="BAK96" s="1251"/>
      <c r="BAL96" s="1251"/>
      <c r="BAM96" s="1251"/>
      <c r="BAN96" s="1251"/>
      <c r="BAO96" s="1251"/>
      <c r="BAP96" s="1251"/>
      <c r="BAQ96" s="1251"/>
      <c r="BAR96" s="1251"/>
      <c r="BAS96" s="1251"/>
      <c r="BAT96" s="1251"/>
      <c r="BAU96" s="1251"/>
      <c r="BAV96" s="1251"/>
      <c r="BAW96" s="1251"/>
      <c r="BAX96" s="1251"/>
      <c r="BAY96" s="1251"/>
      <c r="BAZ96" s="1251"/>
      <c r="BBA96" s="1251"/>
      <c r="BBB96" s="1251"/>
      <c r="BBC96" s="1251"/>
      <c r="BBD96" s="1251"/>
      <c r="BBE96" s="1251"/>
      <c r="BBF96" s="1251"/>
      <c r="BBG96" s="1251"/>
      <c r="BBH96" s="1251"/>
      <c r="BBI96" s="1251"/>
      <c r="BBJ96" s="1251"/>
      <c r="BBK96" s="1251"/>
      <c r="BBL96" s="1251"/>
      <c r="BBM96" s="1251"/>
      <c r="BBN96" s="1251"/>
      <c r="BBO96" s="1251"/>
      <c r="BBP96" s="1251"/>
      <c r="BBQ96" s="1251"/>
      <c r="BBR96" s="1251"/>
      <c r="BBS96" s="1251"/>
      <c r="BBT96" s="1251"/>
      <c r="BBU96" s="1251"/>
      <c r="BBV96" s="1251"/>
      <c r="BBW96" s="1251"/>
      <c r="BBX96" s="1251"/>
      <c r="BBY96" s="1251"/>
      <c r="BBZ96" s="1251"/>
      <c r="BCA96" s="1251"/>
      <c r="BCB96" s="1251"/>
      <c r="BCC96" s="1251"/>
      <c r="BCD96" s="1251"/>
      <c r="BCE96" s="1251"/>
      <c r="BCF96" s="1251"/>
      <c r="BCG96" s="1251"/>
      <c r="BCH96" s="1251"/>
      <c r="BCI96" s="1251"/>
      <c r="BCJ96" s="1251"/>
      <c r="BCK96" s="1251"/>
      <c r="BCL96" s="1251"/>
      <c r="BCM96" s="1251"/>
      <c r="BCN96" s="1251"/>
      <c r="BCO96" s="1251"/>
      <c r="BCP96" s="1251"/>
      <c r="BCQ96" s="1251"/>
      <c r="BCR96" s="1251"/>
      <c r="BCS96" s="1251"/>
      <c r="BCT96" s="1251"/>
      <c r="BCU96" s="1251"/>
      <c r="BCV96" s="1251"/>
      <c r="BCW96" s="1251"/>
      <c r="BCX96" s="1251"/>
      <c r="BCY96" s="1251"/>
      <c r="BCZ96" s="1251"/>
      <c r="BDA96" s="1251"/>
      <c r="BDB96" s="1251"/>
      <c r="BDC96" s="1251"/>
      <c r="BDD96" s="1251"/>
      <c r="BDE96" s="1251"/>
      <c r="BDF96" s="1251"/>
      <c r="BDG96" s="1251"/>
      <c r="BDH96" s="1251"/>
      <c r="BDI96" s="1251"/>
      <c r="BDJ96" s="1251"/>
      <c r="BDK96" s="1251"/>
      <c r="BDL96" s="1251"/>
      <c r="BDM96" s="1251"/>
      <c r="BDN96" s="1251"/>
      <c r="BDO96" s="1251"/>
      <c r="BDP96" s="1251"/>
      <c r="BDQ96" s="1251"/>
      <c r="BDR96" s="1251"/>
      <c r="BDS96" s="1251"/>
      <c r="BDT96" s="1251"/>
      <c r="BDU96" s="1251"/>
      <c r="BDV96" s="1251"/>
      <c r="BDW96" s="1251"/>
      <c r="BDX96" s="1251"/>
      <c r="BDY96" s="1251"/>
      <c r="BDZ96" s="1251"/>
      <c r="BEA96" s="1251"/>
      <c r="BEB96" s="1251"/>
      <c r="BEC96" s="1251"/>
      <c r="BED96" s="1251"/>
      <c r="BEE96" s="1251"/>
      <c r="BEF96" s="1251"/>
      <c r="BEG96" s="1251"/>
      <c r="BEH96" s="1251"/>
      <c r="BEI96" s="1251"/>
      <c r="BEJ96" s="1251"/>
      <c r="BEK96" s="1251"/>
      <c r="BEL96" s="1251"/>
      <c r="BEM96" s="1251"/>
      <c r="BEN96" s="1251"/>
      <c r="BEO96" s="1251"/>
      <c r="BEP96" s="1251"/>
      <c r="BEQ96" s="1251"/>
      <c r="BER96" s="1251"/>
      <c r="BES96" s="1251"/>
      <c r="BET96" s="1251"/>
      <c r="BEU96" s="1251"/>
      <c r="BEV96" s="1251"/>
      <c r="BEW96" s="1251"/>
      <c r="BEX96" s="1251"/>
      <c r="BEY96" s="1251"/>
      <c r="BEZ96" s="1251"/>
      <c r="BFA96" s="1251"/>
      <c r="BFB96" s="1251"/>
      <c r="BFC96" s="1251"/>
      <c r="BFD96" s="1251"/>
      <c r="BFE96" s="1251"/>
      <c r="BFF96" s="1251"/>
      <c r="BFG96" s="1251"/>
      <c r="BFH96" s="1251"/>
      <c r="BFI96" s="1251"/>
      <c r="BFJ96" s="1251"/>
      <c r="BFK96" s="1251"/>
      <c r="BFL96" s="1251"/>
      <c r="BFM96" s="1251"/>
      <c r="BFN96" s="1251"/>
      <c r="BFO96" s="1251"/>
      <c r="BFP96" s="1251"/>
      <c r="BFQ96" s="1251"/>
      <c r="BFR96" s="1251"/>
      <c r="BFS96" s="1251"/>
      <c r="BFT96" s="1251"/>
      <c r="BFU96" s="1251"/>
      <c r="BFV96" s="1251"/>
      <c r="BFW96" s="1251"/>
      <c r="BFX96" s="1251"/>
      <c r="BFY96" s="1251"/>
      <c r="BFZ96" s="1251"/>
      <c r="BGA96" s="1251"/>
      <c r="BGB96" s="1251"/>
      <c r="BGC96" s="1251"/>
      <c r="BGD96" s="1251"/>
      <c r="BGE96" s="1251"/>
      <c r="BGF96" s="1251"/>
      <c r="BGG96" s="1251"/>
      <c r="BGH96" s="1251"/>
      <c r="BGI96" s="1251"/>
      <c r="BGJ96" s="1251"/>
      <c r="BGK96" s="1251"/>
      <c r="BGL96" s="1251"/>
      <c r="BGM96" s="1251"/>
      <c r="BGN96" s="1251"/>
      <c r="BGO96" s="1251"/>
      <c r="BGP96" s="1251"/>
      <c r="BGQ96" s="1251"/>
      <c r="BGR96" s="1251"/>
      <c r="BGS96" s="1251"/>
      <c r="BGT96" s="1251"/>
      <c r="BGU96" s="1251"/>
      <c r="BGV96" s="1251"/>
      <c r="BGW96" s="1251"/>
      <c r="BGX96" s="1251"/>
      <c r="BGY96" s="1251"/>
      <c r="BGZ96" s="1251"/>
      <c r="BHA96" s="1251"/>
      <c r="BHB96" s="1251"/>
      <c r="BHC96" s="1251"/>
      <c r="BHD96" s="1251"/>
      <c r="BHE96" s="1251"/>
      <c r="BHF96" s="1251"/>
      <c r="BHG96" s="1251"/>
      <c r="BHH96" s="1251"/>
      <c r="BHI96" s="1251"/>
      <c r="BHJ96" s="1251"/>
      <c r="BHK96" s="1251"/>
      <c r="BHL96" s="1251"/>
      <c r="BHM96" s="1251"/>
      <c r="BHN96" s="1251"/>
      <c r="BHO96" s="1251"/>
      <c r="BHP96" s="1251"/>
      <c r="BHQ96" s="1251"/>
      <c r="BHR96" s="1251"/>
      <c r="BHS96" s="1251"/>
      <c r="BHT96" s="1251"/>
      <c r="BHU96" s="1251"/>
      <c r="BHV96" s="1251"/>
      <c r="BHW96" s="1251"/>
      <c r="BHX96" s="1251"/>
      <c r="BHY96" s="1251"/>
      <c r="BHZ96" s="1251"/>
      <c r="BIA96" s="1251"/>
      <c r="BIB96" s="1251"/>
      <c r="BIC96" s="1251"/>
      <c r="BID96" s="1251"/>
      <c r="BIE96" s="1251"/>
      <c r="BIF96" s="1251"/>
      <c r="BIG96" s="1251"/>
      <c r="BIH96" s="1251"/>
      <c r="BII96" s="1251"/>
      <c r="BIJ96" s="1251"/>
      <c r="BIK96" s="1251"/>
      <c r="BIL96" s="1251"/>
      <c r="BIM96" s="1251"/>
      <c r="BIN96" s="1251"/>
      <c r="BIO96" s="1251"/>
      <c r="BIP96" s="1251"/>
      <c r="BIQ96" s="1251"/>
      <c r="BIR96" s="1251"/>
      <c r="BIS96" s="1251"/>
      <c r="BIT96" s="1251"/>
      <c r="BIU96" s="1251"/>
      <c r="BIV96" s="1251"/>
      <c r="BIW96" s="1251"/>
      <c r="BIX96" s="1251"/>
      <c r="BIY96" s="1251"/>
      <c r="BIZ96" s="1251"/>
      <c r="BJA96" s="1251"/>
      <c r="BJB96" s="1251"/>
      <c r="BJC96" s="1251"/>
      <c r="BJD96" s="1251"/>
      <c r="BJE96" s="1251"/>
      <c r="BJF96" s="1251"/>
      <c r="BJG96" s="1251"/>
      <c r="BJH96" s="1251"/>
      <c r="BJI96" s="1251"/>
      <c r="BJJ96" s="1251"/>
      <c r="BJK96" s="1251"/>
      <c r="BJL96" s="1251"/>
      <c r="BJM96" s="1251"/>
      <c r="BJN96" s="1251"/>
      <c r="BJO96" s="1251"/>
      <c r="BJP96" s="1251"/>
      <c r="BJQ96" s="1251"/>
      <c r="BJR96" s="1251"/>
      <c r="BJS96" s="1251"/>
      <c r="BJT96" s="1251"/>
      <c r="BJU96" s="1251"/>
      <c r="BJV96" s="1251"/>
      <c r="BJW96" s="1251"/>
      <c r="BJX96" s="1251"/>
      <c r="BJY96" s="1251"/>
      <c r="BJZ96" s="1251"/>
      <c r="BKA96" s="1251"/>
      <c r="BKB96" s="1251"/>
      <c r="BKC96" s="1251"/>
      <c r="BKD96" s="1251"/>
      <c r="BKE96" s="1251"/>
      <c r="BKF96" s="1251"/>
      <c r="BKG96" s="1251"/>
      <c r="BKH96" s="1251"/>
      <c r="BKI96" s="1251"/>
      <c r="BKJ96" s="1251"/>
      <c r="BKK96" s="1251"/>
      <c r="BKL96" s="1251"/>
      <c r="BKM96" s="1251"/>
      <c r="BKN96" s="1251"/>
      <c r="BKO96" s="1251"/>
      <c r="BKP96" s="1251"/>
      <c r="BKQ96" s="1251"/>
      <c r="BKR96" s="1251"/>
      <c r="BKS96" s="1251"/>
      <c r="BKT96" s="1251"/>
      <c r="BKU96" s="1251"/>
      <c r="BKV96" s="1251"/>
      <c r="BKW96" s="1251"/>
      <c r="BKX96" s="1251"/>
      <c r="BKY96" s="1251"/>
      <c r="BKZ96" s="1251"/>
      <c r="BLA96" s="1251"/>
      <c r="BLB96" s="1251"/>
      <c r="BLC96" s="1251"/>
      <c r="BLD96" s="1251"/>
      <c r="BLE96" s="1251"/>
      <c r="BLF96" s="1251"/>
      <c r="BLG96" s="1251"/>
      <c r="BLH96" s="1251"/>
      <c r="BLI96" s="1251"/>
      <c r="BLJ96" s="1251"/>
      <c r="BLK96" s="1251"/>
      <c r="BLL96" s="1251"/>
      <c r="BLM96" s="1251"/>
      <c r="BLN96" s="1251"/>
      <c r="BLO96" s="1251"/>
      <c r="BLP96" s="1251"/>
      <c r="BLQ96" s="1251"/>
      <c r="BLR96" s="1251"/>
      <c r="BLS96" s="1251"/>
      <c r="BLT96" s="1251"/>
      <c r="BLU96" s="1251"/>
      <c r="BLV96" s="1251"/>
      <c r="BLW96" s="1251"/>
      <c r="BLX96" s="1251"/>
      <c r="BLY96" s="1251"/>
      <c r="BLZ96" s="1251"/>
      <c r="BMA96" s="1251"/>
      <c r="BMB96" s="1251"/>
      <c r="BMC96" s="1251"/>
      <c r="BMD96" s="1251"/>
      <c r="BME96" s="1251"/>
      <c r="BMF96" s="1251"/>
      <c r="BMG96" s="1251"/>
      <c r="BMH96" s="1251"/>
      <c r="BMI96" s="1251"/>
      <c r="BMJ96" s="1251"/>
      <c r="BMK96" s="1251"/>
      <c r="BML96" s="1251"/>
      <c r="BMM96" s="1251"/>
      <c r="BMN96" s="1251"/>
      <c r="BMO96" s="1251"/>
      <c r="BMP96" s="1251"/>
      <c r="BMQ96" s="1251"/>
      <c r="BMR96" s="1251"/>
      <c r="BMS96" s="1251"/>
      <c r="BMT96" s="1251"/>
      <c r="BMU96" s="1251"/>
      <c r="BMV96" s="1251"/>
      <c r="BMW96" s="1251"/>
      <c r="BMX96" s="1251"/>
      <c r="BMY96" s="1251"/>
      <c r="BMZ96" s="1251"/>
      <c r="BNA96" s="1251"/>
      <c r="BNB96" s="1251"/>
      <c r="BNC96" s="1251"/>
      <c r="BND96" s="1251"/>
      <c r="BNE96" s="1251"/>
      <c r="BNF96" s="1251"/>
      <c r="BNG96" s="1251"/>
      <c r="BNH96" s="1251"/>
      <c r="BNI96" s="1251"/>
      <c r="BNJ96" s="1251"/>
      <c r="BNK96" s="1251"/>
      <c r="BNL96" s="1251"/>
      <c r="BNM96" s="1251"/>
      <c r="BNN96" s="1251"/>
      <c r="BNO96" s="1251"/>
      <c r="BNP96" s="1251"/>
      <c r="BNQ96" s="1251"/>
      <c r="BNR96" s="1251"/>
      <c r="BNS96" s="1251"/>
      <c r="BNT96" s="1251"/>
      <c r="BNU96" s="1251"/>
      <c r="BNV96" s="1251"/>
      <c r="BNW96" s="1251"/>
      <c r="BNX96" s="1251"/>
      <c r="BNY96" s="1251"/>
      <c r="BNZ96" s="1251"/>
      <c r="BOA96" s="1251"/>
      <c r="BOB96" s="1251"/>
      <c r="BOC96" s="1251"/>
      <c r="BOD96" s="1251"/>
      <c r="BOE96" s="1251"/>
      <c r="BOF96" s="1251"/>
      <c r="BOG96" s="1251"/>
      <c r="BOH96" s="1251"/>
      <c r="BOI96" s="1251"/>
      <c r="BOJ96" s="1251"/>
      <c r="BOK96" s="1251"/>
      <c r="BOL96" s="1251"/>
      <c r="BOM96" s="1251"/>
      <c r="BON96" s="1251"/>
      <c r="BOO96" s="1251"/>
      <c r="BOP96" s="1251"/>
      <c r="BOQ96" s="1251"/>
      <c r="BOR96" s="1251"/>
      <c r="BOS96" s="1251"/>
      <c r="BOT96" s="1251"/>
      <c r="BOU96" s="1251"/>
      <c r="BOV96" s="1251"/>
      <c r="BOW96" s="1251"/>
      <c r="BOX96" s="1251"/>
      <c r="BOY96" s="1251"/>
      <c r="BOZ96" s="1251"/>
      <c r="BPA96" s="1251"/>
      <c r="BPB96" s="1251"/>
      <c r="BPC96" s="1251"/>
      <c r="BPD96" s="1251"/>
      <c r="BPE96" s="1251"/>
      <c r="BPF96" s="1251"/>
      <c r="BPG96" s="1251"/>
      <c r="BPH96" s="1251"/>
      <c r="BPI96" s="1251"/>
      <c r="BPJ96" s="1251"/>
      <c r="BPK96" s="1251"/>
      <c r="BPL96" s="1251"/>
      <c r="BPM96" s="1251"/>
      <c r="BPN96" s="1251"/>
      <c r="BPO96" s="1251"/>
      <c r="BPP96" s="1251"/>
      <c r="BPQ96" s="1251"/>
      <c r="BPR96" s="1251"/>
      <c r="BPS96" s="1251"/>
      <c r="BPT96" s="1251"/>
      <c r="BPU96" s="1251"/>
      <c r="BPV96" s="1251"/>
      <c r="BPW96" s="1251"/>
      <c r="BPX96" s="1251"/>
      <c r="BPY96" s="1251"/>
      <c r="BPZ96" s="1251"/>
      <c r="BQA96" s="1251"/>
      <c r="BQB96" s="1251"/>
      <c r="BQC96" s="1251"/>
      <c r="BQD96" s="1251"/>
      <c r="BQE96" s="1251"/>
      <c r="BQF96" s="1251"/>
      <c r="BQG96" s="1251"/>
      <c r="BQH96" s="1251"/>
      <c r="BQI96" s="1251"/>
      <c r="BQJ96" s="1251"/>
      <c r="BQK96" s="1251"/>
      <c r="BQL96" s="1251"/>
      <c r="BQM96" s="1251"/>
      <c r="BQN96" s="1251"/>
      <c r="BQO96" s="1251"/>
      <c r="BQP96" s="1251"/>
      <c r="BQQ96" s="1251"/>
      <c r="BQR96" s="1251"/>
      <c r="BQS96" s="1251"/>
      <c r="BQT96" s="1251"/>
      <c r="BQU96" s="1251"/>
      <c r="BQV96" s="1251"/>
      <c r="BQW96" s="1251"/>
      <c r="BQX96" s="1251"/>
      <c r="BQY96" s="1251"/>
      <c r="BQZ96" s="1251"/>
      <c r="BRA96" s="1251"/>
      <c r="BRB96" s="1251"/>
      <c r="BRC96" s="1251"/>
      <c r="BRD96" s="1251"/>
      <c r="BRE96" s="1251"/>
      <c r="BRF96" s="1251"/>
      <c r="BRG96" s="1251"/>
      <c r="BRH96" s="1251"/>
      <c r="BRI96" s="1251"/>
      <c r="BRJ96" s="1251"/>
      <c r="BRK96" s="1251"/>
      <c r="BRL96" s="1251"/>
      <c r="BRM96" s="1251"/>
      <c r="BRN96" s="1251"/>
      <c r="BRO96" s="1251"/>
      <c r="BRP96" s="1251"/>
      <c r="BRQ96" s="1251"/>
      <c r="BRR96" s="1251"/>
      <c r="BRS96" s="1251"/>
      <c r="BRT96" s="1251"/>
      <c r="BRU96" s="1251"/>
      <c r="BRV96" s="1251"/>
      <c r="BRW96" s="1251"/>
      <c r="BRX96" s="1251"/>
      <c r="BRY96" s="1251"/>
      <c r="BRZ96" s="1251"/>
      <c r="BSA96" s="1251"/>
      <c r="BSB96" s="1251"/>
      <c r="BSC96" s="1251"/>
      <c r="BSD96" s="1251"/>
      <c r="BSE96" s="1251"/>
      <c r="BSF96" s="1251"/>
      <c r="BSG96" s="1251"/>
      <c r="BSH96" s="1251"/>
      <c r="BSI96" s="1251"/>
      <c r="BSJ96" s="1251"/>
      <c r="BSK96" s="1251"/>
      <c r="BSL96" s="1251"/>
      <c r="BSM96" s="1251"/>
      <c r="BSN96" s="1251"/>
      <c r="BSO96" s="1251"/>
      <c r="BSP96" s="1251"/>
      <c r="BSQ96" s="1251"/>
      <c r="BSR96" s="1251"/>
      <c r="BSS96" s="1251"/>
      <c r="BST96" s="1251"/>
      <c r="BSU96" s="1251"/>
      <c r="BSV96" s="1251"/>
      <c r="BSW96" s="1251"/>
      <c r="BSX96" s="1251"/>
      <c r="BSY96" s="1251"/>
      <c r="BSZ96" s="1251"/>
      <c r="BTA96" s="1251"/>
      <c r="BTB96" s="1251"/>
      <c r="BTC96" s="1251"/>
      <c r="BTD96" s="1251"/>
      <c r="BTE96" s="1251"/>
      <c r="BTF96" s="1251"/>
      <c r="BTG96" s="1251"/>
      <c r="BTH96" s="1251"/>
      <c r="BTI96" s="1251"/>
    </row>
    <row r="97" spans="1:1881" s="1261" customFormat="1" ht="115.5" hidden="1" customHeight="1" thickBot="1" x14ac:dyDescent="0.35">
      <c r="A97" s="1248">
        <v>588</v>
      </c>
      <c r="B97" s="635" t="s">
        <v>1272</v>
      </c>
      <c r="C97" s="635" t="s">
        <v>1273</v>
      </c>
      <c r="D97" s="24" t="s">
        <v>1379</v>
      </c>
      <c r="E97" s="1249" t="e">
        <f>HLOOKUP($D$2,'2020 Data(H)'!$C$1:$CZ$426,238,FALSE)</f>
        <v>#N/A</v>
      </c>
      <c r="F97" s="1263">
        <v>0</v>
      </c>
      <c r="G97" s="727"/>
      <c r="H97" s="730"/>
      <c r="I97" s="760"/>
      <c r="J97" s="1251"/>
      <c r="K97" s="1251"/>
      <c r="L97" s="701"/>
      <c r="M97" s="1251"/>
      <c r="N97" s="1253"/>
      <c r="O97" s="1251"/>
      <c r="P97" s="1251"/>
      <c r="Q97" s="1251"/>
      <c r="R97" s="1251"/>
      <c r="S97" s="1251"/>
      <c r="T97" s="1251"/>
      <c r="U97" s="1251"/>
      <c r="V97" s="1251"/>
      <c r="W97" s="1251"/>
      <c r="X97" s="1251"/>
      <c r="Y97" s="1251"/>
      <c r="Z97" s="1248"/>
      <c r="AA97" s="1248"/>
      <c r="AB97" s="1248"/>
      <c r="AC97" s="1248"/>
      <c r="AD97" s="1248"/>
      <c r="AE97" s="1248"/>
      <c r="AF97" s="1248"/>
      <c r="AG97" s="1248"/>
      <c r="AH97" s="1248"/>
      <c r="AI97" s="1248"/>
      <c r="AJ97" s="1248"/>
      <c r="AK97" s="1248"/>
      <c r="AL97" s="1248"/>
      <c r="AM97" s="1248"/>
      <c r="AN97" s="1248"/>
      <c r="AO97" s="1248"/>
      <c r="AP97" s="1248"/>
      <c r="AQ97" s="1248"/>
      <c r="AR97" s="1248"/>
      <c r="AS97" s="1251"/>
      <c r="AT97" s="1251"/>
      <c r="AU97" s="1251"/>
      <c r="AV97" s="1251"/>
      <c r="AW97" s="1251"/>
      <c r="AX97" s="1251"/>
      <c r="AY97" s="1251"/>
      <c r="AZ97" s="1251"/>
      <c r="BA97" s="1251"/>
      <c r="BB97" s="1251"/>
      <c r="BC97" s="1251"/>
      <c r="BD97" s="1251"/>
      <c r="BE97" s="1251"/>
      <c r="BF97" s="1251"/>
      <c r="BG97" s="1251"/>
      <c r="BH97" s="1251"/>
      <c r="BI97" s="1251"/>
      <c r="BJ97" s="1251"/>
      <c r="BK97" s="1251"/>
      <c r="BL97" s="1251"/>
      <c r="BM97" s="1251"/>
      <c r="BN97" s="1251"/>
      <c r="BO97" s="1251"/>
      <c r="BP97" s="1251"/>
      <c r="BQ97" s="1251"/>
      <c r="BR97" s="1251"/>
      <c r="BS97" s="1251"/>
      <c r="BT97" s="1251"/>
      <c r="BU97" s="1251"/>
      <c r="BV97" s="1251"/>
      <c r="BW97" s="1251"/>
      <c r="BX97" s="1251"/>
      <c r="BY97" s="1251"/>
      <c r="BZ97" s="1251"/>
      <c r="CA97" s="1251"/>
      <c r="CB97" s="1251"/>
      <c r="CC97" s="1251"/>
      <c r="CD97" s="1251"/>
      <c r="CE97" s="1251"/>
      <c r="CF97" s="1251"/>
      <c r="CG97" s="1251"/>
      <c r="CH97" s="1251"/>
      <c r="CI97" s="1251"/>
      <c r="CJ97" s="1251"/>
      <c r="CK97" s="1251"/>
      <c r="CL97" s="1251"/>
      <c r="CM97" s="1251"/>
      <c r="CN97" s="1251"/>
      <c r="CO97" s="1251"/>
      <c r="CP97" s="1251"/>
      <c r="CQ97" s="1251"/>
      <c r="CR97" s="1251"/>
      <c r="CS97" s="1251"/>
      <c r="CT97" s="1251"/>
      <c r="CU97" s="1251"/>
      <c r="CV97" s="1251"/>
      <c r="CW97" s="1251"/>
      <c r="CX97" s="1251"/>
      <c r="CY97" s="1251"/>
      <c r="CZ97" s="1251"/>
      <c r="DA97" s="1251"/>
      <c r="DB97" s="1251"/>
      <c r="DC97" s="1251"/>
      <c r="DD97" s="1251"/>
      <c r="DE97" s="1251"/>
      <c r="DF97" s="1251"/>
      <c r="DG97" s="1251"/>
      <c r="DH97" s="1251"/>
      <c r="DI97" s="1251"/>
      <c r="DJ97" s="1251"/>
      <c r="DK97" s="1251"/>
      <c r="DL97" s="1251"/>
      <c r="DM97" s="1251"/>
      <c r="DN97" s="1251"/>
      <c r="DO97" s="1251"/>
      <c r="DP97" s="1251"/>
      <c r="DQ97" s="1251"/>
      <c r="DR97" s="1251"/>
      <c r="DS97" s="1251"/>
      <c r="DT97" s="1251"/>
      <c r="DU97" s="1251"/>
      <c r="DV97" s="1251"/>
      <c r="DW97" s="1251"/>
      <c r="DX97" s="1251"/>
      <c r="DY97" s="1251"/>
      <c r="DZ97" s="1251"/>
      <c r="EA97" s="1251"/>
      <c r="EB97" s="1251"/>
      <c r="EC97" s="1251"/>
      <c r="ED97" s="1251"/>
      <c r="EE97" s="1251"/>
      <c r="EF97" s="1251"/>
      <c r="EG97" s="1251"/>
      <c r="EH97" s="1251"/>
      <c r="EI97" s="1251"/>
      <c r="EJ97" s="1251"/>
      <c r="EK97" s="1251"/>
      <c r="EL97" s="1251"/>
      <c r="EM97" s="1251"/>
      <c r="EN97" s="1251"/>
      <c r="EO97" s="1251"/>
      <c r="EP97" s="1251"/>
      <c r="EQ97" s="1251"/>
      <c r="ER97" s="1251"/>
      <c r="ES97" s="1251"/>
      <c r="ET97" s="1251"/>
      <c r="EU97" s="1251"/>
      <c r="EV97" s="1251"/>
      <c r="EW97" s="1251"/>
      <c r="EX97" s="1251"/>
      <c r="EY97" s="1251"/>
      <c r="EZ97" s="1251"/>
      <c r="FA97" s="1251"/>
      <c r="FB97" s="1251"/>
      <c r="FC97" s="1251"/>
      <c r="FD97" s="1251"/>
      <c r="FE97" s="1251"/>
      <c r="FF97" s="1251"/>
      <c r="FG97" s="1251"/>
      <c r="FH97" s="1251"/>
      <c r="FI97" s="1251"/>
      <c r="FJ97" s="1251"/>
      <c r="FK97" s="1251"/>
      <c r="FL97" s="1251"/>
      <c r="FM97" s="1251"/>
      <c r="FN97" s="1251"/>
      <c r="FO97" s="1251"/>
      <c r="FP97" s="1251"/>
      <c r="FQ97" s="1251"/>
      <c r="FR97" s="1251"/>
      <c r="FS97" s="1251"/>
      <c r="FT97" s="1251"/>
      <c r="FU97" s="1251"/>
      <c r="FV97" s="1251"/>
      <c r="FW97" s="1251"/>
      <c r="FX97" s="1251"/>
      <c r="FY97" s="1251"/>
      <c r="FZ97" s="1251"/>
      <c r="GA97" s="1251"/>
      <c r="GB97" s="1251"/>
      <c r="GC97" s="1251"/>
      <c r="GD97" s="1251"/>
      <c r="GE97" s="1251"/>
      <c r="GF97" s="1251"/>
      <c r="GG97" s="1251"/>
      <c r="GH97" s="1251"/>
      <c r="GI97" s="1251"/>
      <c r="GJ97" s="1251"/>
      <c r="GK97" s="1251"/>
      <c r="GL97" s="1251"/>
      <c r="GM97" s="1251"/>
      <c r="GN97" s="1251"/>
      <c r="GO97" s="1251"/>
      <c r="GP97" s="1251"/>
      <c r="GQ97" s="1251"/>
      <c r="GR97" s="1251"/>
      <c r="GS97" s="1251"/>
      <c r="GT97" s="1251"/>
      <c r="GU97" s="1251"/>
      <c r="GV97" s="1251"/>
      <c r="GW97" s="1251"/>
      <c r="GX97" s="1251"/>
      <c r="GY97" s="1251"/>
      <c r="GZ97" s="1251"/>
      <c r="HA97" s="1251"/>
      <c r="HB97" s="1251"/>
      <c r="HC97" s="1251"/>
      <c r="HD97" s="1251"/>
      <c r="HE97" s="1251"/>
      <c r="HF97" s="1251"/>
      <c r="HG97" s="1251"/>
      <c r="HH97" s="1251"/>
      <c r="HI97" s="1251"/>
      <c r="HJ97" s="1251"/>
      <c r="HK97" s="1251"/>
      <c r="HL97" s="1251"/>
      <c r="HM97" s="1251"/>
      <c r="HN97" s="1251"/>
      <c r="HO97" s="1251"/>
      <c r="HP97" s="1251"/>
      <c r="HQ97" s="1251"/>
      <c r="HR97" s="1251"/>
      <c r="HS97" s="1251"/>
      <c r="HT97" s="1251"/>
      <c r="HU97" s="1251"/>
      <c r="HV97" s="1251"/>
      <c r="HW97" s="1251"/>
      <c r="HX97" s="1251"/>
      <c r="HY97" s="1251"/>
      <c r="HZ97" s="1251"/>
      <c r="IA97" s="1251"/>
      <c r="IB97" s="1251"/>
      <c r="IC97" s="1251"/>
      <c r="ID97" s="1251"/>
      <c r="IE97" s="1251"/>
      <c r="IF97" s="1251"/>
      <c r="IG97" s="1251"/>
      <c r="IH97" s="1251"/>
      <c r="II97" s="1251"/>
      <c r="IJ97" s="1251"/>
      <c r="IK97" s="1251"/>
      <c r="IL97" s="1251"/>
      <c r="IM97" s="1251"/>
      <c r="IN97" s="1251"/>
      <c r="IO97" s="1251"/>
      <c r="IP97" s="1251"/>
      <c r="IQ97" s="1251"/>
      <c r="IR97" s="1251"/>
      <c r="IS97" s="1251"/>
      <c r="IT97" s="1251"/>
      <c r="IU97" s="1251"/>
      <c r="IV97" s="1251"/>
      <c r="IW97" s="1251"/>
      <c r="IX97" s="1251"/>
      <c r="IY97" s="1251"/>
      <c r="IZ97" s="1251"/>
      <c r="JA97" s="1251"/>
      <c r="JB97" s="1251"/>
      <c r="JC97" s="1251"/>
      <c r="JD97" s="1251"/>
      <c r="JE97" s="1251"/>
      <c r="JF97" s="1251"/>
      <c r="JG97" s="1251"/>
      <c r="JH97" s="1251"/>
      <c r="JI97" s="1251"/>
      <c r="JJ97" s="1251"/>
      <c r="JK97" s="1251"/>
      <c r="JL97" s="1251"/>
      <c r="JM97" s="1251"/>
      <c r="JN97" s="1251"/>
      <c r="JO97" s="1251"/>
      <c r="JP97" s="1251"/>
      <c r="JQ97" s="1251"/>
      <c r="JR97" s="1251"/>
      <c r="JS97" s="1251"/>
      <c r="JT97" s="1251"/>
      <c r="JU97" s="1251"/>
      <c r="JV97" s="1251"/>
      <c r="JW97" s="1251"/>
      <c r="JX97" s="1251"/>
      <c r="JY97" s="1251"/>
      <c r="JZ97" s="1251"/>
      <c r="KA97" s="1251"/>
      <c r="KB97" s="1251"/>
      <c r="KC97" s="1251"/>
      <c r="KD97" s="1251"/>
      <c r="KE97" s="1251"/>
      <c r="KF97" s="1251"/>
      <c r="KG97" s="1251"/>
      <c r="KH97" s="1251"/>
      <c r="KI97" s="1251"/>
      <c r="KJ97" s="1251"/>
      <c r="KK97" s="1251"/>
      <c r="KL97" s="1251"/>
      <c r="KM97" s="1251"/>
      <c r="KN97" s="1251"/>
      <c r="KO97" s="1251"/>
      <c r="KP97" s="1251"/>
      <c r="KQ97" s="1251"/>
      <c r="KR97" s="1251"/>
      <c r="KS97" s="1251"/>
      <c r="KT97" s="1251"/>
      <c r="KU97" s="1251"/>
      <c r="KV97" s="1251"/>
      <c r="KW97" s="1251"/>
      <c r="KX97" s="1251"/>
      <c r="KY97" s="1251"/>
      <c r="KZ97" s="1251"/>
      <c r="LA97" s="1251"/>
      <c r="LB97" s="1251"/>
      <c r="LC97" s="1251"/>
      <c r="LD97" s="1251"/>
      <c r="LE97" s="1251"/>
      <c r="LF97" s="1251"/>
      <c r="LG97" s="1251"/>
      <c r="LH97" s="1251"/>
      <c r="LI97" s="1251"/>
      <c r="LJ97" s="1251"/>
      <c r="LK97" s="1251"/>
      <c r="LL97" s="1251"/>
      <c r="LM97" s="1251"/>
      <c r="LN97" s="1251"/>
      <c r="LO97" s="1251"/>
      <c r="LP97" s="1251"/>
      <c r="LQ97" s="1251"/>
      <c r="LR97" s="1251"/>
      <c r="LS97" s="1251"/>
      <c r="LT97" s="1251"/>
      <c r="LU97" s="1251"/>
      <c r="LV97" s="1251"/>
      <c r="LW97" s="1251"/>
      <c r="LX97" s="1251"/>
      <c r="LY97" s="1251"/>
      <c r="LZ97" s="1251"/>
      <c r="MA97" s="1251"/>
      <c r="MB97" s="1251"/>
      <c r="MC97" s="1251"/>
      <c r="MD97" s="1251"/>
      <c r="ME97" s="1251"/>
      <c r="MF97" s="1251"/>
      <c r="MG97" s="1251"/>
      <c r="MH97" s="1251"/>
      <c r="MI97" s="1251"/>
      <c r="MJ97" s="1251"/>
      <c r="MK97" s="1251"/>
      <c r="ML97" s="1251"/>
      <c r="MM97" s="1251"/>
      <c r="MN97" s="1251"/>
      <c r="MO97" s="1251"/>
      <c r="MP97" s="1251"/>
      <c r="MQ97" s="1251"/>
      <c r="MR97" s="1251"/>
      <c r="MS97" s="1251"/>
      <c r="MT97" s="1251"/>
      <c r="MU97" s="1251"/>
      <c r="MV97" s="1251"/>
      <c r="MW97" s="1251"/>
      <c r="MX97" s="1251"/>
      <c r="MY97" s="1251"/>
      <c r="MZ97" s="1251"/>
      <c r="NA97" s="1251"/>
      <c r="NB97" s="1251"/>
      <c r="NC97" s="1251"/>
      <c r="ND97" s="1251"/>
      <c r="NE97" s="1251"/>
      <c r="NF97" s="1251"/>
      <c r="NG97" s="1251"/>
      <c r="NH97" s="1251"/>
      <c r="NI97" s="1251"/>
      <c r="NJ97" s="1251"/>
      <c r="NK97" s="1251"/>
      <c r="NL97" s="1251"/>
      <c r="NM97" s="1251"/>
      <c r="NN97" s="1251"/>
      <c r="NO97" s="1251"/>
      <c r="NP97" s="1251"/>
      <c r="NQ97" s="1251"/>
      <c r="NR97" s="1251"/>
      <c r="NS97" s="1251"/>
      <c r="NT97" s="1251"/>
      <c r="NU97" s="1251"/>
      <c r="NV97" s="1251"/>
      <c r="NW97" s="1251"/>
      <c r="NX97" s="1251"/>
      <c r="NY97" s="1251"/>
      <c r="NZ97" s="1251"/>
      <c r="OA97" s="1251"/>
      <c r="OB97" s="1251"/>
      <c r="OC97" s="1251"/>
      <c r="OD97" s="1251"/>
      <c r="OE97" s="1251"/>
      <c r="OF97" s="1251"/>
      <c r="OG97" s="1251"/>
      <c r="OH97" s="1251"/>
      <c r="OI97" s="1251"/>
      <c r="OJ97" s="1251"/>
      <c r="OK97" s="1251"/>
      <c r="OL97" s="1251"/>
      <c r="OM97" s="1251"/>
      <c r="ON97" s="1251"/>
      <c r="OO97" s="1251"/>
      <c r="OP97" s="1251"/>
      <c r="OQ97" s="1251"/>
      <c r="OR97" s="1251"/>
      <c r="OS97" s="1251"/>
      <c r="OT97" s="1251"/>
      <c r="OU97" s="1251"/>
      <c r="OV97" s="1251"/>
      <c r="OW97" s="1251"/>
      <c r="OX97" s="1251"/>
      <c r="OY97" s="1251"/>
      <c r="OZ97" s="1251"/>
      <c r="PA97" s="1251"/>
      <c r="PB97" s="1251"/>
      <c r="PC97" s="1251"/>
      <c r="PD97" s="1251"/>
      <c r="PE97" s="1251"/>
      <c r="PF97" s="1251"/>
      <c r="PG97" s="1251"/>
      <c r="PH97" s="1251"/>
      <c r="PI97" s="1251"/>
      <c r="PJ97" s="1251"/>
      <c r="PK97" s="1251"/>
      <c r="PL97" s="1251"/>
      <c r="PM97" s="1251"/>
      <c r="PN97" s="1251"/>
      <c r="PO97" s="1251"/>
      <c r="PP97" s="1251"/>
      <c r="PQ97" s="1251"/>
      <c r="PR97" s="1251"/>
      <c r="PS97" s="1251"/>
      <c r="PT97" s="1251"/>
      <c r="PU97" s="1251"/>
      <c r="PV97" s="1251"/>
      <c r="PW97" s="1251"/>
      <c r="PX97" s="1251"/>
      <c r="PY97" s="1251"/>
      <c r="PZ97" s="1251"/>
      <c r="QA97" s="1251"/>
      <c r="QB97" s="1251"/>
      <c r="QC97" s="1251"/>
      <c r="QD97" s="1251"/>
      <c r="QE97" s="1251"/>
      <c r="QF97" s="1251"/>
      <c r="QG97" s="1251"/>
      <c r="QH97" s="1251"/>
      <c r="QI97" s="1251"/>
      <c r="QJ97" s="1251"/>
      <c r="QK97" s="1251"/>
      <c r="QL97" s="1251"/>
      <c r="QM97" s="1251"/>
      <c r="QN97" s="1251"/>
      <c r="QO97" s="1251"/>
      <c r="QP97" s="1251"/>
      <c r="QQ97" s="1251"/>
      <c r="QR97" s="1251"/>
      <c r="QS97" s="1251"/>
      <c r="QT97" s="1251"/>
      <c r="QU97" s="1251"/>
      <c r="QV97" s="1251"/>
      <c r="QW97" s="1251"/>
      <c r="QX97" s="1251"/>
      <c r="QY97" s="1251"/>
      <c r="QZ97" s="1251"/>
      <c r="RA97" s="1251"/>
      <c r="RB97" s="1251"/>
      <c r="RC97" s="1251"/>
      <c r="RD97" s="1251"/>
      <c r="RE97" s="1251"/>
      <c r="RF97" s="1251"/>
      <c r="RG97" s="1251"/>
      <c r="RH97" s="1251"/>
      <c r="RI97" s="1251"/>
      <c r="RJ97" s="1251"/>
      <c r="RK97" s="1251"/>
      <c r="RL97" s="1251"/>
      <c r="RM97" s="1251"/>
      <c r="RN97" s="1251"/>
      <c r="RO97" s="1251"/>
      <c r="RP97" s="1251"/>
      <c r="RQ97" s="1251"/>
      <c r="RR97" s="1251"/>
      <c r="RS97" s="1251"/>
      <c r="RT97" s="1251"/>
      <c r="RU97" s="1251"/>
      <c r="RV97" s="1251"/>
      <c r="RW97" s="1251"/>
      <c r="RX97" s="1251"/>
      <c r="RY97" s="1251"/>
      <c r="RZ97" s="1251"/>
      <c r="SA97" s="1251"/>
      <c r="SB97" s="1251"/>
      <c r="SC97" s="1251"/>
      <c r="SD97" s="1251"/>
      <c r="SE97" s="1251"/>
      <c r="SF97" s="1251"/>
      <c r="SG97" s="1251"/>
      <c r="SH97" s="1251"/>
      <c r="SI97" s="1251"/>
      <c r="SJ97" s="1251"/>
      <c r="SK97" s="1251"/>
      <c r="SL97" s="1251"/>
      <c r="SM97" s="1251"/>
      <c r="SN97" s="1251"/>
      <c r="SO97" s="1251"/>
      <c r="SP97" s="1251"/>
      <c r="SQ97" s="1251"/>
      <c r="SR97" s="1251"/>
      <c r="SS97" s="1251"/>
      <c r="ST97" s="1251"/>
      <c r="SU97" s="1251"/>
      <c r="SV97" s="1251"/>
      <c r="SW97" s="1251"/>
      <c r="SX97" s="1251"/>
      <c r="SY97" s="1251"/>
      <c r="SZ97" s="1251"/>
      <c r="TA97" s="1251"/>
      <c r="TB97" s="1251"/>
      <c r="TC97" s="1251"/>
      <c r="TD97" s="1251"/>
      <c r="TE97" s="1251"/>
      <c r="TF97" s="1251"/>
      <c r="TG97" s="1251"/>
      <c r="TH97" s="1251"/>
      <c r="TI97" s="1251"/>
      <c r="TJ97" s="1251"/>
      <c r="TK97" s="1251"/>
      <c r="TL97" s="1251"/>
      <c r="TM97" s="1251"/>
      <c r="TN97" s="1251"/>
      <c r="TO97" s="1251"/>
      <c r="TP97" s="1251"/>
      <c r="TQ97" s="1251"/>
      <c r="TR97" s="1251"/>
      <c r="TS97" s="1251"/>
      <c r="TT97" s="1251"/>
      <c r="TU97" s="1251"/>
      <c r="TV97" s="1251"/>
      <c r="TW97" s="1251"/>
      <c r="TX97" s="1251"/>
      <c r="TY97" s="1251"/>
      <c r="TZ97" s="1251"/>
      <c r="UA97" s="1251"/>
      <c r="UB97" s="1251"/>
      <c r="UC97" s="1251"/>
      <c r="UD97" s="1251"/>
      <c r="UE97" s="1251"/>
      <c r="UF97" s="1251"/>
      <c r="UG97" s="1251"/>
      <c r="UH97" s="1251"/>
      <c r="UI97" s="1251"/>
      <c r="UJ97" s="1251"/>
      <c r="UK97" s="1251"/>
      <c r="UL97" s="1251"/>
      <c r="UM97" s="1251"/>
      <c r="UN97" s="1251"/>
      <c r="UO97" s="1251"/>
      <c r="UP97" s="1251"/>
      <c r="UQ97" s="1251"/>
      <c r="UR97" s="1251"/>
      <c r="US97" s="1251"/>
      <c r="UT97" s="1251"/>
      <c r="UU97" s="1251"/>
      <c r="UV97" s="1251"/>
      <c r="UW97" s="1251"/>
      <c r="UX97" s="1251"/>
      <c r="UY97" s="1251"/>
      <c r="UZ97" s="1251"/>
      <c r="VA97" s="1251"/>
      <c r="VB97" s="1251"/>
      <c r="VC97" s="1251"/>
      <c r="VD97" s="1251"/>
      <c r="VE97" s="1251"/>
      <c r="VF97" s="1251"/>
      <c r="VG97" s="1251"/>
      <c r="VH97" s="1251"/>
      <c r="VI97" s="1251"/>
      <c r="VJ97" s="1251"/>
      <c r="VK97" s="1251"/>
      <c r="VL97" s="1251"/>
      <c r="VM97" s="1251"/>
      <c r="VN97" s="1251"/>
      <c r="VO97" s="1251"/>
      <c r="VP97" s="1251"/>
      <c r="VQ97" s="1251"/>
      <c r="VR97" s="1251"/>
      <c r="VS97" s="1251"/>
      <c r="VT97" s="1251"/>
      <c r="VU97" s="1251"/>
      <c r="VV97" s="1251"/>
      <c r="VW97" s="1251"/>
      <c r="VX97" s="1251"/>
      <c r="VY97" s="1251"/>
      <c r="VZ97" s="1251"/>
      <c r="WA97" s="1251"/>
      <c r="WB97" s="1251"/>
      <c r="WC97" s="1251"/>
      <c r="WD97" s="1251"/>
      <c r="WE97" s="1251"/>
      <c r="WF97" s="1251"/>
      <c r="WG97" s="1251"/>
      <c r="WH97" s="1251"/>
      <c r="WI97" s="1251"/>
      <c r="WJ97" s="1251"/>
      <c r="WK97" s="1251"/>
      <c r="WL97" s="1251"/>
      <c r="WM97" s="1251"/>
      <c r="WN97" s="1251"/>
      <c r="WO97" s="1251"/>
      <c r="WP97" s="1251"/>
      <c r="WQ97" s="1251"/>
      <c r="WR97" s="1251"/>
      <c r="WS97" s="1251"/>
      <c r="WT97" s="1251"/>
      <c r="WU97" s="1251"/>
      <c r="WV97" s="1251"/>
      <c r="WW97" s="1251"/>
      <c r="WX97" s="1251"/>
      <c r="WY97" s="1251"/>
      <c r="WZ97" s="1251"/>
      <c r="XA97" s="1251"/>
      <c r="XB97" s="1251"/>
      <c r="XC97" s="1251"/>
      <c r="XD97" s="1251"/>
      <c r="XE97" s="1251"/>
      <c r="XF97" s="1251"/>
      <c r="XG97" s="1251"/>
      <c r="XH97" s="1251"/>
      <c r="XI97" s="1251"/>
      <c r="XJ97" s="1251"/>
      <c r="XK97" s="1251"/>
      <c r="XL97" s="1251"/>
      <c r="XM97" s="1251"/>
      <c r="XN97" s="1251"/>
      <c r="XO97" s="1251"/>
      <c r="XP97" s="1251"/>
      <c r="XQ97" s="1251"/>
      <c r="XR97" s="1251"/>
      <c r="XS97" s="1251"/>
      <c r="XT97" s="1251"/>
      <c r="XU97" s="1251"/>
      <c r="XV97" s="1251"/>
      <c r="XW97" s="1251"/>
      <c r="XX97" s="1251"/>
      <c r="XY97" s="1251"/>
      <c r="XZ97" s="1251"/>
      <c r="YA97" s="1251"/>
      <c r="YB97" s="1251"/>
      <c r="YC97" s="1251"/>
      <c r="YD97" s="1251"/>
      <c r="YE97" s="1251"/>
      <c r="YF97" s="1251"/>
      <c r="YG97" s="1251"/>
      <c r="YH97" s="1251"/>
      <c r="YI97" s="1251"/>
      <c r="YJ97" s="1251"/>
      <c r="YK97" s="1251"/>
      <c r="YL97" s="1251"/>
      <c r="YM97" s="1251"/>
      <c r="YN97" s="1251"/>
      <c r="YO97" s="1251"/>
      <c r="YP97" s="1251"/>
      <c r="YQ97" s="1251"/>
      <c r="YR97" s="1251"/>
      <c r="YS97" s="1251"/>
      <c r="YT97" s="1251"/>
      <c r="YU97" s="1251"/>
      <c r="YV97" s="1251"/>
      <c r="YW97" s="1251"/>
      <c r="YX97" s="1251"/>
      <c r="YY97" s="1251"/>
      <c r="YZ97" s="1251"/>
      <c r="ZA97" s="1251"/>
      <c r="ZB97" s="1251"/>
      <c r="ZC97" s="1251"/>
      <c r="ZD97" s="1251"/>
      <c r="ZE97" s="1251"/>
      <c r="ZF97" s="1251"/>
      <c r="ZG97" s="1251"/>
      <c r="ZH97" s="1251"/>
      <c r="ZI97" s="1251"/>
      <c r="ZJ97" s="1251"/>
      <c r="ZK97" s="1251"/>
      <c r="ZL97" s="1251"/>
      <c r="ZM97" s="1251"/>
      <c r="ZN97" s="1251"/>
      <c r="ZO97" s="1251"/>
      <c r="ZP97" s="1251"/>
      <c r="ZQ97" s="1251"/>
      <c r="ZR97" s="1251"/>
      <c r="ZS97" s="1251"/>
      <c r="ZT97" s="1251"/>
      <c r="ZU97" s="1251"/>
      <c r="ZV97" s="1251"/>
      <c r="ZW97" s="1251"/>
      <c r="ZX97" s="1251"/>
      <c r="ZY97" s="1251"/>
      <c r="ZZ97" s="1251"/>
      <c r="AAA97" s="1251"/>
      <c r="AAB97" s="1251"/>
      <c r="AAC97" s="1251"/>
      <c r="AAD97" s="1251"/>
      <c r="AAE97" s="1251"/>
      <c r="AAF97" s="1251"/>
      <c r="AAG97" s="1251"/>
      <c r="AAH97" s="1251"/>
      <c r="AAI97" s="1251"/>
      <c r="AAJ97" s="1251"/>
      <c r="AAK97" s="1251"/>
      <c r="AAL97" s="1251"/>
      <c r="AAM97" s="1251"/>
      <c r="AAN97" s="1251"/>
      <c r="AAO97" s="1251"/>
      <c r="AAP97" s="1251"/>
      <c r="AAQ97" s="1251"/>
      <c r="AAR97" s="1251"/>
      <c r="AAS97" s="1251"/>
      <c r="AAT97" s="1251"/>
      <c r="AAU97" s="1251"/>
      <c r="AAV97" s="1251"/>
      <c r="AAW97" s="1251"/>
      <c r="AAX97" s="1251"/>
      <c r="AAY97" s="1251"/>
      <c r="AAZ97" s="1251"/>
      <c r="ABA97" s="1251"/>
      <c r="ABB97" s="1251"/>
      <c r="ABC97" s="1251"/>
      <c r="ABD97" s="1251"/>
      <c r="ABE97" s="1251"/>
      <c r="ABF97" s="1251"/>
      <c r="ABG97" s="1251"/>
      <c r="ABH97" s="1251"/>
      <c r="ABI97" s="1251"/>
      <c r="ABJ97" s="1251"/>
      <c r="ABK97" s="1251"/>
      <c r="ABL97" s="1251"/>
      <c r="ABM97" s="1251"/>
      <c r="ABN97" s="1251"/>
      <c r="ABO97" s="1251"/>
      <c r="ABP97" s="1251"/>
      <c r="ABQ97" s="1251"/>
      <c r="ABR97" s="1251"/>
      <c r="ABS97" s="1251"/>
      <c r="ABT97" s="1251"/>
      <c r="ABU97" s="1251"/>
      <c r="ABV97" s="1251"/>
      <c r="ABW97" s="1251"/>
      <c r="ABX97" s="1251"/>
      <c r="ABY97" s="1251"/>
      <c r="ABZ97" s="1251"/>
      <c r="ACA97" s="1251"/>
      <c r="ACB97" s="1251"/>
      <c r="ACC97" s="1251"/>
      <c r="ACD97" s="1251"/>
      <c r="ACE97" s="1251"/>
      <c r="ACF97" s="1251"/>
      <c r="ACG97" s="1251"/>
      <c r="ACH97" s="1251"/>
      <c r="ACI97" s="1251"/>
      <c r="ACJ97" s="1251"/>
      <c r="ACK97" s="1251"/>
      <c r="ACL97" s="1251"/>
      <c r="ACM97" s="1251"/>
      <c r="ACN97" s="1251"/>
      <c r="ACO97" s="1251"/>
      <c r="ACP97" s="1251"/>
      <c r="ACQ97" s="1251"/>
      <c r="ACR97" s="1251"/>
      <c r="ACS97" s="1251"/>
      <c r="ACT97" s="1251"/>
      <c r="ACU97" s="1251"/>
      <c r="ACV97" s="1251"/>
      <c r="ACW97" s="1251"/>
      <c r="ACX97" s="1251"/>
      <c r="ACY97" s="1251"/>
      <c r="ACZ97" s="1251"/>
      <c r="ADA97" s="1251"/>
      <c r="ADB97" s="1251"/>
      <c r="ADC97" s="1251"/>
      <c r="ADD97" s="1251"/>
      <c r="ADE97" s="1251"/>
      <c r="ADF97" s="1251"/>
      <c r="ADG97" s="1251"/>
      <c r="ADH97" s="1251"/>
      <c r="ADI97" s="1251"/>
      <c r="ADJ97" s="1251"/>
      <c r="ADK97" s="1251"/>
      <c r="ADL97" s="1251"/>
      <c r="ADM97" s="1251"/>
      <c r="ADN97" s="1251"/>
      <c r="ADO97" s="1251"/>
      <c r="ADP97" s="1251"/>
      <c r="ADQ97" s="1251"/>
      <c r="ADR97" s="1251"/>
      <c r="ADS97" s="1251"/>
      <c r="ADT97" s="1251"/>
      <c r="ADU97" s="1251"/>
      <c r="ADV97" s="1251"/>
      <c r="ADW97" s="1251"/>
      <c r="ADX97" s="1251"/>
      <c r="ADY97" s="1251"/>
      <c r="ADZ97" s="1251"/>
      <c r="AEA97" s="1251"/>
      <c r="AEB97" s="1251"/>
      <c r="AEC97" s="1251"/>
      <c r="AED97" s="1251"/>
      <c r="AEE97" s="1251"/>
      <c r="AEF97" s="1251"/>
      <c r="AEG97" s="1251"/>
      <c r="AEH97" s="1251"/>
      <c r="AEI97" s="1251"/>
      <c r="AEJ97" s="1251"/>
      <c r="AEK97" s="1251"/>
      <c r="AEL97" s="1251"/>
      <c r="AEM97" s="1251"/>
      <c r="AEN97" s="1251"/>
      <c r="AEO97" s="1251"/>
      <c r="AEP97" s="1251"/>
      <c r="AEQ97" s="1251"/>
      <c r="AER97" s="1251"/>
      <c r="AES97" s="1251"/>
      <c r="AET97" s="1251"/>
      <c r="AEU97" s="1251"/>
      <c r="AEV97" s="1251"/>
      <c r="AEW97" s="1251"/>
      <c r="AEX97" s="1251"/>
      <c r="AEY97" s="1251"/>
      <c r="AEZ97" s="1251"/>
      <c r="AFA97" s="1251"/>
      <c r="AFB97" s="1251"/>
      <c r="AFC97" s="1251"/>
      <c r="AFD97" s="1251"/>
      <c r="AFE97" s="1251"/>
      <c r="AFF97" s="1251"/>
      <c r="AFG97" s="1251"/>
      <c r="AFH97" s="1251"/>
      <c r="AFI97" s="1251"/>
      <c r="AFJ97" s="1251"/>
      <c r="AFK97" s="1251"/>
      <c r="AFL97" s="1251"/>
      <c r="AFM97" s="1251"/>
      <c r="AFN97" s="1251"/>
      <c r="AFO97" s="1251"/>
      <c r="AFP97" s="1251"/>
      <c r="AFQ97" s="1251"/>
      <c r="AFR97" s="1251"/>
      <c r="AFS97" s="1251"/>
      <c r="AFT97" s="1251"/>
      <c r="AFU97" s="1251"/>
      <c r="AFV97" s="1251"/>
      <c r="AFW97" s="1251"/>
      <c r="AFX97" s="1251"/>
      <c r="AFY97" s="1251"/>
      <c r="AFZ97" s="1251"/>
      <c r="AGA97" s="1251"/>
      <c r="AGB97" s="1251"/>
      <c r="AGC97" s="1251"/>
      <c r="AGD97" s="1251"/>
      <c r="AGE97" s="1251"/>
      <c r="AGF97" s="1251"/>
      <c r="AGG97" s="1251"/>
      <c r="AGH97" s="1251"/>
      <c r="AGI97" s="1251"/>
      <c r="AGJ97" s="1251"/>
      <c r="AGK97" s="1251"/>
      <c r="AGL97" s="1251"/>
      <c r="AGM97" s="1251"/>
      <c r="AGN97" s="1251"/>
      <c r="AGO97" s="1251"/>
      <c r="AGP97" s="1251"/>
      <c r="AGQ97" s="1251"/>
      <c r="AGR97" s="1251"/>
      <c r="AGS97" s="1251"/>
      <c r="AGT97" s="1251"/>
      <c r="AGU97" s="1251"/>
      <c r="AGV97" s="1251"/>
      <c r="AGW97" s="1251"/>
      <c r="AGX97" s="1251"/>
      <c r="AGY97" s="1251"/>
      <c r="AGZ97" s="1251"/>
      <c r="AHA97" s="1251"/>
      <c r="AHB97" s="1251"/>
      <c r="AHC97" s="1251"/>
      <c r="AHD97" s="1251"/>
      <c r="AHE97" s="1251"/>
      <c r="AHF97" s="1251"/>
      <c r="AHG97" s="1251"/>
      <c r="AHH97" s="1251"/>
      <c r="AHI97" s="1251"/>
      <c r="AHJ97" s="1251"/>
      <c r="AHK97" s="1251"/>
      <c r="AHL97" s="1251"/>
      <c r="AHM97" s="1251"/>
      <c r="AHN97" s="1251"/>
      <c r="AHO97" s="1251"/>
      <c r="AHP97" s="1251"/>
      <c r="AHQ97" s="1251"/>
      <c r="AHR97" s="1251"/>
      <c r="AHS97" s="1251"/>
      <c r="AHT97" s="1251"/>
      <c r="AHU97" s="1251"/>
      <c r="AHV97" s="1251"/>
      <c r="AHW97" s="1251"/>
      <c r="AHX97" s="1251"/>
      <c r="AHY97" s="1251"/>
      <c r="AHZ97" s="1251"/>
      <c r="AIA97" s="1251"/>
      <c r="AIB97" s="1251"/>
      <c r="AIC97" s="1251"/>
      <c r="AID97" s="1251"/>
      <c r="AIE97" s="1251"/>
      <c r="AIF97" s="1251"/>
      <c r="AIG97" s="1251"/>
      <c r="AIH97" s="1251"/>
      <c r="AII97" s="1251"/>
      <c r="AIJ97" s="1251"/>
      <c r="AIK97" s="1251"/>
      <c r="AIL97" s="1251"/>
      <c r="AIM97" s="1251"/>
      <c r="AIN97" s="1251"/>
      <c r="AIO97" s="1251"/>
      <c r="AIP97" s="1251"/>
      <c r="AIQ97" s="1251"/>
      <c r="AIR97" s="1251"/>
      <c r="AIS97" s="1251"/>
      <c r="AIT97" s="1251"/>
      <c r="AIU97" s="1251"/>
      <c r="AIV97" s="1251"/>
      <c r="AIW97" s="1251"/>
      <c r="AIX97" s="1251"/>
      <c r="AIY97" s="1251"/>
      <c r="AIZ97" s="1251"/>
      <c r="AJA97" s="1251"/>
      <c r="AJB97" s="1251"/>
      <c r="AJC97" s="1251"/>
      <c r="AJD97" s="1251"/>
      <c r="AJE97" s="1251"/>
      <c r="AJF97" s="1251"/>
      <c r="AJG97" s="1251"/>
      <c r="AJH97" s="1251"/>
      <c r="AJI97" s="1251"/>
      <c r="AJJ97" s="1251"/>
      <c r="AJK97" s="1251"/>
      <c r="AJL97" s="1251"/>
      <c r="AJM97" s="1251"/>
      <c r="AJN97" s="1251"/>
      <c r="AJO97" s="1251"/>
      <c r="AJP97" s="1251"/>
      <c r="AJQ97" s="1251"/>
      <c r="AJR97" s="1251"/>
      <c r="AJS97" s="1251"/>
      <c r="AJT97" s="1251"/>
      <c r="AJU97" s="1251"/>
      <c r="AJV97" s="1251"/>
      <c r="AJW97" s="1251"/>
      <c r="AJX97" s="1251"/>
      <c r="AJY97" s="1251"/>
      <c r="AJZ97" s="1251"/>
      <c r="AKA97" s="1251"/>
      <c r="AKB97" s="1251"/>
      <c r="AKC97" s="1251"/>
      <c r="AKD97" s="1251"/>
      <c r="AKE97" s="1251"/>
      <c r="AKF97" s="1251"/>
      <c r="AKG97" s="1251"/>
      <c r="AKH97" s="1251"/>
      <c r="AKI97" s="1251"/>
      <c r="AKJ97" s="1251"/>
      <c r="AKK97" s="1251"/>
      <c r="AKL97" s="1251"/>
      <c r="AKM97" s="1251"/>
      <c r="AKN97" s="1251"/>
      <c r="AKO97" s="1251"/>
      <c r="AKP97" s="1251"/>
      <c r="AKQ97" s="1251"/>
      <c r="AKR97" s="1251"/>
      <c r="AKS97" s="1251"/>
      <c r="AKT97" s="1251"/>
      <c r="AKU97" s="1251"/>
      <c r="AKV97" s="1251"/>
      <c r="AKW97" s="1251"/>
      <c r="AKX97" s="1251"/>
      <c r="AKY97" s="1251"/>
      <c r="AKZ97" s="1251"/>
      <c r="ALA97" s="1251"/>
      <c r="ALB97" s="1251"/>
      <c r="ALC97" s="1251"/>
      <c r="ALD97" s="1251"/>
      <c r="ALE97" s="1251"/>
      <c r="ALF97" s="1251"/>
      <c r="ALG97" s="1251"/>
      <c r="ALH97" s="1251"/>
      <c r="ALI97" s="1251"/>
      <c r="ALJ97" s="1251"/>
      <c r="ALK97" s="1251"/>
      <c r="ALL97" s="1251"/>
      <c r="ALM97" s="1251"/>
      <c r="ALN97" s="1251"/>
      <c r="ALO97" s="1251"/>
      <c r="ALP97" s="1251"/>
      <c r="ALQ97" s="1251"/>
      <c r="ALR97" s="1251"/>
      <c r="ALS97" s="1251"/>
      <c r="ALT97" s="1251"/>
      <c r="ALU97" s="1251"/>
      <c r="ALV97" s="1251"/>
      <c r="ALW97" s="1251"/>
      <c r="ALX97" s="1251"/>
      <c r="ALY97" s="1251"/>
      <c r="ALZ97" s="1251"/>
      <c r="AMA97" s="1251"/>
      <c r="AMB97" s="1251"/>
      <c r="AMC97" s="1251"/>
      <c r="AMD97" s="1251"/>
      <c r="AME97" s="1251"/>
      <c r="AMF97" s="1251"/>
      <c r="AMG97" s="1251"/>
      <c r="AMH97" s="1251"/>
      <c r="AMI97" s="1251"/>
      <c r="AMJ97" s="1251"/>
      <c r="AMK97" s="1251"/>
      <c r="AML97" s="1251"/>
      <c r="AMM97" s="1251"/>
      <c r="AMN97" s="1251"/>
      <c r="AMO97" s="1251"/>
      <c r="AMP97" s="1251"/>
      <c r="AMQ97" s="1251"/>
      <c r="AMR97" s="1251"/>
      <c r="AMS97" s="1251"/>
      <c r="AMT97" s="1251"/>
      <c r="AMU97" s="1251"/>
      <c r="AMV97" s="1251"/>
      <c r="AMW97" s="1251"/>
      <c r="AMX97" s="1251"/>
      <c r="AMY97" s="1251"/>
      <c r="AMZ97" s="1251"/>
      <c r="ANA97" s="1251"/>
      <c r="ANB97" s="1251"/>
      <c r="ANC97" s="1251"/>
      <c r="AND97" s="1251"/>
      <c r="ANE97" s="1251"/>
      <c r="ANF97" s="1251"/>
      <c r="ANG97" s="1251"/>
      <c r="ANH97" s="1251"/>
      <c r="ANI97" s="1251"/>
      <c r="ANJ97" s="1251"/>
      <c r="ANK97" s="1251"/>
      <c r="ANL97" s="1251"/>
      <c r="ANM97" s="1251"/>
      <c r="ANN97" s="1251"/>
      <c r="ANO97" s="1251"/>
      <c r="ANP97" s="1251"/>
      <c r="ANQ97" s="1251"/>
      <c r="ANR97" s="1251"/>
      <c r="ANS97" s="1251"/>
      <c r="ANT97" s="1251"/>
      <c r="ANU97" s="1251"/>
      <c r="ANV97" s="1251"/>
      <c r="ANW97" s="1251"/>
      <c r="ANX97" s="1251"/>
      <c r="ANY97" s="1251"/>
      <c r="ANZ97" s="1251"/>
      <c r="AOA97" s="1251"/>
      <c r="AOB97" s="1251"/>
      <c r="AOC97" s="1251"/>
      <c r="AOD97" s="1251"/>
      <c r="AOE97" s="1251"/>
      <c r="AOF97" s="1251"/>
      <c r="AOG97" s="1251"/>
      <c r="AOH97" s="1251"/>
      <c r="AOI97" s="1251"/>
      <c r="AOJ97" s="1251"/>
      <c r="AOK97" s="1251"/>
      <c r="AOL97" s="1251"/>
      <c r="AOM97" s="1251"/>
      <c r="AON97" s="1251"/>
      <c r="AOO97" s="1251"/>
      <c r="AOP97" s="1251"/>
      <c r="AOQ97" s="1251"/>
      <c r="AOR97" s="1251"/>
      <c r="AOS97" s="1251"/>
      <c r="AOT97" s="1251"/>
      <c r="AOU97" s="1251"/>
      <c r="AOV97" s="1251"/>
      <c r="AOW97" s="1251"/>
      <c r="AOX97" s="1251"/>
      <c r="AOY97" s="1251"/>
      <c r="AOZ97" s="1251"/>
      <c r="APA97" s="1251"/>
      <c r="APB97" s="1251"/>
      <c r="APC97" s="1251"/>
      <c r="APD97" s="1251"/>
      <c r="APE97" s="1251"/>
      <c r="APF97" s="1251"/>
      <c r="APG97" s="1251"/>
      <c r="APH97" s="1251"/>
      <c r="API97" s="1251"/>
      <c r="APJ97" s="1251"/>
      <c r="APK97" s="1251"/>
      <c r="APL97" s="1251"/>
      <c r="APM97" s="1251"/>
      <c r="APN97" s="1251"/>
      <c r="APO97" s="1251"/>
      <c r="APP97" s="1251"/>
      <c r="APQ97" s="1251"/>
      <c r="APR97" s="1251"/>
      <c r="APS97" s="1251"/>
      <c r="APT97" s="1251"/>
      <c r="APU97" s="1251"/>
      <c r="APV97" s="1251"/>
      <c r="APW97" s="1251"/>
      <c r="APX97" s="1251"/>
      <c r="APY97" s="1251"/>
      <c r="APZ97" s="1251"/>
      <c r="AQA97" s="1251"/>
      <c r="AQB97" s="1251"/>
      <c r="AQC97" s="1251"/>
      <c r="AQD97" s="1251"/>
      <c r="AQE97" s="1251"/>
      <c r="AQF97" s="1251"/>
      <c r="AQG97" s="1251"/>
      <c r="AQH97" s="1251"/>
      <c r="AQI97" s="1251"/>
      <c r="AQJ97" s="1251"/>
      <c r="AQK97" s="1251"/>
      <c r="AQL97" s="1251"/>
      <c r="AQM97" s="1251"/>
      <c r="AQN97" s="1251"/>
      <c r="AQO97" s="1251"/>
      <c r="AQP97" s="1251"/>
      <c r="AQQ97" s="1251"/>
      <c r="AQR97" s="1251"/>
      <c r="AQS97" s="1251"/>
      <c r="AQT97" s="1251"/>
      <c r="AQU97" s="1251"/>
      <c r="AQV97" s="1251"/>
      <c r="AQW97" s="1251"/>
      <c r="AQX97" s="1251"/>
      <c r="AQY97" s="1251"/>
      <c r="AQZ97" s="1251"/>
      <c r="ARA97" s="1251"/>
      <c r="ARB97" s="1251"/>
      <c r="ARC97" s="1251"/>
      <c r="ARD97" s="1251"/>
      <c r="ARE97" s="1251"/>
      <c r="ARF97" s="1251"/>
      <c r="ARG97" s="1251"/>
      <c r="ARH97" s="1251"/>
      <c r="ARI97" s="1251"/>
      <c r="ARJ97" s="1251"/>
      <c r="ARK97" s="1251"/>
      <c r="ARL97" s="1251"/>
      <c r="ARM97" s="1251"/>
      <c r="ARN97" s="1251"/>
      <c r="ARO97" s="1251"/>
      <c r="ARP97" s="1251"/>
      <c r="ARQ97" s="1251"/>
      <c r="ARR97" s="1251"/>
      <c r="ARS97" s="1251"/>
      <c r="ART97" s="1251"/>
      <c r="ARU97" s="1251"/>
      <c r="ARV97" s="1251"/>
      <c r="ARW97" s="1251"/>
      <c r="ARX97" s="1251"/>
      <c r="ARY97" s="1251"/>
      <c r="ARZ97" s="1251"/>
      <c r="ASA97" s="1251"/>
      <c r="ASB97" s="1251"/>
      <c r="ASC97" s="1251"/>
      <c r="ASD97" s="1251"/>
      <c r="ASE97" s="1251"/>
      <c r="ASF97" s="1251"/>
      <c r="ASG97" s="1251"/>
      <c r="ASH97" s="1251"/>
      <c r="ASI97" s="1251"/>
      <c r="ASJ97" s="1251"/>
      <c r="ASK97" s="1251"/>
      <c r="ASL97" s="1251"/>
      <c r="ASM97" s="1251"/>
      <c r="ASN97" s="1251"/>
      <c r="ASO97" s="1251"/>
      <c r="ASP97" s="1251"/>
      <c r="ASQ97" s="1251"/>
      <c r="ASR97" s="1251"/>
      <c r="ASS97" s="1251"/>
      <c r="AST97" s="1251"/>
      <c r="ASU97" s="1251"/>
      <c r="ASV97" s="1251"/>
      <c r="ASW97" s="1251"/>
      <c r="ASX97" s="1251"/>
      <c r="ASY97" s="1251"/>
      <c r="ASZ97" s="1251"/>
      <c r="ATA97" s="1251"/>
      <c r="ATB97" s="1251"/>
      <c r="ATC97" s="1251"/>
      <c r="ATD97" s="1251"/>
      <c r="ATE97" s="1251"/>
      <c r="ATF97" s="1251"/>
      <c r="ATG97" s="1251"/>
      <c r="ATH97" s="1251"/>
      <c r="ATI97" s="1251"/>
      <c r="ATJ97" s="1251"/>
      <c r="ATK97" s="1251"/>
      <c r="ATL97" s="1251"/>
      <c r="ATM97" s="1251"/>
      <c r="ATN97" s="1251"/>
      <c r="ATO97" s="1251"/>
      <c r="ATP97" s="1251"/>
      <c r="ATQ97" s="1251"/>
      <c r="ATR97" s="1251"/>
      <c r="ATS97" s="1251"/>
      <c r="ATT97" s="1251"/>
      <c r="ATU97" s="1251"/>
      <c r="ATV97" s="1251"/>
      <c r="ATW97" s="1251"/>
      <c r="ATX97" s="1251"/>
      <c r="ATY97" s="1251"/>
      <c r="ATZ97" s="1251"/>
      <c r="AUA97" s="1251"/>
      <c r="AUB97" s="1251"/>
      <c r="AUC97" s="1251"/>
      <c r="AUD97" s="1251"/>
      <c r="AUE97" s="1251"/>
      <c r="AUF97" s="1251"/>
      <c r="AUG97" s="1251"/>
      <c r="AUH97" s="1251"/>
      <c r="AUI97" s="1251"/>
      <c r="AUJ97" s="1251"/>
      <c r="AUK97" s="1251"/>
      <c r="AUL97" s="1251"/>
      <c r="AUM97" s="1251"/>
      <c r="AUN97" s="1251"/>
      <c r="AUO97" s="1251"/>
      <c r="AUP97" s="1251"/>
      <c r="AUQ97" s="1251"/>
      <c r="AUR97" s="1251"/>
      <c r="AUS97" s="1251"/>
      <c r="AUT97" s="1251"/>
      <c r="AUU97" s="1251"/>
      <c r="AUV97" s="1251"/>
      <c r="AUW97" s="1251"/>
      <c r="AUX97" s="1251"/>
      <c r="AUY97" s="1251"/>
      <c r="AUZ97" s="1251"/>
      <c r="AVA97" s="1251"/>
      <c r="AVB97" s="1251"/>
      <c r="AVC97" s="1251"/>
      <c r="AVD97" s="1251"/>
      <c r="AVE97" s="1251"/>
      <c r="AVF97" s="1251"/>
      <c r="AVG97" s="1251"/>
      <c r="AVH97" s="1251"/>
      <c r="AVI97" s="1251"/>
      <c r="AVJ97" s="1251"/>
      <c r="AVK97" s="1251"/>
      <c r="AVL97" s="1251"/>
      <c r="AVM97" s="1251"/>
      <c r="AVN97" s="1251"/>
      <c r="AVO97" s="1251"/>
      <c r="AVP97" s="1251"/>
      <c r="AVQ97" s="1251"/>
      <c r="AVR97" s="1251"/>
      <c r="AVS97" s="1251"/>
      <c r="AVT97" s="1251"/>
      <c r="AVU97" s="1251"/>
      <c r="AVV97" s="1251"/>
      <c r="AVW97" s="1251"/>
      <c r="AVX97" s="1251"/>
      <c r="AVY97" s="1251"/>
      <c r="AVZ97" s="1251"/>
      <c r="AWA97" s="1251"/>
      <c r="AWB97" s="1251"/>
      <c r="AWC97" s="1251"/>
      <c r="AWD97" s="1251"/>
      <c r="AWE97" s="1251"/>
      <c r="AWF97" s="1251"/>
      <c r="AWG97" s="1251"/>
      <c r="AWH97" s="1251"/>
      <c r="AWI97" s="1251"/>
      <c r="AWJ97" s="1251"/>
      <c r="AWK97" s="1251"/>
      <c r="AWL97" s="1251"/>
      <c r="AWM97" s="1251"/>
      <c r="AWN97" s="1251"/>
      <c r="AWO97" s="1251"/>
      <c r="AWP97" s="1251"/>
      <c r="AWQ97" s="1251"/>
      <c r="AWR97" s="1251"/>
      <c r="AWS97" s="1251"/>
      <c r="AWT97" s="1251"/>
      <c r="AWU97" s="1251"/>
      <c r="AWV97" s="1251"/>
      <c r="AWW97" s="1251"/>
      <c r="AWX97" s="1251"/>
      <c r="AWY97" s="1251"/>
      <c r="AWZ97" s="1251"/>
      <c r="AXA97" s="1251"/>
      <c r="AXB97" s="1251"/>
      <c r="AXC97" s="1251"/>
      <c r="AXD97" s="1251"/>
      <c r="AXE97" s="1251"/>
      <c r="AXF97" s="1251"/>
      <c r="AXG97" s="1251"/>
      <c r="AXH97" s="1251"/>
      <c r="AXI97" s="1251"/>
      <c r="AXJ97" s="1251"/>
      <c r="AXK97" s="1251"/>
      <c r="AXL97" s="1251"/>
      <c r="AXM97" s="1251"/>
      <c r="AXN97" s="1251"/>
      <c r="AXO97" s="1251"/>
      <c r="AXP97" s="1251"/>
      <c r="AXQ97" s="1251"/>
      <c r="AXR97" s="1251"/>
      <c r="AXS97" s="1251"/>
      <c r="AXT97" s="1251"/>
      <c r="AXU97" s="1251"/>
      <c r="AXV97" s="1251"/>
      <c r="AXW97" s="1251"/>
      <c r="AXX97" s="1251"/>
      <c r="AXY97" s="1251"/>
      <c r="AXZ97" s="1251"/>
      <c r="AYA97" s="1251"/>
      <c r="AYB97" s="1251"/>
      <c r="AYC97" s="1251"/>
      <c r="AYD97" s="1251"/>
      <c r="AYE97" s="1251"/>
      <c r="AYF97" s="1251"/>
      <c r="AYG97" s="1251"/>
      <c r="AYH97" s="1251"/>
      <c r="AYI97" s="1251"/>
      <c r="AYJ97" s="1251"/>
      <c r="AYK97" s="1251"/>
      <c r="AYL97" s="1251"/>
      <c r="AYM97" s="1251"/>
      <c r="AYN97" s="1251"/>
      <c r="AYO97" s="1251"/>
      <c r="AYP97" s="1251"/>
      <c r="AYQ97" s="1251"/>
      <c r="AYR97" s="1251"/>
      <c r="AYS97" s="1251"/>
      <c r="AYT97" s="1251"/>
      <c r="AYU97" s="1251"/>
      <c r="AYV97" s="1251"/>
      <c r="AYW97" s="1251"/>
      <c r="AYX97" s="1251"/>
      <c r="AYY97" s="1251"/>
      <c r="AYZ97" s="1251"/>
      <c r="AZA97" s="1251"/>
      <c r="AZB97" s="1251"/>
      <c r="AZC97" s="1251"/>
      <c r="AZD97" s="1251"/>
      <c r="AZE97" s="1251"/>
      <c r="AZF97" s="1251"/>
      <c r="AZG97" s="1251"/>
      <c r="AZH97" s="1251"/>
      <c r="AZI97" s="1251"/>
      <c r="AZJ97" s="1251"/>
      <c r="AZK97" s="1251"/>
      <c r="AZL97" s="1251"/>
      <c r="AZM97" s="1251"/>
      <c r="AZN97" s="1251"/>
      <c r="AZO97" s="1251"/>
      <c r="AZP97" s="1251"/>
      <c r="AZQ97" s="1251"/>
      <c r="AZR97" s="1251"/>
      <c r="AZS97" s="1251"/>
      <c r="AZT97" s="1251"/>
      <c r="AZU97" s="1251"/>
      <c r="AZV97" s="1251"/>
      <c r="AZW97" s="1251"/>
      <c r="AZX97" s="1251"/>
      <c r="AZY97" s="1251"/>
      <c r="AZZ97" s="1251"/>
      <c r="BAA97" s="1251"/>
      <c r="BAB97" s="1251"/>
      <c r="BAC97" s="1251"/>
      <c r="BAD97" s="1251"/>
      <c r="BAE97" s="1251"/>
      <c r="BAF97" s="1251"/>
      <c r="BAG97" s="1251"/>
      <c r="BAH97" s="1251"/>
      <c r="BAI97" s="1251"/>
      <c r="BAJ97" s="1251"/>
      <c r="BAK97" s="1251"/>
      <c r="BAL97" s="1251"/>
      <c r="BAM97" s="1251"/>
      <c r="BAN97" s="1251"/>
      <c r="BAO97" s="1251"/>
      <c r="BAP97" s="1251"/>
      <c r="BAQ97" s="1251"/>
      <c r="BAR97" s="1251"/>
      <c r="BAS97" s="1251"/>
      <c r="BAT97" s="1251"/>
      <c r="BAU97" s="1251"/>
      <c r="BAV97" s="1251"/>
      <c r="BAW97" s="1251"/>
      <c r="BAX97" s="1251"/>
      <c r="BAY97" s="1251"/>
      <c r="BAZ97" s="1251"/>
      <c r="BBA97" s="1251"/>
      <c r="BBB97" s="1251"/>
      <c r="BBC97" s="1251"/>
      <c r="BBD97" s="1251"/>
      <c r="BBE97" s="1251"/>
      <c r="BBF97" s="1251"/>
      <c r="BBG97" s="1251"/>
      <c r="BBH97" s="1251"/>
      <c r="BBI97" s="1251"/>
      <c r="BBJ97" s="1251"/>
      <c r="BBK97" s="1251"/>
      <c r="BBL97" s="1251"/>
      <c r="BBM97" s="1251"/>
      <c r="BBN97" s="1251"/>
      <c r="BBO97" s="1251"/>
      <c r="BBP97" s="1251"/>
      <c r="BBQ97" s="1251"/>
      <c r="BBR97" s="1251"/>
      <c r="BBS97" s="1251"/>
      <c r="BBT97" s="1251"/>
      <c r="BBU97" s="1251"/>
      <c r="BBV97" s="1251"/>
      <c r="BBW97" s="1251"/>
      <c r="BBX97" s="1251"/>
      <c r="BBY97" s="1251"/>
      <c r="BBZ97" s="1251"/>
      <c r="BCA97" s="1251"/>
      <c r="BCB97" s="1251"/>
      <c r="BCC97" s="1251"/>
      <c r="BCD97" s="1251"/>
      <c r="BCE97" s="1251"/>
      <c r="BCF97" s="1251"/>
      <c r="BCG97" s="1251"/>
      <c r="BCH97" s="1251"/>
      <c r="BCI97" s="1251"/>
      <c r="BCJ97" s="1251"/>
      <c r="BCK97" s="1251"/>
      <c r="BCL97" s="1251"/>
      <c r="BCM97" s="1251"/>
      <c r="BCN97" s="1251"/>
      <c r="BCO97" s="1251"/>
      <c r="BCP97" s="1251"/>
      <c r="BCQ97" s="1251"/>
      <c r="BCR97" s="1251"/>
      <c r="BCS97" s="1251"/>
      <c r="BCT97" s="1251"/>
      <c r="BCU97" s="1251"/>
      <c r="BCV97" s="1251"/>
      <c r="BCW97" s="1251"/>
      <c r="BCX97" s="1251"/>
      <c r="BCY97" s="1251"/>
      <c r="BCZ97" s="1251"/>
      <c r="BDA97" s="1251"/>
      <c r="BDB97" s="1251"/>
      <c r="BDC97" s="1251"/>
      <c r="BDD97" s="1251"/>
      <c r="BDE97" s="1251"/>
      <c r="BDF97" s="1251"/>
      <c r="BDG97" s="1251"/>
      <c r="BDH97" s="1251"/>
      <c r="BDI97" s="1251"/>
      <c r="BDJ97" s="1251"/>
      <c r="BDK97" s="1251"/>
      <c r="BDL97" s="1251"/>
      <c r="BDM97" s="1251"/>
      <c r="BDN97" s="1251"/>
      <c r="BDO97" s="1251"/>
      <c r="BDP97" s="1251"/>
      <c r="BDQ97" s="1251"/>
      <c r="BDR97" s="1251"/>
      <c r="BDS97" s="1251"/>
      <c r="BDT97" s="1251"/>
      <c r="BDU97" s="1251"/>
      <c r="BDV97" s="1251"/>
      <c r="BDW97" s="1251"/>
      <c r="BDX97" s="1251"/>
      <c r="BDY97" s="1251"/>
      <c r="BDZ97" s="1251"/>
      <c r="BEA97" s="1251"/>
      <c r="BEB97" s="1251"/>
      <c r="BEC97" s="1251"/>
      <c r="BED97" s="1251"/>
      <c r="BEE97" s="1251"/>
      <c r="BEF97" s="1251"/>
      <c r="BEG97" s="1251"/>
      <c r="BEH97" s="1251"/>
      <c r="BEI97" s="1251"/>
      <c r="BEJ97" s="1251"/>
      <c r="BEK97" s="1251"/>
      <c r="BEL97" s="1251"/>
      <c r="BEM97" s="1251"/>
      <c r="BEN97" s="1251"/>
      <c r="BEO97" s="1251"/>
      <c r="BEP97" s="1251"/>
      <c r="BEQ97" s="1251"/>
      <c r="BER97" s="1251"/>
      <c r="BES97" s="1251"/>
      <c r="BET97" s="1251"/>
      <c r="BEU97" s="1251"/>
      <c r="BEV97" s="1251"/>
      <c r="BEW97" s="1251"/>
      <c r="BEX97" s="1251"/>
      <c r="BEY97" s="1251"/>
      <c r="BEZ97" s="1251"/>
      <c r="BFA97" s="1251"/>
      <c r="BFB97" s="1251"/>
      <c r="BFC97" s="1251"/>
      <c r="BFD97" s="1251"/>
      <c r="BFE97" s="1251"/>
      <c r="BFF97" s="1251"/>
      <c r="BFG97" s="1251"/>
      <c r="BFH97" s="1251"/>
      <c r="BFI97" s="1251"/>
      <c r="BFJ97" s="1251"/>
      <c r="BFK97" s="1251"/>
      <c r="BFL97" s="1251"/>
      <c r="BFM97" s="1251"/>
      <c r="BFN97" s="1251"/>
      <c r="BFO97" s="1251"/>
      <c r="BFP97" s="1251"/>
      <c r="BFQ97" s="1251"/>
      <c r="BFR97" s="1251"/>
      <c r="BFS97" s="1251"/>
      <c r="BFT97" s="1251"/>
      <c r="BFU97" s="1251"/>
      <c r="BFV97" s="1251"/>
      <c r="BFW97" s="1251"/>
      <c r="BFX97" s="1251"/>
      <c r="BFY97" s="1251"/>
      <c r="BFZ97" s="1251"/>
      <c r="BGA97" s="1251"/>
      <c r="BGB97" s="1251"/>
      <c r="BGC97" s="1251"/>
      <c r="BGD97" s="1251"/>
      <c r="BGE97" s="1251"/>
      <c r="BGF97" s="1251"/>
      <c r="BGG97" s="1251"/>
      <c r="BGH97" s="1251"/>
      <c r="BGI97" s="1251"/>
      <c r="BGJ97" s="1251"/>
      <c r="BGK97" s="1251"/>
      <c r="BGL97" s="1251"/>
      <c r="BGM97" s="1251"/>
      <c r="BGN97" s="1251"/>
      <c r="BGO97" s="1251"/>
      <c r="BGP97" s="1251"/>
      <c r="BGQ97" s="1251"/>
      <c r="BGR97" s="1251"/>
      <c r="BGS97" s="1251"/>
      <c r="BGT97" s="1251"/>
      <c r="BGU97" s="1251"/>
      <c r="BGV97" s="1251"/>
      <c r="BGW97" s="1251"/>
      <c r="BGX97" s="1251"/>
      <c r="BGY97" s="1251"/>
      <c r="BGZ97" s="1251"/>
      <c r="BHA97" s="1251"/>
      <c r="BHB97" s="1251"/>
      <c r="BHC97" s="1251"/>
      <c r="BHD97" s="1251"/>
      <c r="BHE97" s="1251"/>
      <c r="BHF97" s="1251"/>
      <c r="BHG97" s="1251"/>
      <c r="BHH97" s="1251"/>
      <c r="BHI97" s="1251"/>
      <c r="BHJ97" s="1251"/>
      <c r="BHK97" s="1251"/>
      <c r="BHL97" s="1251"/>
      <c r="BHM97" s="1251"/>
      <c r="BHN97" s="1251"/>
      <c r="BHO97" s="1251"/>
      <c r="BHP97" s="1251"/>
      <c r="BHQ97" s="1251"/>
      <c r="BHR97" s="1251"/>
      <c r="BHS97" s="1251"/>
      <c r="BHT97" s="1251"/>
      <c r="BHU97" s="1251"/>
      <c r="BHV97" s="1251"/>
      <c r="BHW97" s="1251"/>
      <c r="BHX97" s="1251"/>
      <c r="BHY97" s="1251"/>
      <c r="BHZ97" s="1251"/>
      <c r="BIA97" s="1251"/>
      <c r="BIB97" s="1251"/>
      <c r="BIC97" s="1251"/>
      <c r="BID97" s="1251"/>
      <c r="BIE97" s="1251"/>
      <c r="BIF97" s="1251"/>
      <c r="BIG97" s="1251"/>
      <c r="BIH97" s="1251"/>
      <c r="BII97" s="1251"/>
      <c r="BIJ97" s="1251"/>
      <c r="BIK97" s="1251"/>
      <c r="BIL97" s="1251"/>
      <c r="BIM97" s="1251"/>
      <c r="BIN97" s="1251"/>
      <c r="BIO97" s="1251"/>
      <c r="BIP97" s="1251"/>
      <c r="BIQ97" s="1251"/>
      <c r="BIR97" s="1251"/>
      <c r="BIS97" s="1251"/>
      <c r="BIT97" s="1251"/>
      <c r="BIU97" s="1251"/>
      <c r="BIV97" s="1251"/>
      <c r="BIW97" s="1251"/>
      <c r="BIX97" s="1251"/>
      <c r="BIY97" s="1251"/>
      <c r="BIZ97" s="1251"/>
      <c r="BJA97" s="1251"/>
      <c r="BJB97" s="1251"/>
      <c r="BJC97" s="1251"/>
      <c r="BJD97" s="1251"/>
      <c r="BJE97" s="1251"/>
      <c r="BJF97" s="1251"/>
      <c r="BJG97" s="1251"/>
      <c r="BJH97" s="1251"/>
      <c r="BJI97" s="1251"/>
      <c r="BJJ97" s="1251"/>
      <c r="BJK97" s="1251"/>
      <c r="BJL97" s="1251"/>
      <c r="BJM97" s="1251"/>
      <c r="BJN97" s="1251"/>
      <c r="BJO97" s="1251"/>
      <c r="BJP97" s="1251"/>
      <c r="BJQ97" s="1251"/>
      <c r="BJR97" s="1251"/>
      <c r="BJS97" s="1251"/>
      <c r="BJT97" s="1251"/>
      <c r="BJU97" s="1251"/>
      <c r="BJV97" s="1251"/>
      <c r="BJW97" s="1251"/>
      <c r="BJX97" s="1251"/>
      <c r="BJY97" s="1251"/>
      <c r="BJZ97" s="1251"/>
      <c r="BKA97" s="1251"/>
      <c r="BKB97" s="1251"/>
      <c r="BKC97" s="1251"/>
      <c r="BKD97" s="1251"/>
      <c r="BKE97" s="1251"/>
      <c r="BKF97" s="1251"/>
      <c r="BKG97" s="1251"/>
      <c r="BKH97" s="1251"/>
      <c r="BKI97" s="1251"/>
      <c r="BKJ97" s="1251"/>
      <c r="BKK97" s="1251"/>
      <c r="BKL97" s="1251"/>
      <c r="BKM97" s="1251"/>
      <c r="BKN97" s="1251"/>
      <c r="BKO97" s="1251"/>
      <c r="BKP97" s="1251"/>
      <c r="BKQ97" s="1251"/>
      <c r="BKR97" s="1251"/>
      <c r="BKS97" s="1251"/>
      <c r="BKT97" s="1251"/>
      <c r="BKU97" s="1251"/>
      <c r="BKV97" s="1251"/>
      <c r="BKW97" s="1251"/>
      <c r="BKX97" s="1251"/>
      <c r="BKY97" s="1251"/>
      <c r="BKZ97" s="1251"/>
      <c r="BLA97" s="1251"/>
      <c r="BLB97" s="1251"/>
      <c r="BLC97" s="1251"/>
      <c r="BLD97" s="1251"/>
      <c r="BLE97" s="1251"/>
      <c r="BLF97" s="1251"/>
      <c r="BLG97" s="1251"/>
      <c r="BLH97" s="1251"/>
      <c r="BLI97" s="1251"/>
      <c r="BLJ97" s="1251"/>
      <c r="BLK97" s="1251"/>
      <c r="BLL97" s="1251"/>
      <c r="BLM97" s="1251"/>
      <c r="BLN97" s="1251"/>
      <c r="BLO97" s="1251"/>
      <c r="BLP97" s="1251"/>
      <c r="BLQ97" s="1251"/>
      <c r="BLR97" s="1251"/>
      <c r="BLS97" s="1251"/>
      <c r="BLT97" s="1251"/>
      <c r="BLU97" s="1251"/>
      <c r="BLV97" s="1251"/>
      <c r="BLW97" s="1251"/>
      <c r="BLX97" s="1251"/>
      <c r="BLY97" s="1251"/>
      <c r="BLZ97" s="1251"/>
      <c r="BMA97" s="1251"/>
      <c r="BMB97" s="1251"/>
      <c r="BMC97" s="1251"/>
      <c r="BMD97" s="1251"/>
      <c r="BME97" s="1251"/>
      <c r="BMF97" s="1251"/>
      <c r="BMG97" s="1251"/>
      <c r="BMH97" s="1251"/>
      <c r="BMI97" s="1251"/>
      <c r="BMJ97" s="1251"/>
      <c r="BMK97" s="1251"/>
      <c r="BML97" s="1251"/>
      <c r="BMM97" s="1251"/>
      <c r="BMN97" s="1251"/>
      <c r="BMO97" s="1251"/>
      <c r="BMP97" s="1251"/>
      <c r="BMQ97" s="1251"/>
      <c r="BMR97" s="1251"/>
      <c r="BMS97" s="1251"/>
      <c r="BMT97" s="1251"/>
      <c r="BMU97" s="1251"/>
      <c r="BMV97" s="1251"/>
      <c r="BMW97" s="1251"/>
      <c r="BMX97" s="1251"/>
      <c r="BMY97" s="1251"/>
      <c r="BMZ97" s="1251"/>
      <c r="BNA97" s="1251"/>
      <c r="BNB97" s="1251"/>
      <c r="BNC97" s="1251"/>
      <c r="BND97" s="1251"/>
      <c r="BNE97" s="1251"/>
      <c r="BNF97" s="1251"/>
      <c r="BNG97" s="1251"/>
      <c r="BNH97" s="1251"/>
      <c r="BNI97" s="1251"/>
      <c r="BNJ97" s="1251"/>
      <c r="BNK97" s="1251"/>
      <c r="BNL97" s="1251"/>
      <c r="BNM97" s="1251"/>
      <c r="BNN97" s="1251"/>
      <c r="BNO97" s="1251"/>
      <c r="BNP97" s="1251"/>
      <c r="BNQ97" s="1251"/>
      <c r="BNR97" s="1251"/>
      <c r="BNS97" s="1251"/>
      <c r="BNT97" s="1251"/>
      <c r="BNU97" s="1251"/>
      <c r="BNV97" s="1251"/>
      <c r="BNW97" s="1251"/>
      <c r="BNX97" s="1251"/>
      <c r="BNY97" s="1251"/>
      <c r="BNZ97" s="1251"/>
      <c r="BOA97" s="1251"/>
      <c r="BOB97" s="1251"/>
      <c r="BOC97" s="1251"/>
      <c r="BOD97" s="1251"/>
      <c r="BOE97" s="1251"/>
      <c r="BOF97" s="1251"/>
      <c r="BOG97" s="1251"/>
      <c r="BOH97" s="1251"/>
      <c r="BOI97" s="1251"/>
      <c r="BOJ97" s="1251"/>
      <c r="BOK97" s="1251"/>
      <c r="BOL97" s="1251"/>
      <c r="BOM97" s="1251"/>
      <c r="BON97" s="1251"/>
      <c r="BOO97" s="1251"/>
      <c r="BOP97" s="1251"/>
      <c r="BOQ97" s="1251"/>
      <c r="BOR97" s="1251"/>
      <c r="BOS97" s="1251"/>
      <c r="BOT97" s="1251"/>
      <c r="BOU97" s="1251"/>
      <c r="BOV97" s="1251"/>
      <c r="BOW97" s="1251"/>
      <c r="BOX97" s="1251"/>
      <c r="BOY97" s="1251"/>
      <c r="BOZ97" s="1251"/>
      <c r="BPA97" s="1251"/>
      <c r="BPB97" s="1251"/>
      <c r="BPC97" s="1251"/>
      <c r="BPD97" s="1251"/>
      <c r="BPE97" s="1251"/>
      <c r="BPF97" s="1251"/>
      <c r="BPG97" s="1251"/>
      <c r="BPH97" s="1251"/>
      <c r="BPI97" s="1251"/>
      <c r="BPJ97" s="1251"/>
      <c r="BPK97" s="1251"/>
      <c r="BPL97" s="1251"/>
      <c r="BPM97" s="1251"/>
      <c r="BPN97" s="1251"/>
      <c r="BPO97" s="1251"/>
      <c r="BPP97" s="1251"/>
      <c r="BPQ97" s="1251"/>
      <c r="BPR97" s="1251"/>
      <c r="BPS97" s="1251"/>
      <c r="BPT97" s="1251"/>
      <c r="BPU97" s="1251"/>
      <c r="BPV97" s="1251"/>
      <c r="BPW97" s="1251"/>
      <c r="BPX97" s="1251"/>
      <c r="BPY97" s="1251"/>
      <c r="BPZ97" s="1251"/>
      <c r="BQA97" s="1251"/>
      <c r="BQB97" s="1251"/>
      <c r="BQC97" s="1251"/>
      <c r="BQD97" s="1251"/>
      <c r="BQE97" s="1251"/>
      <c r="BQF97" s="1251"/>
      <c r="BQG97" s="1251"/>
      <c r="BQH97" s="1251"/>
      <c r="BQI97" s="1251"/>
      <c r="BQJ97" s="1251"/>
      <c r="BQK97" s="1251"/>
      <c r="BQL97" s="1251"/>
      <c r="BQM97" s="1251"/>
      <c r="BQN97" s="1251"/>
      <c r="BQO97" s="1251"/>
      <c r="BQP97" s="1251"/>
      <c r="BQQ97" s="1251"/>
      <c r="BQR97" s="1251"/>
      <c r="BQS97" s="1251"/>
      <c r="BQT97" s="1251"/>
      <c r="BQU97" s="1251"/>
      <c r="BQV97" s="1251"/>
      <c r="BQW97" s="1251"/>
      <c r="BQX97" s="1251"/>
      <c r="BQY97" s="1251"/>
      <c r="BQZ97" s="1251"/>
      <c r="BRA97" s="1251"/>
      <c r="BRB97" s="1251"/>
      <c r="BRC97" s="1251"/>
      <c r="BRD97" s="1251"/>
      <c r="BRE97" s="1251"/>
      <c r="BRF97" s="1251"/>
      <c r="BRG97" s="1251"/>
      <c r="BRH97" s="1251"/>
      <c r="BRI97" s="1251"/>
      <c r="BRJ97" s="1251"/>
      <c r="BRK97" s="1251"/>
      <c r="BRL97" s="1251"/>
      <c r="BRM97" s="1251"/>
      <c r="BRN97" s="1251"/>
      <c r="BRO97" s="1251"/>
      <c r="BRP97" s="1251"/>
      <c r="BRQ97" s="1251"/>
      <c r="BRR97" s="1251"/>
      <c r="BRS97" s="1251"/>
      <c r="BRT97" s="1251"/>
      <c r="BRU97" s="1251"/>
      <c r="BRV97" s="1251"/>
      <c r="BRW97" s="1251"/>
      <c r="BRX97" s="1251"/>
      <c r="BRY97" s="1251"/>
      <c r="BRZ97" s="1251"/>
      <c r="BSA97" s="1251"/>
      <c r="BSB97" s="1251"/>
      <c r="BSC97" s="1251"/>
      <c r="BSD97" s="1251"/>
      <c r="BSE97" s="1251"/>
      <c r="BSF97" s="1251"/>
      <c r="BSG97" s="1251"/>
      <c r="BSH97" s="1251"/>
      <c r="BSI97" s="1251"/>
      <c r="BSJ97" s="1251"/>
      <c r="BSK97" s="1251"/>
      <c r="BSL97" s="1251"/>
      <c r="BSM97" s="1251"/>
      <c r="BSN97" s="1251"/>
      <c r="BSO97" s="1251"/>
      <c r="BSP97" s="1251"/>
      <c r="BSQ97" s="1251"/>
      <c r="BSR97" s="1251"/>
      <c r="BSS97" s="1251"/>
      <c r="BST97" s="1251"/>
      <c r="BSU97" s="1251"/>
      <c r="BSV97" s="1251"/>
      <c r="BSW97" s="1251"/>
      <c r="BSX97" s="1251"/>
      <c r="BSY97" s="1251"/>
      <c r="BSZ97" s="1251"/>
      <c r="BTA97" s="1251"/>
      <c r="BTB97" s="1251"/>
      <c r="BTC97" s="1251"/>
      <c r="BTD97" s="1251"/>
      <c r="BTE97" s="1251"/>
      <c r="BTF97" s="1251"/>
      <c r="BTG97" s="1251"/>
      <c r="BTH97" s="1251"/>
      <c r="BTI97" s="1251"/>
    </row>
    <row r="98" spans="1:1881" s="1261" customFormat="1" ht="82.5" hidden="1" customHeight="1" thickBot="1" x14ac:dyDescent="0.35">
      <c r="A98" s="1265">
        <v>647</v>
      </c>
      <c r="B98" s="804" t="s">
        <v>652</v>
      </c>
      <c r="C98" s="803" t="s">
        <v>654</v>
      </c>
      <c r="D98" s="749" t="s">
        <v>655</v>
      </c>
      <c r="E98" s="1249" t="e">
        <f>HLOOKUP($D$2,'2020 Data(H)'!$C$1:$CZ$426,306,FALSE)</f>
        <v>#N/A</v>
      </c>
      <c r="F98" s="1263">
        <v>0</v>
      </c>
      <c r="G98" s="727">
        <f>IF(F98&lt;0,"Error: Enter as positive.",)</f>
        <v>0</v>
      </c>
      <c r="H98" s="738"/>
      <c r="I98" s="760"/>
      <c r="J98" s="1251"/>
      <c r="K98" s="1251"/>
      <c r="L98" s="701"/>
      <c r="M98" s="1251"/>
      <c r="N98" s="1253"/>
      <c r="O98" s="1251"/>
      <c r="P98" s="1251"/>
      <c r="Q98" s="1251"/>
      <c r="R98" s="1251"/>
      <c r="S98" s="1251"/>
      <c r="T98" s="1251"/>
      <c r="U98" s="1251"/>
      <c r="V98" s="1251"/>
      <c r="W98" s="1251"/>
      <c r="X98" s="1251"/>
      <c r="Y98" s="1251"/>
      <c r="Z98" s="1265"/>
      <c r="AA98" s="1265"/>
      <c r="AB98" s="1265"/>
      <c r="AC98" s="1265"/>
      <c r="AD98" s="1265"/>
      <c r="AE98" s="1265"/>
      <c r="AF98" s="1265"/>
      <c r="AG98" s="1265"/>
      <c r="AH98" s="1265"/>
      <c r="AI98" s="1265"/>
      <c r="AJ98" s="1265"/>
      <c r="AK98" s="1265"/>
      <c r="AL98" s="1265"/>
      <c r="AM98" s="1265"/>
      <c r="AN98" s="1265"/>
      <c r="AO98" s="1265"/>
      <c r="AP98" s="1265"/>
      <c r="AQ98" s="1265"/>
      <c r="AR98" s="1265"/>
      <c r="AS98" s="1251"/>
      <c r="AT98" s="1251"/>
      <c r="AU98" s="1251"/>
      <c r="AV98" s="1251"/>
      <c r="AW98" s="1251"/>
      <c r="AX98" s="1251"/>
      <c r="AY98" s="1251"/>
      <c r="AZ98" s="1251"/>
      <c r="BA98" s="1251"/>
      <c r="BB98" s="1251"/>
      <c r="BC98" s="1251"/>
      <c r="BD98" s="1251"/>
      <c r="BE98" s="1251"/>
      <c r="BF98" s="1251"/>
      <c r="BG98" s="1251"/>
      <c r="BH98" s="1251"/>
      <c r="BI98" s="1251"/>
      <c r="BJ98" s="1251"/>
      <c r="BK98" s="1251"/>
      <c r="BL98" s="1251"/>
      <c r="BM98" s="1251"/>
      <c r="BN98" s="1251"/>
      <c r="BO98" s="1251"/>
      <c r="BP98" s="1251"/>
      <c r="BQ98" s="1251"/>
      <c r="BR98" s="1251"/>
      <c r="BS98" s="1251"/>
      <c r="BT98" s="1251"/>
      <c r="BU98" s="1251"/>
      <c r="BV98" s="1251"/>
      <c r="BW98" s="1251"/>
      <c r="BX98" s="1251"/>
      <c r="BY98" s="1251"/>
      <c r="BZ98" s="1251"/>
      <c r="CA98" s="1251"/>
      <c r="CB98" s="1251"/>
      <c r="CC98" s="1251"/>
      <c r="CD98" s="1251"/>
      <c r="CE98" s="1251"/>
      <c r="CF98" s="1251"/>
      <c r="CG98" s="1251"/>
      <c r="CH98" s="1251"/>
      <c r="CI98" s="1251"/>
      <c r="CJ98" s="1251"/>
      <c r="CK98" s="1251"/>
      <c r="CL98" s="1251"/>
      <c r="CM98" s="1251"/>
      <c r="CN98" s="1251"/>
      <c r="CO98" s="1251"/>
      <c r="CP98" s="1251"/>
      <c r="CQ98" s="1251"/>
      <c r="CR98" s="1251"/>
      <c r="CS98" s="1251"/>
      <c r="CT98" s="1251"/>
      <c r="CU98" s="1251"/>
      <c r="CV98" s="1251"/>
      <c r="CW98" s="1251"/>
      <c r="CX98" s="1251"/>
      <c r="CY98" s="1251"/>
      <c r="CZ98" s="1251"/>
      <c r="DA98" s="1251"/>
      <c r="DB98" s="1251"/>
      <c r="DC98" s="1251"/>
      <c r="DD98" s="1251"/>
      <c r="DE98" s="1251"/>
      <c r="DF98" s="1251"/>
      <c r="DG98" s="1251"/>
      <c r="DH98" s="1251"/>
      <c r="DI98" s="1251"/>
      <c r="DJ98" s="1251"/>
      <c r="DK98" s="1251"/>
      <c r="DL98" s="1251"/>
      <c r="DM98" s="1251"/>
      <c r="DN98" s="1251"/>
      <c r="DO98" s="1251"/>
      <c r="DP98" s="1251"/>
      <c r="DQ98" s="1251"/>
      <c r="DR98" s="1251"/>
      <c r="DS98" s="1251"/>
      <c r="DT98" s="1251"/>
      <c r="DU98" s="1251"/>
      <c r="DV98" s="1251"/>
      <c r="DW98" s="1251"/>
      <c r="DX98" s="1251"/>
      <c r="DY98" s="1251"/>
      <c r="DZ98" s="1251"/>
      <c r="EA98" s="1251"/>
      <c r="EB98" s="1251"/>
      <c r="EC98" s="1251"/>
      <c r="ED98" s="1251"/>
      <c r="EE98" s="1251"/>
      <c r="EF98" s="1251"/>
      <c r="EG98" s="1251"/>
      <c r="EH98" s="1251"/>
      <c r="EI98" s="1251"/>
      <c r="EJ98" s="1251"/>
      <c r="EK98" s="1251"/>
      <c r="EL98" s="1251"/>
      <c r="EM98" s="1251"/>
      <c r="EN98" s="1251"/>
      <c r="EO98" s="1251"/>
      <c r="EP98" s="1251"/>
      <c r="EQ98" s="1251"/>
      <c r="ER98" s="1251"/>
      <c r="ES98" s="1251"/>
      <c r="ET98" s="1251"/>
      <c r="EU98" s="1251"/>
      <c r="EV98" s="1251"/>
      <c r="EW98" s="1251"/>
      <c r="EX98" s="1251"/>
      <c r="EY98" s="1251"/>
      <c r="EZ98" s="1251"/>
      <c r="FA98" s="1251"/>
      <c r="FB98" s="1251"/>
      <c r="FC98" s="1251"/>
      <c r="FD98" s="1251"/>
      <c r="FE98" s="1251"/>
      <c r="FF98" s="1251"/>
      <c r="FG98" s="1251"/>
      <c r="FH98" s="1251"/>
      <c r="FI98" s="1251"/>
      <c r="FJ98" s="1251"/>
      <c r="FK98" s="1251"/>
      <c r="FL98" s="1251"/>
      <c r="FM98" s="1251"/>
      <c r="FN98" s="1251"/>
      <c r="FO98" s="1251"/>
      <c r="FP98" s="1251"/>
      <c r="FQ98" s="1251"/>
      <c r="FR98" s="1251"/>
      <c r="FS98" s="1251"/>
      <c r="FT98" s="1251"/>
      <c r="FU98" s="1251"/>
      <c r="FV98" s="1251"/>
      <c r="FW98" s="1251"/>
      <c r="FX98" s="1251"/>
      <c r="FY98" s="1251"/>
      <c r="FZ98" s="1251"/>
      <c r="GA98" s="1251"/>
      <c r="GB98" s="1251"/>
      <c r="GC98" s="1251"/>
      <c r="GD98" s="1251"/>
      <c r="GE98" s="1251"/>
      <c r="GF98" s="1251"/>
      <c r="GG98" s="1251"/>
      <c r="GH98" s="1251"/>
      <c r="GI98" s="1251"/>
      <c r="GJ98" s="1251"/>
      <c r="GK98" s="1251"/>
      <c r="GL98" s="1251"/>
      <c r="GM98" s="1251"/>
      <c r="GN98" s="1251"/>
      <c r="GO98" s="1251"/>
      <c r="GP98" s="1251"/>
      <c r="GQ98" s="1251"/>
      <c r="GR98" s="1251"/>
      <c r="GS98" s="1251"/>
      <c r="GT98" s="1251"/>
      <c r="GU98" s="1251"/>
      <c r="GV98" s="1251"/>
      <c r="GW98" s="1251"/>
      <c r="GX98" s="1251"/>
      <c r="GY98" s="1251"/>
      <c r="GZ98" s="1251"/>
      <c r="HA98" s="1251"/>
      <c r="HB98" s="1251"/>
      <c r="HC98" s="1251"/>
      <c r="HD98" s="1251"/>
      <c r="HE98" s="1251"/>
      <c r="HF98" s="1251"/>
      <c r="HG98" s="1251"/>
      <c r="HH98" s="1251"/>
      <c r="HI98" s="1251"/>
      <c r="HJ98" s="1251"/>
      <c r="HK98" s="1251"/>
      <c r="HL98" s="1251"/>
      <c r="HM98" s="1251"/>
      <c r="HN98" s="1251"/>
      <c r="HO98" s="1251"/>
      <c r="HP98" s="1251"/>
      <c r="HQ98" s="1251"/>
      <c r="HR98" s="1251"/>
      <c r="HS98" s="1251"/>
      <c r="HT98" s="1251"/>
      <c r="HU98" s="1251"/>
      <c r="HV98" s="1251"/>
      <c r="HW98" s="1251"/>
      <c r="HX98" s="1251"/>
      <c r="HY98" s="1251"/>
      <c r="HZ98" s="1251"/>
      <c r="IA98" s="1251"/>
      <c r="IB98" s="1251"/>
      <c r="IC98" s="1251"/>
      <c r="ID98" s="1251"/>
      <c r="IE98" s="1251"/>
      <c r="IF98" s="1251"/>
      <c r="IG98" s="1251"/>
      <c r="IH98" s="1251"/>
      <c r="II98" s="1251"/>
      <c r="IJ98" s="1251"/>
      <c r="IK98" s="1251"/>
      <c r="IL98" s="1251"/>
      <c r="IM98" s="1251"/>
      <c r="IN98" s="1251"/>
      <c r="IO98" s="1251"/>
      <c r="IP98" s="1251"/>
      <c r="IQ98" s="1251"/>
      <c r="IR98" s="1251"/>
      <c r="IS98" s="1251"/>
      <c r="IT98" s="1251"/>
      <c r="IU98" s="1251"/>
      <c r="IV98" s="1251"/>
      <c r="IW98" s="1251"/>
      <c r="IX98" s="1251"/>
      <c r="IY98" s="1251"/>
      <c r="IZ98" s="1251"/>
      <c r="JA98" s="1251"/>
      <c r="JB98" s="1251"/>
      <c r="JC98" s="1251"/>
      <c r="JD98" s="1251"/>
      <c r="JE98" s="1251"/>
      <c r="JF98" s="1251"/>
      <c r="JG98" s="1251"/>
      <c r="JH98" s="1251"/>
      <c r="JI98" s="1251"/>
      <c r="JJ98" s="1251"/>
      <c r="JK98" s="1251"/>
      <c r="JL98" s="1251"/>
      <c r="JM98" s="1251"/>
      <c r="JN98" s="1251"/>
      <c r="JO98" s="1251"/>
      <c r="JP98" s="1251"/>
      <c r="JQ98" s="1251"/>
      <c r="JR98" s="1251"/>
      <c r="JS98" s="1251"/>
      <c r="JT98" s="1251"/>
      <c r="JU98" s="1251"/>
      <c r="JV98" s="1251"/>
      <c r="JW98" s="1251"/>
      <c r="JX98" s="1251"/>
      <c r="JY98" s="1251"/>
      <c r="JZ98" s="1251"/>
      <c r="KA98" s="1251"/>
      <c r="KB98" s="1251"/>
      <c r="KC98" s="1251"/>
      <c r="KD98" s="1251"/>
      <c r="KE98" s="1251"/>
      <c r="KF98" s="1251"/>
      <c r="KG98" s="1251"/>
      <c r="KH98" s="1251"/>
      <c r="KI98" s="1251"/>
      <c r="KJ98" s="1251"/>
      <c r="KK98" s="1251"/>
      <c r="KL98" s="1251"/>
      <c r="KM98" s="1251"/>
      <c r="KN98" s="1251"/>
      <c r="KO98" s="1251"/>
      <c r="KP98" s="1251"/>
      <c r="KQ98" s="1251"/>
      <c r="KR98" s="1251"/>
      <c r="KS98" s="1251"/>
      <c r="KT98" s="1251"/>
      <c r="KU98" s="1251"/>
      <c r="KV98" s="1251"/>
      <c r="KW98" s="1251"/>
      <c r="KX98" s="1251"/>
      <c r="KY98" s="1251"/>
      <c r="KZ98" s="1251"/>
      <c r="LA98" s="1251"/>
      <c r="LB98" s="1251"/>
      <c r="LC98" s="1251"/>
      <c r="LD98" s="1251"/>
      <c r="LE98" s="1251"/>
      <c r="LF98" s="1251"/>
      <c r="LG98" s="1251"/>
      <c r="LH98" s="1251"/>
      <c r="LI98" s="1251"/>
      <c r="LJ98" s="1251"/>
      <c r="LK98" s="1251"/>
      <c r="LL98" s="1251"/>
      <c r="LM98" s="1251"/>
      <c r="LN98" s="1251"/>
      <c r="LO98" s="1251"/>
      <c r="LP98" s="1251"/>
      <c r="LQ98" s="1251"/>
      <c r="LR98" s="1251"/>
      <c r="LS98" s="1251"/>
      <c r="LT98" s="1251"/>
      <c r="LU98" s="1251"/>
      <c r="LV98" s="1251"/>
      <c r="LW98" s="1251"/>
      <c r="LX98" s="1251"/>
      <c r="LY98" s="1251"/>
      <c r="LZ98" s="1251"/>
      <c r="MA98" s="1251"/>
      <c r="MB98" s="1251"/>
      <c r="MC98" s="1251"/>
      <c r="MD98" s="1251"/>
      <c r="ME98" s="1251"/>
      <c r="MF98" s="1251"/>
      <c r="MG98" s="1251"/>
      <c r="MH98" s="1251"/>
      <c r="MI98" s="1251"/>
      <c r="MJ98" s="1251"/>
      <c r="MK98" s="1251"/>
      <c r="ML98" s="1251"/>
      <c r="MM98" s="1251"/>
      <c r="MN98" s="1251"/>
      <c r="MO98" s="1251"/>
      <c r="MP98" s="1251"/>
      <c r="MQ98" s="1251"/>
      <c r="MR98" s="1251"/>
      <c r="MS98" s="1251"/>
      <c r="MT98" s="1251"/>
      <c r="MU98" s="1251"/>
      <c r="MV98" s="1251"/>
      <c r="MW98" s="1251"/>
      <c r="MX98" s="1251"/>
      <c r="MY98" s="1251"/>
      <c r="MZ98" s="1251"/>
      <c r="NA98" s="1251"/>
      <c r="NB98" s="1251"/>
      <c r="NC98" s="1251"/>
      <c r="ND98" s="1251"/>
      <c r="NE98" s="1251"/>
      <c r="NF98" s="1251"/>
      <c r="NG98" s="1251"/>
      <c r="NH98" s="1251"/>
      <c r="NI98" s="1251"/>
      <c r="NJ98" s="1251"/>
      <c r="NK98" s="1251"/>
      <c r="NL98" s="1251"/>
      <c r="NM98" s="1251"/>
      <c r="NN98" s="1251"/>
      <c r="NO98" s="1251"/>
      <c r="NP98" s="1251"/>
      <c r="NQ98" s="1251"/>
      <c r="NR98" s="1251"/>
      <c r="NS98" s="1251"/>
      <c r="NT98" s="1251"/>
      <c r="NU98" s="1251"/>
      <c r="NV98" s="1251"/>
      <c r="NW98" s="1251"/>
      <c r="NX98" s="1251"/>
      <c r="NY98" s="1251"/>
      <c r="NZ98" s="1251"/>
      <c r="OA98" s="1251"/>
      <c r="OB98" s="1251"/>
      <c r="OC98" s="1251"/>
      <c r="OD98" s="1251"/>
      <c r="OE98" s="1251"/>
      <c r="OF98" s="1251"/>
      <c r="OG98" s="1251"/>
      <c r="OH98" s="1251"/>
      <c r="OI98" s="1251"/>
      <c r="OJ98" s="1251"/>
      <c r="OK98" s="1251"/>
      <c r="OL98" s="1251"/>
      <c r="OM98" s="1251"/>
      <c r="ON98" s="1251"/>
      <c r="OO98" s="1251"/>
      <c r="OP98" s="1251"/>
      <c r="OQ98" s="1251"/>
      <c r="OR98" s="1251"/>
      <c r="OS98" s="1251"/>
      <c r="OT98" s="1251"/>
      <c r="OU98" s="1251"/>
      <c r="OV98" s="1251"/>
      <c r="OW98" s="1251"/>
      <c r="OX98" s="1251"/>
      <c r="OY98" s="1251"/>
      <c r="OZ98" s="1251"/>
      <c r="PA98" s="1251"/>
      <c r="PB98" s="1251"/>
      <c r="PC98" s="1251"/>
      <c r="PD98" s="1251"/>
      <c r="PE98" s="1251"/>
      <c r="PF98" s="1251"/>
      <c r="PG98" s="1251"/>
      <c r="PH98" s="1251"/>
      <c r="PI98" s="1251"/>
      <c r="PJ98" s="1251"/>
      <c r="PK98" s="1251"/>
      <c r="PL98" s="1251"/>
      <c r="PM98" s="1251"/>
      <c r="PN98" s="1251"/>
      <c r="PO98" s="1251"/>
      <c r="PP98" s="1251"/>
      <c r="PQ98" s="1251"/>
      <c r="PR98" s="1251"/>
      <c r="PS98" s="1251"/>
      <c r="PT98" s="1251"/>
      <c r="PU98" s="1251"/>
      <c r="PV98" s="1251"/>
      <c r="PW98" s="1251"/>
      <c r="PX98" s="1251"/>
      <c r="PY98" s="1251"/>
      <c r="PZ98" s="1251"/>
      <c r="QA98" s="1251"/>
      <c r="QB98" s="1251"/>
      <c r="QC98" s="1251"/>
      <c r="QD98" s="1251"/>
      <c r="QE98" s="1251"/>
      <c r="QF98" s="1251"/>
      <c r="QG98" s="1251"/>
      <c r="QH98" s="1251"/>
      <c r="QI98" s="1251"/>
      <c r="QJ98" s="1251"/>
      <c r="QK98" s="1251"/>
      <c r="QL98" s="1251"/>
      <c r="QM98" s="1251"/>
      <c r="QN98" s="1251"/>
      <c r="QO98" s="1251"/>
      <c r="QP98" s="1251"/>
      <c r="QQ98" s="1251"/>
      <c r="QR98" s="1251"/>
      <c r="QS98" s="1251"/>
      <c r="QT98" s="1251"/>
      <c r="QU98" s="1251"/>
      <c r="QV98" s="1251"/>
      <c r="QW98" s="1251"/>
      <c r="QX98" s="1251"/>
      <c r="QY98" s="1251"/>
      <c r="QZ98" s="1251"/>
      <c r="RA98" s="1251"/>
      <c r="RB98" s="1251"/>
      <c r="RC98" s="1251"/>
      <c r="RD98" s="1251"/>
      <c r="RE98" s="1251"/>
      <c r="RF98" s="1251"/>
      <c r="RG98" s="1251"/>
      <c r="RH98" s="1251"/>
      <c r="RI98" s="1251"/>
      <c r="RJ98" s="1251"/>
      <c r="RK98" s="1251"/>
      <c r="RL98" s="1251"/>
      <c r="RM98" s="1251"/>
      <c r="RN98" s="1251"/>
      <c r="RO98" s="1251"/>
      <c r="RP98" s="1251"/>
      <c r="RQ98" s="1251"/>
      <c r="RR98" s="1251"/>
      <c r="RS98" s="1251"/>
      <c r="RT98" s="1251"/>
      <c r="RU98" s="1251"/>
      <c r="RV98" s="1251"/>
      <c r="RW98" s="1251"/>
      <c r="RX98" s="1251"/>
      <c r="RY98" s="1251"/>
      <c r="RZ98" s="1251"/>
      <c r="SA98" s="1251"/>
      <c r="SB98" s="1251"/>
      <c r="SC98" s="1251"/>
      <c r="SD98" s="1251"/>
      <c r="SE98" s="1251"/>
      <c r="SF98" s="1251"/>
      <c r="SG98" s="1251"/>
      <c r="SH98" s="1251"/>
      <c r="SI98" s="1251"/>
      <c r="SJ98" s="1251"/>
      <c r="SK98" s="1251"/>
      <c r="SL98" s="1251"/>
      <c r="SM98" s="1251"/>
      <c r="SN98" s="1251"/>
      <c r="SO98" s="1251"/>
      <c r="SP98" s="1251"/>
      <c r="SQ98" s="1251"/>
      <c r="SR98" s="1251"/>
      <c r="SS98" s="1251"/>
      <c r="ST98" s="1251"/>
      <c r="SU98" s="1251"/>
      <c r="SV98" s="1251"/>
      <c r="SW98" s="1251"/>
      <c r="SX98" s="1251"/>
      <c r="SY98" s="1251"/>
      <c r="SZ98" s="1251"/>
      <c r="TA98" s="1251"/>
      <c r="TB98" s="1251"/>
      <c r="TC98" s="1251"/>
      <c r="TD98" s="1251"/>
      <c r="TE98" s="1251"/>
      <c r="TF98" s="1251"/>
      <c r="TG98" s="1251"/>
      <c r="TH98" s="1251"/>
      <c r="TI98" s="1251"/>
      <c r="TJ98" s="1251"/>
      <c r="TK98" s="1251"/>
      <c r="TL98" s="1251"/>
      <c r="TM98" s="1251"/>
      <c r="TN98" s="1251"/>
      <c r="TO98" s="1251"/>
      <c r="TP98" s="1251"/>
      <c r="TQ98" s="1251"/>
      <c r="TR98" s="1251"/>
      <c r="TS98" s="1251"/>
      <c r="TT98" s="1251"/>
      <c r="TU98" s="1251"/>
      <c r="TV98" s="1251"/>
      <c r="TW98" s="1251"/>
      <c r="TX98" s="1251"/>
      <c r="TY98" s="1251"/>
      <c r="TZ98" s="1251"/>
      <c r="UA98" s="1251"/>
      <c r="UB98" s="1251"/>
      <c r="UC98" s="1251"/>
      <c r="UD98" s="1251"/>
      <c r="UE98" s="1251"/>
      <c r="UF98" s="1251"/>
      <c r="UG98" s="1251"/>
      <c r="UH98" s="1251"/>
      <c r="UI98" s="1251"/>
      <c r="UJ98" s="1251"/>
      <c r="UK98" s="1251"/>
      <c r="UL98" s="1251"/>
      <c r="UM98" s="1251"/>
      <c r="UN98" s="1251"/>
      <c r="UO98" s="1251"/>
      <c r="UP98" s="1251"/>
      <c r="UQ98" s="1251"/>
      <c r="UR98" s="1251"/>
      <c r="US98" s="1251"/>
      <c r="UT98" s="1251"/>
      <c r="UU98" s="1251"/>
      <c r="UV98" s="1251"/>
      <c r="UW98" s="1251"/>
      <c r="UX98" s="1251"/>
      <c r="UY98" s="1251"/>
      <c r="UZ98" s="1251"/>
      <c r="VA98" s="1251"/>
      <c r="VB98" s="1251"/>
      <c r="VC98" s="1251"/>
      <c r="VD98" s="1251"/>
      <c r="VE98" s="1251"/>
      <c r="VF98" s="1251"/>
      <c r="VG98" s="1251"/>
      <c r="VH98" s="1251"/>
      <c r="VI98" s="1251"/>
      <c r="VJ98" s="1251"/>
      <c r="VK98" s="1251"/>
      <c r="VL98" s="1251"/>
      <c r="VM98" s="1251"/>
      <c r="VN98" s="1251"/>
      <c r="VO98" s="1251"/>
      <c r="VP98" s="1251"/>
      <c r="VQ98" s="1251"/>
      <c r="VR98" s="1251"/>
      <c r="VS98" s="1251"/>
      <c r="VT98" s="1251"/>
      <c r="VU98" s="1251"/>
      <c r="VV98" s="1251"/>
      <c r="VW98" s="1251"/>
      <c r="VX98" s="1251"/>
      <c r="VY98" s="1251"/>
      <c r="VZ98" s="1251"/>
      <c r="WA98" s="1251"/>
      <c r="WB98" s="1251"/>
      <c r="WC98" s="1251"/>
      <c r="WD98" s="1251"/>
      <c r="WE98" s="1251"/>
      <c r="WF98" s="1251"/>
      <c r="WG98" s="1251"/>
      <c r="WH98" s="1251"/>
      <c r="WI98" s="1251"/>
      <c r="WJ98" s="1251"/>
      <c r="WK98" s="1251"/>
      <c r="WL98" s="1251"/>
      <c r="WM98" s="1251"/>
      <c r="WN98" s="1251"/>
      <c r="WO98" s="1251"/>
      <c r="WP98" s="1251"/>
      <c r="WQ98" s="1251"/>
      <c r="WR98" s="1251"/>
      <c r="WS98" s="1251"/>
      <c r="WT98" s="1251"/>
      <c r="WU98" s="1251"/>
      <c r="WV98" s="1251"/>
      <c r="WW98" s="1251"/>
      <c r="WX98" s="1251"/>
      <c r="WY98" s="1251"/>
      <c r="WZ98" s="1251"/>
      <c r="XA98" s="1251"/>
      <c r="XB98" s="1251"/>
      <c r="XC98" s="1251"/>
      <c r="XD98" s="1251"/>
      <c r="XE98" s="1251"/>
      <c r="XF98" s="1251"/>
      <c r="XG98" s="1251"/>
      <c r="XH98" s="1251"/>
      <c r="XI98" s="1251"/>
      <c r="XJ98" s="1251"/>
      <c r="XK98" s="1251"/>
      <c r="XL98" s="1251"/>
      <c r="XM98" s="1251"/>
      <c r="XN98" s="1251"/>
      <c r="XO98" s="1251"/>
      <c r="XP98" s="1251"/>
      <c r="XQ98" s="1251"/>
      <c r="XR98" s="1251"/>
      <c r="XS98" s="1251"/>
      <c r="XT98" s="1251"/>
      <c r="XU98" s="1251"/>
      <c r="XV98" s="1251"/>
      <c r="XW98" s="1251"/>
      <c r="XX98" s="1251"/>
      <c r="XY98" s="1251"/>
      <c r="XZ98" s="1251"/>
      <c r="YA98" s="1251"/>
      <c r="YB98" s="1251"/>
      <c r="YC98" s="1251"/>
      <c r="YD98" s="1251"/>
      <c r="YE98" s="1251"/>
      <c r="YF98" s="1251"/>
      <c r="YG98" s="1251"/>
      <c r="YH98" s="1251"/>
      <c r="YI98" s="1251"/>
      <c r="YJ98" s="1251"/>
      <c r="YK98" s="1251"/>
      <c r="YL98" s="1251"/>
      <c r="YM98" s="1251"/>
      <c r="YN98" s="1251"/>
      <c r="YO98" s="1251"/>
      <c r="YP98" s="1251"/>
      <c r="YQ98" s="1251"/>
      <c r="YR98" s="1251"/>
      <c r="YS98" s="1251"/>
      <c r="YT98" s="1251"/>
      <c r="YU98" s="1251"/>
      <c r="YV98" s="1251"/>
      <c r="YW98" s="1251"/>
      <c r="YX98" s="1251"/>
      <c r="YY98" s="1251"/>
      <c r="YZ98" s="1251"/>
      <c r="ZA98" s="1251"/>
      <c r="ZB98" s="1251"/>
      <c r="ZC98" s="1251"/>
      <c r="ZD98" s="1251"/>
      <c r="ZE98" s="1251"/>
      <c r="ZF98" s="1251"/>
      <c r="ZG98" s="1251"/>
      <c r="ZH98" s="1251"/>
      <c r="ZI98" s="1251"/>
      <c r="ZJ98" s="1251"/>
      <c r="ZK98" s="1251"/>
      <c r="ZL98" s="1251"/>
      <c r="ZM98" s="1251"/>
      <c r="ZN98" s="1251"/>
      <c r="ZO98" s="1251"/>
      <c r="ZP98" s="1251"/>
      <c r="ZQ98" s="1251"/>
      <c r="ZR98" s="1251"/>
      <c r="ZS98" s="1251"/>
      <c r="ZT98" s="1251"/>
      <c r="ZU98" s="1251"/>
      <c r="ZV98" s="1251"/>
      <c r="ZW98" s="1251"/>
      <c r="ZX98" s="1251"/>
      <c r="ZY98" s="1251"/>
      <c r="ZZ98" s="1251"/>
      <c r="AAA98" s="1251"/>
      <c r="AAB98" s="1251"/>
      <c r="AAC98" s="1251"/>
      <c r="AAD98" s="1251"/>
      <c r="AAE98" s="1251"/>
      <c r="AAF98" s="1251"/>
      <c r="AAG98" s="1251"/>
      <c r="AAH98" s="1251"/>
      <c r="AAI98" s="1251"/>
      <c r="AAJ98" s="1251"/>
      <c r="AAK98" s="1251"/>
      <c r="AAL98" s="1251"/>
      <c r="AAM98" s="1251"/>
      <c r="AAN98" s="1251"/>
      <c r="AAO98" s="1251"/>
      <c r="AAP98" s="1251"/>
      <c r="AAQ98" s="1251"/>
      <c r="AAR98" s="1251"/>
      <c r="AAS98" s="1251"/>
      <c r="AAT98" s="1251"/>
      <c r="AAU98" s="1251"/>
      <c r="AAV98" s="1251"/>
      <c r="AAW98" s="1251"/>
      <c r="AAX98" s="1251"/>
      <c r="AAY98" s="1251"/>
      <c r="AAZ98" s="1251"/>
      <c r="ABA98" s="1251"/>
      <c r="ABB98" s="1251"/>
      <c r="ABC98" s="1251"/>
      <c r="ABD98" s="1251"/>
      <c r="ABE98" s="1251"/>
      <c r="ABF98" s="1251"/>
      <c r="ABG98" s="1251"/>
      <c r="ABH98" s="1251"/>
      <c r="ABI98" s="1251"/>
      <c r="ABJ98" s="1251"/>
      <c r="ABK98" s="1251"/>
      <c r="ABL98" s="1251"/>
      <c r="ABM98" s="1251"/>
      <c r="ABN98" s="1251"/>
      <c r="ABO98" s="1251"/>
      <c r="ABP98" s="1251"/>
      <c r="ABQ98" s="1251"/>
      <c r="ABR98" s="1251"/>
      <c r="ABS98" s="1251"/>
      <c r="ABT98" s="1251"/>
      <c r="ABU98" s="1251"/>
      <c r="ABV98" s="1251"/>
      <c r="ABW98" s="1251"/>
      <c r="ABX98" s="1251"/>
      <c r="ABY98" s="1251"/>
      <c r="ABZ98" s="1251"/>
      <c r="ACA98" s="1251"/>
      <c r="ACB98" s="1251"/>
      <c r="ACC98" s="1251"/>
      <c r="ACD98" s="1251"/>
      <c r="ACE98" s="1251"/>
      <c r="ACF98" s="1251"/>
      <c r="ACG98" s="1251"/>
      <c r="ACH98" s="1251"/>
      <c r="ACI98" s="1251"/>
      <c r="ACJ98" s="1251"/>
      <c r="ACK98" s="1251"/>
      <c r="ACL98" s="1251"/>
      <c r="ACM98" s="1251"/>
      <c r="ACN98" s="1251"/>
      <c r="ACO98" s="1251"/>
      <c r="ACP98" s="1251"/>
      <c r="ACQ98" s="1251"/>
      <c r="ACR98" s="1251"/>
      <c r="ACS98" s="1251"/>
      <c r="ACT98" s="1251"/>
      <c r="ACU98" s="1251"/>
      <c r="ACV98" s="1251"/>
      <c r="ACW98" s="1251"/>
      <c r="ACX98" s="1251"/>
      <c r="ACY98" s="1251"/>
      <c r="ACZ98" s="1251"/>
      <c r="ADA98" s="1251"/>
      <c r="ADB98" s="1251"/>
      <c r="ADC98" s="1251"/>
      <c r="ADD98" s="1251"/>
      <c r="ADE98" s="1251"/>
      <c r="ADF98" s="1251"/>
      <c r="ADG98" s="1251"/>
      <c r="ADH98" s="1251"/>
      <c r="ADI98" s="1251"/>
      <c r="ADJ98" s="1251"/>
      <c r="ADK98" s="1251"/>
      <c r="ADL98" s="1251"/>
      <c r="ADM98" s="1251"/>
      <c r="ADN98" s="1251"/>
      <c r="ADO98" s="1251"/>
      <c r="ADP98" s="1251"/>
      <c r="ADQ98" s="1251"/>
      <c r="ADR98" s="1251"/>
      <c r="ADS98" s="1251"/>
      <c r="ADT98" s="1251"/>
      <c r="ADU98" s="1251"/>
      <c r="ADV98" s="1251"/>
      <c r="ADW98" s="1251"/>
      <c r="ADX98" s="1251"/>
      <c r="ADY98" s="1251"/>
      <c r="ADZ98" s="1251"/>
      <c r="AEA98" s="1251"/>
      <c r="AEB98" s="1251"/>
      <c r="AEC98" s="1251"/>
      <c r="AED98" s="1251"/>
      <c r="AEE98" s="1251"/>
      <c r="AEF98" s="1251"/>
      <c r="AEG98" s="1251"/>
      <c r="AEH98" s="1251"/>
      <c r="AEI98" s="1251"/>
      <c r="AEJ98" s="1251"/>
      <c r="AEK98" s="1251"/>
      <c r="AEL98" s="1251"/>
      <c r="AEM98" s="1251"/>
      <c r="AEN98" s="1251"/>
      <c r="AEO98" s="1251"/>
      <c r="AEP98" s="1251"/>
      <c r="AEQ98" s="1251"/>
      <c r="AER98" s="1251"/>
      <c r="AES98" s="1251"/>
      <c r="AET98" s="1251"/>
      <c r="AEU98" s="1251"/>
      <c r="AEV98" s="1251"/>
      <c r="AEW98" s="1251"/>
      <c r="AEX98" s="1251"/>
      <c r="AEY98" s="1251"/>
      <c r="AEZ98" s="1251"/>
      <c r="AFA98" s="1251"/>
      <c r="AFB98" s="1251"/>
      <c r="AFC98" s="1251"/>
      <c r="AFD98" s="1251"/>
      <c r="AFE98" s="1251"/>
      <c r="AFF98" s="1251"/>
      <c r="AFG98" s="1251"/>
      <c r="AFH98" s="1251"/>
      <c r="AFI98" s="1251"/>
      <c r="AFJ98" s="1251"/>
      <c r="AFK98" s="1251"/>
      <c r="AFL98" s="1251"/>
      <c r="AFM98" s="1251"/>
      <c r="AFN98" s="1251"/>
      <c r="AFO98" s="1251"/>
      <c r="AFP98" s="1251"/>
      <c r="AFQ98" s="1251"/>
      <c r="AFR98" s="1251"/>
      <c r="AFS98" s="1251"/>
      <c r="AFT98" s="1251"/>
      <c r="AFU98" s="1251"/>
      <c r="AFV98" s="1251"/>
      <c r="AFW98" s="1251"/>
      <c r="AFX98" s="1251"/>
      <c r="AFY98" s="1251"/>
      <c r="AFZ98" s="1251"/>
      <c r="AGA98" s="1251"/>
      <c r="AGB98" s="1251"/>
      <c r="AGC98" s="1251"/>
      <c r="AGD98" s="1251"/>
      <c r="AGE98" s="1251"/>
      <c r="AGF98" s="1251"/>
      <c r="AGG98" s="1251"/>
      <c r="AGH98" s="1251"/>
      <c r="AGI98" s="1251"/>
      <c r="AGJ98" s="1251"/>
      <c r="AGK98" s="1251"/>
      <c r="AGL98" s="1251"/>
      <c r="AGM98" s="1251"/>
      <c r="AGN98" s="1251"/>
      <c r="AGO98" s="1251"/>
      <c r="AGP98" s="1251"/>
      <c r="AGQ98" s="1251"/>
      <c r="AGR98" s="1251"/>
      <c r="AGS98" s="1251"/>
      <c r="AGT98" s="1251"/>
      <c r="AGU98" s="1251"/>
      <c r="AGV98" s="1251"/>
      <c r="AGW98" s="1251"/>
      <c r="AGX98" s="1251"/>
      <c r="AGY98" s="1251"/>
      <c r="AGZ98" s="1251"/>
      <c r="AHA98" s="1251"/>
      <c r="AHB98" s="1251"/>
      <c r="AHC98" s="1251"/>
      <c r="AHD98" s="1251"/>
      <c r="AHE98" s="1251"/>
      <c r="AHF98" s="1251"/>
      <c r="AHG98" s="1251"/>
      <c r="AHH98" s="1251"/>
      <c r="AHI98" s="1251"/>
      <c r="AHJ98" s="1251"/>
      <c r="AHK98" s="1251"/>
      <c r="AHL98" s="1251"/>
      <c r="AHM98" s="1251"/>
      <c r="AHN98" s="1251"/>
      <c r="AHO98" s="1251"/>
      <c r="AHP98" s="1251"/>
      <c r="AHQ98" s="1251"/>
      <c r="AHR98" s="1251"/>
      <c r="AHS98" s="1251"/>
      <c r="AHT98" s="1251"/>
      <c r="AHU98" s="1251"/>
      <c r="AHV98" s="1251"/>
      <c r="AHW98" s="1251"/>
      <c r="AHX98" s="1251"/>
      <c r="AHY98" s="1251"/>
      <c r="AHZ98" s="1251"/>
      <c r="AIA98" s="1251"/>
      <c r="AIB98" s="1251"/>
      <c r="AIC98" s="1251"/>
      <c r="AID98" s="1251"/>
      <c r="AIE98" s="1251"/>
      <c r="AIF98" s="1251"/>
      <c r="AIG98" s="1251"/>
      <c r="AIH98" s="1251"/>
      <c r="AII98" s="1251"/>
      <c r="AIJ98" s="1251"/>
      <c r="AIK98" s="1251"/>
      <c r="AIL98" s="1251"/>
      <c r="AIM98" s="1251"/>
      <c r="AIN98" s="1251"/>
      <c r="AIO98" s="1251"/>
      <c r="AIP98" s="1251"/>
      <c r="AIQ98" s="1251"/>
      <c r="AIR98" s="1251"/>
      <c r="AIS98" s="1251"/>
      <c r="AIT98" s="1251"/>
      <c r="AIU98" s="1251"/>
      <c r="AIV98" s="1251"/>
      <c r="AIW98" s="1251"/>
      <c r="AIX98" s="1251"/>
      <c r="AIY98" s="1251"/>
      <c r="AIZ98" s="1251"/>
      <c r="AJA98" s="1251"/>
      <c r="AJB98" s="1251"/>
      <c r="AJC98" s="1251"/>
      <c r="AJD98" s="1251"/>
      <c r="AJE98" s="1251"/>
      <c r="AJF98" s="1251"/>
      <c r="AJG98" s="1251"/>
      <c r="AJH98" s="1251"/>
      <c r="AJI98" s="1251"/>
      <c r="AJJ98" s="1251"/>
      <c r="AJK98" s="1251"/>
      <c r="AJL98" s="1251"/>
      <c r="AJM98" s="1251"/>
      <c r="AJN98" s="1251"/>
      <c r="AJO98" s="1251"/>
      <c r="AJP98" s="1251"/>
      <c r="AJQ98" s="1251"/>
      <c r="AJR98" s="1251"/>
      <c r="AJS98" s="1251"/>
      <c r="AJT98" s="1251"/>
      <c r="AJU98" s="1251"/>
      <c r="AJV98" s="1251"/>
      <c r="AJW98" s="1251"/>
      <c r="AJX98" s="1251"/>
      <c r="AJY98" s="1251"/>
      <c r="AJZ98" s="1251"/>
      <c r="AKA98" s="1251"/>
      <c r="AKB98" s="1251"/>
      <c r="AKC98" s="1251"/>
      <c r="AKD98" s="1251"/>
      <c r="AKE98" s="1251"/>
      <c r="AKF98" s="1251"/>
      <c r="AKG98" s="1251"/>
      <c r="AKH98" s="1251"/>
      <c r="AKI98" s="1251"/>
      <c r="AKJ98" s="1251"/>
      <c r="AKK98" s="1251"/>
      <c r="AKL98" s="1251"/>
      <c r="AKM98" s="1251"/>
      <c r="AKN98" s="1251"/>
      <c r="AKO98" s="1251"/>
      <c r="AKP98" s="1251"/>
      <c r="AKQ98" s="1251"/>
      <c r="AKR98" s="1251"/>
      <c r="AKS98" s="1251"/>
      <c r="AKT98" s="1251"/>
      <c r="AKU98" s="1251"/>
      <c r="AKV98" s="1251"/>
      <c r="AKW98" s="1251"/>
      <c r="AKX98" s="1251"/>
      <c r="AKY98" s="1251"/>
      <c r="AKZ98" s="1251"/>
      <c r="ALA98" s="1251"/>
      <c r="ALB98" s="1251"/>
      <c r="ALC98" s="1251"/>
      <c r="ALD98" s="1251"/>
      <c r="ALE98" s="1251"/>
      <c r="ALF98" s="1251"/>
      <c r="ALG98" s="1251"/>
      <c r="ALH98" s="1251"/>
      <c r="ALI98" s="1251"/>
      <c r="ALJ98" s="1251"/>
      <c r="ALK98" s="1251"/>
      <c r="ALL98" s="1251"/>
      <c r="ALM98" s="1251"/>
      <c r="ALN98" s="1251"/>
      <c r="ALO98" s="1251"/>
      <c r="ALP98" s="1251"/>
      <c r="ALQ98" s="1251"/>
      <c r="ALR98" s="1251"/>
      <c r="ALS98" s="1251"/>
      <c r="ALT98" s="1251"/>
      <c r="ALU98" s="1251"/>
      <c r="ALV98" s="1251"/>
      <c r="ALW98" s="1251"/>
      <c r="ALX98" s="1251"/>
      <c r="ALY98" s="1251"/>
      <c r="ALZ98" s="1251"/>
      <c r="AMA98" s="1251"/>
      <c r="AMB98" s="1251"/>
      <c r="AMC98" s="1251"/>
      <c r="AMD98" s="1251"/>
      <c r="AME98" s="1251"/>
      <c r="AMF98" s="1251"/>
      <c r="AMG98" s="1251"/>
      <c r="AMH98" s="1251"/>
      <c r="AMI98" s="1251"/>
      <c r="AMJ98" s="1251"/>
      <c r="AMK98" s="1251"/>
      <c r="AML98" s="1251"/>
      <c r="AMM98" s="1251"/>
      <c r="AMN98" s="1251"/>
      <c r="AMO98" s="1251"/>
      <c r="AMP98" s="1251"/>
      <c r="AMQ98" s="1251"/>
      <c r="AMR98" s="1251"/>
      <c r="AMS98" s="1251"/>
      <c r="AMT98" s="1251"/>
      <c r="AMU98" s="1251"/>
      <c r="AMV98" s="1251"/>
      <c r="AMW98" s="1251"/>
      <c r="AMX98" s="1251"/>
      <c r="AMY98" s="1251"/>
      <c r="AMZ98" s="1251"/>
      <c r="ANA98" s="1251"/>
      <c r="ANB98" s="1251"/>
      <c r="ANC98" s="1251"/>
      <c r="AND98" s="1251"/>
      <c r="ANE98" s="1251"/>
      <c r="ANF98" s="1251"/>
      <c r="ANG98" s="1251"/>
      <c r="ANH98" s="1251"/>
      <c r="ANI98" s="1251"/>
      <c r="ANJ98" s="1251"/>
      <c r="ANK98" s="1251"/>
      <c r="ANL98" s="1251"/>
      <c r="ANM98" s="1251"/>
      <c r="ANN98" s="1251"/>
      <c r="ANO98" s="1251"/>
      <c r="ANP98" s="1251"/>
      <c r="ANQ98" s="1251"/>
      <c r="ANR98" s="1251"/>
      <c r="ANS98" s="1251"/>
      <c r="ANT98" s="1251"/>
      <c r="ANU98" s="1251"/>
      <c r="ANV98" s="1251"/>
      <c r="ANW98" s="1251"/>
      <c r="ANX98" s="1251"/>
      <c r="ANY98" s="1251"/>
      <c r="ANZ98" s="1251"/>
      <c r="AOA98" s="1251"/>
      <c r="AOB98" s="1251"/>
      <c r="AOC98" s="1251"/>
      <c r="AOD98" s="1251"/>
      <c r="AOE98" s="1251"/>
      <c r="AOF98" s="1251"/>
      <c r="AOG98" s="1251"/>
      <c r="AOH98" s="1251"/>
      <c r="AOI98" s="1251"/>
      <c r="AOJ98" s="1251"/>
      <c r="AOK98" s="1251"/>
      <c r="AOL98" s="1251"/>
      <c r="AOM98" s="1251"/>
      <c r="AON98" s="1251"/>
      <c r="AOO98" s="1251"/>
      <c r="AOP98" s="1251"/>
      <c r="AOQ98" s="1251"/>
      <c r="AOR98" s="1251"/>
      <c r="AOS98" s="1251"/>
      <c r="AOT98" s="1251"/>
      <c r="AOU98" s="1251"/>
      <c r="AOV98" s="1251"/>
      <c r="AOW98" s="1251"/>
      <c r="AOX98" s="1251"/>
      <c r="AOY98" s="1251"/>
      <c r="AOZ98" s="1251"/>
      <c r="APA98" s="1251"/>
      <c r="APB98" s="1251"/>
      <c r="APC98" s="1251"/>
      <c r="APD98" s="1251"/>
      <c r="APE98" s="1251"/>
      <c r="APF98" s="1251"/>
      <c r="APG98" s="1251"/>
      <c r="APH98" s="1251"/>
      <c r="API98" s="1251"/>
      <c r="APJ98" s="1251"/>
      <c r="APK98" s="1251"/>
      <c r="APL98" s="1251"/>
      <c r="APM98" s="1251"/>
      <c r="APN98" s="1251"/>
      <c r="APO98" s="1251"/>
      <c r="APP98" s="1251"/>
      <c r="APQ98" s="1251"/>
      <c r="APR98" s="1251"/>
      <c r="APS98" s="1251"/>
      <c r="APT98" s="1251"/>
      <c r="APU98" s="1251"/>
      <c r="APV98" s="1251"/>
      <c r="APW98" s="1251"/>
      <c r="APX98" s="1251"/>
      <c r="APY98" s="1251"/>
      <c r="APZ98" s="1251"/>
      <c r="AQA98" s="1251"/>
      <c r="AQB98" s="1251"/>
      <c r="AQC98" s="1251"/>
      <c r="AQD98" s="1251"/>
      <c r="AQE98" s="1251"/>
      <c r="AQF98" s="1251"/>
      <c r="AQG98" s="1251"/>
      <c r="AQH98" s="1251"/>
      <c r="AQI98" s="1251"/>
      <c r="AQJ98" s="1251"/>
      <c r="AQK98" s="1251"/>
      <c r="AQL98" s="1251"/>
      <c r="AQM98" s="1251"/>
      <c r="AQN98" s="1251"/>
      <c r="AQO98" s="1251"/>
      <c r="AQP98" s="1251"/>
      <c r="AQQ98" s="1251"/>
      <c r="AQR98" s="1251"/>
      <c r="AQS98" s="1251"/>
      <c r="AQT98" s="1251"/>
      <c r="AQU98" s="1251"/>
      <c r="AQV98" s="1251"/>
      <c r="AQW98" s="1251"/>
      <c r="AQX98" s="1251"/>
      <c r="AQY98" s="1251"/>
      <c r="AQZ98" s="1251"/>
      <c r="ARA98" s="1251"/>
      <c r="ARB98" s="1251"/>
      <c r="ARC98" s="1251"/>
      <c r="ARD98" s="1251"/>
      <c r="ARE98" s="1251"/>
      <c r="ARF98" s="1251"/>
      <c r="ARG98" s="1251"/>
      <c r="ARH98" s="1251"/>
      <c r="ARI98" s="1251"/>
      <c r="ARJ98" s="1251"/>
      <c r="ARK98" s="1251"/>
      <c r="ARL98" s="1251"/>
      <c r="ARM98" s="1251"/>
      <c r="ARN98" s="1251"/>
      <c r="ARO98" s="1251"/>
      <c r="ARP98" s="1251"/>
      <c r="ARQ98" s="1251"/>
      <c r="ARR98" s="1251"/>
      <c r="ARS98" s="1251"/>
      <c r="ART98" s="1251"/>
      <c r="ARU98" s="1251"/>
      <c r="ARV98" s="1251"/>
      <c r="ARW98" s="1251"/>
      <c r="ARX98" s="1251"/>
      <c r="ARY98" s="1251"/>
      <c r="ARZ98" s="1251"/>
      <c r="ASA98" s="1251"/>
      <c r="ASB98" s="1251"/>
      <c r="ASC98" s="1251"/>
      <c r="ASD98" s="1251"/>
      <c r="ASE98" s="1251"/>
      <c r="ASF98" s="1251"/>
      <c r="ASG98" s="1251"/>
      <c r="ASH98" s="1251"/>
      <c r="ASI98" s="1251"/>
      <c r="ASJ98" s="1251"/>
      <c r="ASK98" s="1251"/>
      <c r="ASL98" s="1251"/>
      <c r="ASM98" s="1251"/>
      <c r="ASN98" s="1251"/>
      <c r="ASO98" s="1251"/>
      <c r="ASP98" s="1251"/>
      <c r="ASQ98" s="1251"/>
      <c r="ASR98" s="1251"/>
      <c r="ASS98" s="1251"/>
      <c r="AST98" s="1251"/>
      <c r="ASU98" s="1251"/>
      <c r="ASV98" s="1251"/>
      <c r="ASW98" s="1251"/>
      <c r="ASX98" s="1251"/>
      <c r="ASY98" s="1251"/>
      <c r="ASZ98" s="1251"/>
      <c r="ATA98" s="1251"/>
      <c r="ATB98" s="1251"/>
      <c r="ATC98" s="1251"/>
      <c r="ATD98" s="1251"/>
      <c r="ATE98" s="1251"/>
      <c r="ATF98" s="1251"/>
      <c r="ATG98" s="1251"/>
      <c r="ATH98" s="1251"/>
      <c r="ATI98" s="1251"/>
      <c r="ATJ98" s="1251"/>
      <c r="ATK98" s="1251"/>
      <c r="ATL98" s="1251"/>
      <c r="ATM98" s="1251"/>
      <c r="ATN98" s="1251"/>
      <c r="ATO98" s="1251"/>
      <c r="ATP98" s="1251"/>
      <c r="ATQ98" s="1251"/>
      <c r="ATR98" s="1251"/>
      <c r="ATS98" s="1251"/>
      <c r="ATT98" s="1251"/>
      <c r="ATU98" s="1251"/>
      <c r="ATV98" s="1251"/>
      <c r="ATW98" s="1251"/>
      <c r="ATX98" s="1251"/>
      <c r="ATY98" s="1251"/>
      <c r="ATZ98" s="1251"/>
      <c r="AUA98" s="1251"/>
      <c r="AUB98" s="1251"/>
      <c r="AUC98" s="1251"/>
      <c r="AUD98" s="1251"/>
      <c r="AUE98" s="1251"/>
      <c r="AUF98" s="1251"/>
      <c r="AUG98" s="1251"/>
      <c r="AUH98" s="1251"/>
      <c r="AUI98" s="1251"/>
      <c r="AUJ98" s="1251"/>
      <c r="AUK98" s="1251"/>
      <c r="AUL98" s="1251"/>
      <c r="AUM98" s="1251"/>
      <c r="AUN98" s="1251"/>
      <c r="AUO98" s="1251"/>
      <c r="AUP98" s="1251"/>
      <c r="AUQ98" s="1251"/>
      <c r="AUR98" s="1251"/>
      <c r="AUS98" s="1251"/>
      <c r="AUT98" s="1251"/>
      <c r="AUU98" s="1251"/>
      <c r="AUV98" s="1251"/>
      <c r="AUW98" s="1251"/>
      <c r="AUX98" s="1251"/>
      <c r="AUY98" s="1251"/>
      <c r="AUZ98" s="1251"/>
      <c r="AVA98" s="1251"/>
      <c r="AVB98" s="1251"/>
      <c r="AVC98" s="1251"/>
      <c r="AVD98" s="1251"/>
      <c r="AVE98" s="1251"/>
      <c r="AVF98" s="1251"/>
      <c r="AVG98" s="1251"/>
      <c r="AVH98" s="1251"/>
      <c r="AVI98" s="1251"/>
      <c r="AVJ98" s="1251"/>
      <c r="AVK98" s="1251"/>
      <c r="AVL98" s="1251"/>
      <c r="AVM98" s="1251"/>
      <c r="AVN98" s="1251"/>
      <c r="AVO98" s="1251"/>
      <c r="AVP98" s="1251"/>
      <c r="AVQ98" s="1251"/>
      <c r="AVR98" s="1251"/>
      <c r="AVS98" s="1251"/>
      <c r="AVT98" s="1251"/>
      <c r="AVU98" s="1251"/>
      <c r="AVV98" s="1251"/>
      <c r="AVW98" s="1251"/>
      <c r="AVX98" s="1251"/>
      <c r="AVY98" s="1251"/>
      <c r="AVZ98" s="1251"/>
      <c r="AWA98" s="1251"/>
      <c r="AWB98" s="1251"/>
      <c r="AWC98" s="1251"/>
      <c r="AWD98" s="1251"/>
      <c r="AWE98" s="1251"/>
      <c r="AWF98" s="1251"/>
      <c r="AWG98" s="1251"/>
      <c r="AWH98" s="1251"/>
      <c r="AWI98" s="1251"/>
      <c r="AWJ98" s="1251"/>
      <c r="AWK98" s="1251"/>
      <c r="AWL98" s="1251"/>
      <c r="AWM98" s="1251"/>
      <c r="AWN98" s="1251"/>
      <c r="AWO98" s="1251"/>
      <c r="AWP98" s="1251"/>
      <c r="AWQ98" s="1251"/>
      <c r="AWR98" s="1251"/>
      <c r="AWS98" s="1251"/>
      <c r="AWT98" s="1251"/>
      <c r="AWU98" s="1251"/>
      <c r="AWV98" s="1251"/>
      <c r="AWW98" s="1251"/>
      <c r="AWX98" s="1251"/>
      <c r="AWY98" s="1251"/>
      <c r="AWZ98" s="1251"/>
      <c r="AXA98" s="1251"/>
      <c r="AXB98" s="1251"/>
      <c r="AXC98" s="1251"/>
      <c r="AXD98" s="1251"/>
      <c r="AXE98" s="1251"/>
      <c r="AXF98" s="1251"/>
      <c r="AXG98" s="1251"/>
      <c r="AXH98" s="1251"/>
      <c r="AXI98" s="1251"/>
      <c r="AXJ98" s="1251"/>
      <c r="AXK98" s="1251"/>
      <c r="AXL98" s="1251"/>
      <c r="AXM98" s="1251"/>
      <c r="AXN98" s="1251"/>
      <c r="AXO98" s="1251"/>
      <c r="AXP98" s="1251"/>
      <c r="AXQ98" s="1251"/>
      <c r="AXR98" s="1251"/>
      <c r="AXS98" s="1251"/>
      <c r="AXT98" s="1251"/>
      <c r="AXU98" s="1251"/>
      <c r="AXV98" s="1251"/>
      <c r="AXW98" s="1251"/>
      <c r="AXX98" s="1251"/>
      <c r="AXY98" s="1251"/>
      <c r="AXZ98" s="1251"/>
      <c r="AYA98" s="1251"/>
      <c r="AYB98" s="1251"/>
      <c r="AYC98" s="1251"/>
      <c r="AYD98" s="1251"/>
      <c r="AYE98" s="1251"/>
      <c r="AYF98" s="1251"/>
      <c r="AYG98" s="1251"/>
      <c r="AYH98" s="1251"/>
      <c r="AYI98" s="1251"/>
      <c r="AYJ98" s="1251"/>
      <c r="AYK98" s="1251"/>
      <c r="AYL98" s="1251"/>
      <c r="AYM98" s="1251"/>
      <c r="AYN98" s="1251"/>
      <c r="AYO98" s="1251"/>
      <c r="AYP98" s="1251"/>
      <c r="AYQ98" s="1251"/>
      <c r="AYR98" s="1251"/>
      <c r="AYS98" s="1251"/>
      <c r="AYT98" s="1251"/>
      <c r="AYU98" s="1251"/>
      <c r="AYV98" s="1251"/>
      <c r="AYW98" s="1251"/>
      <c r="AYX98" s="1251"/>
      <c r="AYY98" s="1251"/>
      <c r="AYZ98" s="1251"/>
      <c r="AZA98" s="1251"/>
      <c r="AZB98" s="1251"/>
      <c r="AZC98" s="1251"/>
      <c r="AZD98" s="1251"/>
      <c r="AZE98" s="1251"/>
      <c r="AZF98" s="1251"/>
      <c r="AZG98" s="1251"/>
      <c r="AZH98" s="1251"/>
      <c r="AZI98" s="1251"/>
      <c r="AZJ98" s="1251"/>
      <c r="AZK98" s="1251"/>
      <c r="AZL98" s="1251"/>
      <c r="AZM98" s="1251"/>
      <c r="AZN98" s="1251"/>
      <c r="AZO98" s="1251"/>
      <c r="AZP98" s="1251"/>
      <c r="AZQ98" s="1251"/>
      <c r="AZR98" s="1251"/>
      <c r="AZS98" s="1251"/>
      <c r="AZT98" s="1251"/>
      <c r="AZU98" s="1251"/>
      <c r="AZV98" s="1251"/>
      <c r="AZW98" s="1251"/>
      <c r="AZX98" s="1251"/>
      <c r="AZY98" s="1251"/>
      <c r="AZZ98" s="1251"/>
      <c r="BAA98" s="1251"/>
      <c r="BAB98" s="1251"/>
      <c r="BAC98" s="1251"/>
      <c r="BAD98" s="1251"/>
      <c r="BAE98" s="1251"/>
      <c r="BAF98" s="1251"/>
      <c r="BAG98" s="1251"/>
      <c r="BAH98" s="1251"/>
      <c r="BAI98" s="1251"/>
      <c r="BAJ98" s="1251"/>
      <c r="BAK98" s="1251"/>
      <c r="BAL98" s="1251"/>
      <c r="BAM98" s="1251"/>
      <c r="BAN98" s="1251"/>
      <c r="BAO98" s="1251"/>
      <c r="BAP98" s="1251"/>
      <c r="BAQ98" s="1251"/>
      <c r="BAR98" s="1251"/>
      <c r="BAS98" s="1251"/>
      <c r="BAT98" s="1251"/>
      <c r="BAU98" s="1251"/>
      <c r="BAV98" s="1251"/>
      <c r="BAW98" s="1251"/>
      <c r="BAX98" s="1251"/>
      <c r="BAY98" s="1251"/>
      <c r="BAZ98" s="1251"/>
      <c r="BBA98" s="1251"/>
      <c r="BBB98" s="1251"/>
      <c r="BBC98" s="1251"/>
      <c r="BBD98" s="1251"/>
      <c r="BBE98" s="1251"/>
      <c r="BBF98" s="1251"/>
      <c r="BBG98" s="1251"/>
      <c r="BBH98" s="1251"/>
      <c r="BBI98" s="1251"/>
      <c r="BBJ98" s="1251"/>
      <c r="BBK98" s="1251"/>
      <c r="BBL98" s="1251"/>
      <c r="BBM98" s="1251"/>
      <c r="BBN98" s="1251"/>
      <c r="BBO98" s="1251"/>
      <c r="BBP98" s="1251"/>
      <c r="BBQ98" s="1251"/>
      <c r="BBR98" s="1251"/>
      <c r="BBS98" s="1251"/>
      <c r="BBT98" s="1251"/>
      <c r="BBU98" s="1251"/>
      <c r="BBV98" s="1251"/>
      <c r="BBW98" s="1251"/>
      <c r="BBX98" s="1251"/>
      <c r="BBY98" s="1251"/>
      <c r="BBZ98" s="1251"/>
      <c r="BCA98" s="1251"/>
      <c r="BCB98" s="1251"/>
      <c r="BCC98" s="1251"/>
      <c r="BCD98" s="1251"/>
      <c r="BCE98" s="1251"/>
      <c r="BCF98" s="1251"/>
      <c r="BCG98" s="1251"/>
      <c r="BCH98" s="1251"/>
      <c r="BCI98" s="1251"/>
      <c r="BCJ98" s="1251"/>
      <c r="BCK98" s="1251"/>
      <c r="BCL98" s="1251"/>
      <c r="BCM98" s="1251"/>
      <c r="BCN98" s="1251"/>
      <c r="BCO98" s="1251"/>
      <c r="BCP98" s="1251"/>
      <c r="BCQ98" s="1251"/>
      <c r="BCR98" s="1251"/>
      <c r="BCS98" s="1251"/>
      <c r="BCT98" s="1251"/>
      <c r="BCU98" s="1251"/>
      <c r="BCV98" s="1251"/>
      <c r="BCW98" s="1251"/>
      <c r="BCX98" s="1251"/>
      <c r="BCY98" s="1251"/>
      <c r="BCZ98" s="1251"/>
      <c r="BDA98" s="1251"/>
      <c r="BDB98" s="1251"/>
      <c r="BDC98" s="1251"/>
      <c r="BDD98" s="1251"/>
      <c r="BDE98" s="1251"/>
      <c r="BDF98" s="1251"/>
      <c r="BDG98" s="1251"/>
      <c r="BDH98" s="1251"/>
      <c r="BDI98" s="1251"/>
      <c r="BDJ98" s="1251"/>
      <c r="BDK98" s="1251"/>
      <c r="BDL98" s="1251"/>
      <c r="BDM98" s="1251"/>
      <c r="BDN98" s="1251"/>
      <c r="BDO98" s="1251"/>
      <c r="BDP98" s="1251"/>
      <c r="BDQ98" s="1251"/>
      <c r="BDR98" s="1251"/>
      <c r="BDS98" s="1251"/>
      <c r="BDT98" s="1251"/>
      <c r="BDU98" s="1251"/>
      <c r="BDV98" s="1251"/>
      <c r="BDW98" s="1251"/>
      <c r="BDX98" s="1251"/>
      <c r="BDY98" s="1251"/>
      <c r="BDZ98" s="1251"/>
      <c r="BEA98" s="1251"/>
      <c r="BEB98" s="1251"/>
      <c r="BEC98" s="1251"/>
      <c r="BED98" s="1251"/>
      <c r="BEE98" s="1251"/>
      <c r="BEF98" s="1251"/>
      <c r="BEG98" s="1251"/>
      <c r="BEH98" s="1251"/>
      <c r="BEI98" s="1251"/>
      <c r="BEJ98" s="1251"/>
      <c r="BEK98" s="1251"/>
      <c r="BEL98" s="1251"/>
      <c r="BEM98" s="1251"/>
      <c r="BEN98" s="1251"/>
      <c r="BEO98" s="1251"/>
      <c r="BEP98" s="1251"/>
      <c r="BEQ98" s="1251"/>
      <c r="BER98" s="1251"/>
      <c r="BES98" s="1251"/>
      <c r="BET98" s="1251"/>
      <c r="BEU98" s="1251"/>
      <c r="BEV98" s="1251"/>
      <c r="BEW98" s="1251"/>
      <c r="BEX98" s="1251"/>
      <c r="BEY98" s="1251"/>
      <c r="BEZ98" s="1251"/>
      <c r="BFA98" s="1251"/>
      <c r="BFB98" s="1251"/>
      <c r="BFC98" s="1251"/>
      <c r="BFD98" s="1251"/>
      <c r="BFE98" s="1251"/>
      <c r="BFF98" s="1251"/>
      <c r="BFG98" s="1251"/>
      <c r="BFH98" s="1251"/>
      <c r="BFI98" s="1251"/>
      <c r="BFJ98" s="1251"/>
      <c r="BFK98" s="1251"/>
      <c r="BFL98" s="1251"/>
      <c r="BFM98" s="1251"/>
      <c r="BFN98" s="1251"/>
      <c r="BFO98" s="1251"/>
      <c r="BFP98" s="1251"/>
      <c r="BFQ98" s="1251"/>
      <c r="BFR98" s="1251"/>
      <c r="BFS98" s="1251"/>
      <c r="BFT98" s="1251"/>
      <c r="BFU98" s="1251"/>
      <c r="BFV98" s="1251"/>
      <c r="BFW98" s="1251"/>
      <c r="BFX98" s="1251"/>
      <c r="BFY98" s="1251"/>
      <c r="BFZ98" s="1251"/>
      <c r="BGA98" s="1251"/>
      <c r="BGB98" s="1251"/>
      <c r="BGC98" s="1251"/>
      <c r="BGD98" s="1251"/>
      <c r="BGE98" s="1251"/>
      <c r="BGF98" s="1251"/>
      <c r="BGG98" s="1251"/>
      <c r="BGH98" s="1251"/>
      <c r="BGI98" s="1251"/>
      <c r="BGJ98" s="1251"/>
      <c r="BGK98" s="1251"/>
      <c r="BGL98" s="1251"/>
      <c r="BGM98" s="1251"/>
      <c r="BGN98" s="1251"/>
      <c r="BGO98" s="1251"/>
      <c r="BGP98" s="1251"/>
      <c r="BGQ98" s="1251"/>
      <c r="BGR98" s="1251"/>
      <c r="BGS98" s="1251"/>
      <c r="BGT98" s="1251"/>
      <c r="BGU98" s="1251"/>
      <c r="BGV98" s="1251"/>
      <c r="BGW98" s="1251"/>
      <c r="BGX98" s="1251"/>
      <c r="BGY98" s="1251"/>
      <c r="BGZ98" s="1251"/>
      <c r="BHA98" s="1251"/>
      <c r="BHB98" s="1251"/>
      <c r="BHC98" s="1251"/>
      <c r="BHD98" s="1251"/>
      <c r="BHE98" s="1251"/>
      <c r="BHF98" s="1251"/>
      <c r="BHG98" s="1251"/>
      <c r="BHH98" s="1251"/>
      <c r="BHI98" s="1251"/>
      <c r="BHJ98" s="1251"/>
      <c r="BHK98" s="1251"/>
      <c r="BHL98" s="1251"/>
      <c r="BHM98" s="1251"/>
      <c r="BHN98" s="1251"/>
      <c r="BHO98" s="1251"/>
      <c r="BHP98" s="1251"/>
      <c r="BHQ98" s="1251"/>
      <c r="BHR98" s="1251"/>
      <c r="BHS98" s="1251"/>
      <c r="BHT98" s="1251"/>
      <c r="BHU98" s="1251"/>
      <c r="BHV98" s="1251"/>
      <c r="BHW98" s="1251"/>
      <c r="BHX98" s="1251"/>
      <c r="BHY98" s="1251"/>
      <c r="BHZ98" s="1251"/>
      <c r="BIA98" s="1251"/>
      <c r="BIB98" s="1251"/>
      <c r="BIC98" s="1251"/>
      <c r="BID98" s="1251"/>
      <c r="BIE98" s="1251"/>
      <c r="BIF98" s="1251"/>
      <c r="BIG98" s="1251"/>
      <c r="BIH98" s="1251"/>
      <c r="BII98" s="1251"/>
      <c r="BIJ98" s="1251"/>
      <c r="BIK98" s="1251"/>
      <c r="BIL98" s="1251"/>
      <c r="BIM98" s="1251"/>
      <c r="BIN98" s="1251"/>
      <c r="BIO98" s="1251"/>
      <c r="BIP98" s="1251"/>
      <c r="BIQ98" s="1251"/>
      <c r="BIR98" s="1251"/>
      <c r="BIS98" s="1251"/>
      <c r="BIT98" s="1251"/>
      <c r="BIU98" s="1251"/>
      <c r="BIV98" s="1251"/>
      <c r="BIW98" s="1251"/>
      <c r="BIX98" s="1251"/>
      <c r="BIY98" s="1251"/>
      <c r="BIZ98" s="1251"/>
      <c r="BJA98" s="1251"/>
      <c r="BJB98" s="1251"/>
      <c r="BJC98" s="1251"/>
      <c r="BJD98" s="1251"/>
      <c r="BJE98" s="1251"/>
      <c r="BJF98" s="1251"/>
      <c r="BJG98" s="1251"/>
      <c r="BJH98" s="1251"/>
      <c r="BJI98" s="1251"/>
      <c r="BJJ98" s="1251"/>
      <c r="BJK98" s="1251"/>
      <c r="BJL98" s="1251"/>
      <c r="BJM98" s="1251"/>
      <c r="BJN98" s="1251"/>
      <c r="BJO98" s="1251"/>
      <c r="BJP98" s="1251"/>
      <c r="BJQ98" s="1251"/>
      <c r="BJR98" s="1251"/>
      <c r="BJS98" s="1251"/>
      <c r="BJT98" s="1251"/>
      <c r="BJU98" s="1251"/>
      <c r="BJV98" s="1251"/>
      <c r="BJW98" s="1251"/>
      <c r="BJX98" s="1251"/>
      <c r="BJY98" s="1251"/>
      <c r="BJZ98" s="1251"/>
      <c r="BKA98" s="1251"/>
      <c r="BKB98" s="1251"/>
      <c r="BKC98" s="1251"/>
      <c r="BKD98" s="1251"/>
      <c r="BKE98" s="1251"/>
      <c r="BKF98" s="1251"/>
      <c r="BKG98" s="1251"/>
      <c r="BKH98" s="1251"/>
      <c r="BKI98" s="1251"/>
      <c r="BKJ98" s="1251"/>
      <c r="BKK98" s="1251"/>
      <c r="BKL98" s="1251"/>
      <c r="BKM98" s="1251"/>
      <c r="BKN98" s="1251"/>
      <c r="BKO98" s="1251"/>
      <c r="BKP98" s="1251"/>
      <c r="BKQ98" s="1251"/>
      <c r="BKR98" s="1251"/>
      <c r="BKS98" s="1251"/>
      <c r="BKT98" s="1251"/>
      <c r="BKU98" s="1251"/>
      <c r="BKV98" s="1251"/>
      <c r="BKW98" s="1251"/>
      <c r="BKX98" s="1251"/>
      <c r="BKY98" s="1251"/>
      <c r="BKZ98" s="1251"/>
      <c r="BLA98" s="1251"/>
      <c r="BLB98" s="1251"/>
      <c r="BLC98" s="1251"/>
      <c r="BLD98" s="1251"/>
      <c r="BLE98" s="1251"/>
      <c r="BLF98" s="1251"/>
      <c r="BLG98" s="1251"/>
      <c r="BLH98" s="1251"/>
      <c r="BLI98" s="1251"/>
      <c r="BLJ98" s="1251"/>
      <c r="BLK98" s="1251"/>
      <c r="BLL98" s="1251"/>
      <c r="BLM98" s="1251"/>
      <c r="BLN98" s="1251"/>
      <c r="BLO98" s="1251"/>
      <c r="BLP98" s="1251"/>
      <c r="BLQ98" s="1251"/>
      <c r="BLR98" s="1251"/>
      <c r="BLS98" s="1251"/>
      <c r="BLT98" s="1251"/>
      <c r="BLU98" s="1251"/>
      <c r="BLV98" s="1251"/>
      <c r="BLW98" s="1251"/>
      <c r="BLX98" s="1251"/>
      <c r="BLY98" s="1251"/>
      <c r="BLZ98" s="1251"/>
      <c r="BMA98" s="1251"/>
      <c r="BMB98" s="1251"/>
      <c r="BMC98" s="1251"/>
      <c r="BMD98" s="1251"/>
      <c r="BME98" s="1251"/>
      <c r="BMF98" s="1251"/>
      <c r="BMG98" s="1251"/>
      <c r="BMH98" s="1251"/>
      <c r="BMI98" s="1251"/>
      <c r="BMJ98" s="1251"/>
      <c r="BMK98" s="1251"/>
      <c r="BML98" s="1251"/>
      <c r="BMM98" s="1251"/>
      <c r="BMN98" s="1251"/>
      <c r="BMO98" s="1251"/>
      <c r="BMP98" s="1251"/>
      <c r="BMQ98" s="1251"/>
      <c r="BMR98" s="1251"/>
      <c r="BMS98" s="1251"/>
      <c r="BMT98" s="1251"/>
      <c r="BMU98" s="1251"/>
      <c r="BMV98" s="1251"/>
      <c r="BMW98" s="1251"/>
      <c r="BMX98" s="1251"/>
      <c r="BMY98" s="1251"/>
      <c r="BMZ98" s="1251"/>
      <c r="BNA98" s="1251"/>
      <c r="BNB98" s="1251"/>
      <c r="BNC98" s="1251"/>
      <c r="BND98" s="1251"/>
      <c r="BNE98" s="1251"/>
      <c r="BNF98" s="1251"/>
      <c r="BNG98" s="1251"/>
      <c r="BNH98" s="1251"/>
      <c r="BNI98" s="1251"/>
      <c r="BNJ98" s="1251"/>
      <c r="BNK98" s="1251"/>
      <c r="BNL98" s="1251"/>
      <c r="BNM98" s="1251"/>
      <c r="BNN98" s="1251"/>
      <c r="BNO98" s="1251"/>
      <c r="BNP98" s="1251"/>
      <c r="BNQ98" s="1251"/>
      <c r="BNR98" s="1251"/>
      <c r="BNS98" s="1251"/>
      <c r="BNT98" s="1251"/>
      <c r="BNU98" s="1251"/>
      <c r="BNV98" s="1251"/>
      <c r="BNW98" s="1251"/>
      <c r="BNX98" s="1251"/>
      <c r="BNY98" s="1251"/>
      <c r="BNZ98" s="1251"/>
      <c r="BOA98" s="1251"/>
      <c r="BOB98" s="1251"/>
      <c r="BOC98" s="1251"/>
      <c r="BOD98" s="1251"/>
      <c r="BOE98" s="1251"/>
      <c r="BOF98" s="1251"/>
      <c r="BOG98" s="1251"/>
      <c r="BOH98" s="1251"/>
      <c r="BOI98" s="1251"/>
      <c r="BOJ98" s="1251"/>
      <c r="BOK98" s="1251"/>
      <c r="BOL98" s="1251"/>
      <c r="BOM98" s="1251"/>
      <c r="BON98" s="1251"/>
      <c r="BOO98" s="1251"/>
      <c r="BOP98" s="1251"/>
      <c r="BOQ98" s="1251"/>
      <c r="BOR98" s="1251"/>
      <c r="BOS98" s="1251"/>
      <c r="BOT98" s="1251"/>
      <c r="BOU98" s="1251"/>
      <c r="BOV98" s="1251"/>
      <c r="BOW98" s="1251"/>
      <c r="BOX98" s="1251"/>
      <c r="BOY98" s="1251"/>
      <c r="BOZ98" s="1251"/>
      <c r="BPA98" s="1251"/>
      <c r="BPB98" s="1251"/>
      <c r="BPC98" s="1251"/>
      <c r="BPD98" s="1251"/>
      <c r="BPE98" s="1251"/>
      <c r="BPF98" s="1251"/>
      <c r="BPG98" s="1251"/>
      <c r="BPH98" s="1251"/>
      <c r="BPI98" s="1251"/>
      <c r="BPJ98" s="1251"/>
      <c r="BPK98" s="1251"/>
      <c r="BPL98" s="1251"/>
      <c r="BPM98" s="1251"/>
      <c r="BPN98" s="1251"/>
      <c r="BPO98" s="1251"/>
      <c r="BPP98" s="1251"/>
      <c r="BPQ98" s="1251"/>
      <c r="BPR98" s="1251"/>
      <c r="BPS98" s="1251"/>
      <c r="BPT98" s="1251"/>
      <c r="BPU98" s="1251"/>
      <c r="BPV98" s="1251"/>
      <c r="BPW98" s="1251"/>
      <c r="BPX98" s="1251"/>
      <c r="BPY98" s="1251"/>
      <c r="BPZ98" s="1251"/>
      <c r="BQA98" s="1251"/>
      <c r="BQB98" s="1251"/>
      <c r="BQC98" s="1251"/>
      <c r="BQD98" s="1251"/>
      <c r="BQE98" s="1251"/>
      <c r="BQF98" s="1251"/>
      <c r="BQG98" s="1251"/>
      <c r="BQH98" s="1251"/>
      <c r="BQI98" s="1251"/>
      <c r="BQJ98" s="1251"/>
      <c r="BQK98" s="1251"/>
      <c r="BQL98" s="1251"/>
      <c r="BQM98" s="1251"/>
      <c r="BQN98" s="1251"/>
      <c r="BQO98" s="1251"/>
      <c r="BQP98" s="1251"/>
      <c r="BQQ98" s="1251"/>
      <c r="BQR98" s="1251"/>
      <c r="BQS98" s="1251"/>
      <c r="BQT98" s="1251"/>
      <c r="BQU98" s="1251"/>
      <c r="BQV98" s="1251"/>
      <c r="BQW98" s="1251"/>
      <c r="BQX98" s="1251"/>
      <c r="BQY98" s="1251"/>
      <c r="BQZ98" s="1251"/>
      <c r="BRA98" s="1251"/>
      <c r="BRB98" s="1251"/>
      <c r="BRC98" s="1251"/>
      <c r="BRD98" s="1251"/>
      <c r="BRE98" s="1251"/>
      <c r="BRF98" s="1251"/>
      <c r="BRG98" s="1251"/>
      <c r="BRH98" s="1251"/>
      <c r="BRI98" s="1251"/>
      <c r="BRJ98" s="1251"/>
      <c r="BRK98" s="1251"/>
      <c r="BRL98" s="1251"/>
      <c r="BRM98" s="1251"/>
      <c r="BRN98" s="1251"/>
      <c r="BRO98" s="1251"/>
      <c r="BRP98" s="1251"/>
      <c r="BRQ98" s="1251"/>
      <c r="BRR98" s="1251"/>
      <c r="BRS98" s="1251"/>
      <c r="BRT98" s="1251"/>
      <c r="BRU98" s="1251"/>
      <c r="BRV98" s="1251"/>
      <c r="BRW98" s="1251"/>
      <c r="BRX98" s="1251"/>
      <c r="BRY98" s="1251"/>
      <c r="BRZ98" s="1251"/>
      <c r="BSA98" s="1251"/>
      <c r="BSB98" s="1251"/>
      <c r="BSC98" s="1251"/>
      <c r="BSD98" s="1251"/>
      <c r="BSE98" s="1251"/>
      <c r="BSF98" s="1251"/>
      <c r="BSG98" s="1251"/>
      <c r="BSH98" s="1251"/>
      <c r="BSI98" s="1251"/>
      <c r="BSJ98" s="1251"/>
      <c r="BSK98" s="1251"/>
      <c r="BSL98" s="1251"/>
      <c r="BSM98" s="1251"/>
      <c r="BSN98" s="1251"/>
      <c r="BSO98" s="1251"/>
      <c r="BSP98" s="1251"/>
      <c r="BSQ98" s="1251"/>
      <c r="BSR98" s="1251"/>
      <c r="BSS98" s="1251"/>
      <c r="BST98" s="1251"/>
      <c r="BSU98" s="1251"/>
      <c r="BSV98" s="1251"/>
      <c r="BSW98" s="1251"/>
      <c r="BSX98" s="1251"/>
      <c r="BSY98" s="1251"/>
      <c r="BSZ98" s="1251"/>
      <c r="BTA98" s="1251"/>
      <c r="BTB98" s="1251"/>
      <c r="BTC98" s="1251"/>
      <c r="BTD98" s="1251"/>
      <c r="BTE98" s="1251"/>
      <c r="BTF98" s="1251"/>
      <c r="BTG98" s="1251"/>
      <c r="BTH98" s="1251"/>
      <c r="BTI98" s="1251"/>
    </row>
    <row r="99" spans="1:1881" s="1261" customFormat="1" ht="25.5" hidden="1" customHeight="1" thickBot="1" x14ac:dyDescent="0.35">
      <c r="A99" s="1248"/>
      <c r="B99" s="829" t="s">
        <v>11</v>
      </c>
      <c r="C99" s="830"/>
      <c r="D99" s="831"/>
      <c r="E99" s="827"/>
      <c r="F99" s="1270"/>
      <c r="G99" s="832"/>
      <c r="H99" s="17"/>
      <c r="I99" s="760"/>
      <c r="J99" s="1251"/>
      <c r="K99" s="1251"/>
      <c r="L99" s="701"/>
      <c r="M99" s="1251"/>
      <c r="N99" s="1253"/>
      <c r="O99" s="1251"/>
      <c r="P99" s="1251"/>
      <c r="Q99" s="1251"/>
      <c r="R99" s="1251"/>
      <c r="S99" s="1251"/>
      <c r="T99" s="1251"/>
      <c r="U99" s="1251"/>
      <c r="V99" s="1251"/>
      <c r="W99" s="1251"/>
      <c r="X99" s="1251"/>
      <c r="Y99" s="1251"/>
      <c r="Z99" s="1248"/>
      <c r="AA99" s="1248"/>
      <c r="AB99" s="1248"/>
      <c r="AC99" s="1248"/>
      <c r="AD99" s="1248"/>
      <c r="AE99" s="1248"/>
      <c r="AF99" s="1248"/>
      <c r="AG99" s="1248"/>
      <c r="AH99" s="1248"/>
      <c r="AI99" s="1248"/>
      <c r="AJ99" s="1248"/>
      <c r="AK99" s="1248"/>
      <c r="AL99" s="1248"/>
      <c r="AM99" s="1248"/>
      <c r="AN99" s="1248"/>
      <c r="AO99" s="1248"/>
      <c r="AP99" s="1248"/>
      <c r="AQ99" s="1248"/>
      <c r="AR99" s="1248"/>
      <c r="AS99" s="1251"/>
      <c r="AT99" s="1251"/>
      <c r="AU99" s="1251"/>
      <c r="AV99" s="1251"/>
      <c r="AW99" s="1251"/>
      <c r="AX99" s="1251"/>
      <c r="AY99" s="1251"/>
      <c r="AZ99" s="1251"/>
      <c r="BA99" s="1251"/>
      <c r="BB99" s="1251"/>
      <c r="BC99" s="1251"/>
      <c r="BD99" s="1251"/>
      <c r="BE99" s="1251"/>
      <c r="BF99" s="1251"/>
      <c r="BG99" s="1251"/>
      <c r="BH99" s="1251"/>
      <c r="BI99" s="1251"/>
      <c r="BJ99" s="1251"/>
      <c r="BK99" s="1251"/>
      <c r="BL99" s="1251"/>
      <c r="BM99" s="1251"/>
      <c r="BN99" s="1251"/>
      <c r="BO99" s="1251"/>
      <c r="BP99" s="1251"/>
      <c r="BQ99" s="1251"/>
      <c r="BR99" s="1251"/>
      <c r="BS99" s="1251"/>
      <c r="BT99" s="1251"/>
      <c r="BU99" s="1251"/>
      <c r="BV99" s="1251"/>
      <c r="BW99" s="1251"/>
      <c r="BX99" s="1251"/>
      <c r="BY99" s="1251"/>
      <c r="BZ99" s="1251"/>
      <c r="CA99" s="1251"/>
      <c r="CB99" s="1251"/>
      <c r="CC99" s="1251"/>
      <c r="CD99" s="1251"/>
      <c r="CE99" s="1251"/>
      <c r="CF99" s="1251"/>
      <c r="CG99" s="1251"/>
      <c r="CH99" s="1251"/>
      <c r="CI99" s="1251"/>
      <c r="CJ99" s="1251"/>
      <c r="CK99" s="1251"/>
      <c r="CL99" s="1251"/>
      <c r="CM99" s="1251"/>
      <c r="CN99" s="1251"/>
      <c r="CO99" s="1251"/>
      <c r="CP99" s="1251"/>
      <c r="CQ99" s="1251"/>
      <c r="CR99" s="1251"/>
      <c r="CS99" s="1251"/>
      <c r="CT99" s="1251"/>
      <c r="CU99" s="1251"/>
      <c r="CV99" s="1251"/>
      <c r="CW99" s="1251"/>
      <c r="CX99" s="1251"/>
      <c r="CY99" s="1251"/>
      <c r="CZ99" s="1251"/>
      <c r="DA99" s="1251"/>
      <c r="DB99" s="1251"/>
      <c r="DC99" s="1251"/>
      <c r="DD99" s="1251"/>
      <c r="DE99" s="1251"/>
      <c r="DF99" s="1251"/>
      <c r="DG99" s="1251"/>
      <c r="DH99" s="1251"/>
      <c r="DI99" s="1251"/>
      <c r="DJ99" s="1251"/>
      <c r="DK99" s="1251"/>
      <c r="DL99" s="1251"/>
      <c r="DM99" s="1251"/>
      <c r="DN99" s="1251"/>
      <c r="DO99" s="1251"/>
      <c r="DP99" s="1251"/>
      <c r="DQ99" s="1251"/>
      <c r="DR99" s="1251"/>
      <c r="DS99" s="1251"/>
      <c r="DT99" s="1251"/>
      <c r="DU99" s="1251"/>
      <c r="DV99" s="1251"/>
      <c r="DW99" s="1251"/>
      <c r="DX99" s="1251"/>
      <c r="DY99" s="1251"/>
      <c r="DZ99" s="1251"/>
      <c r="EA99" s="1251"/>
      <c r="EB99" s="1251"/>
      <c r="EC99" s="1251"/>
      <c r="ED99" s="1251"/>
      <c r="EE99" s="1251"/>
      <c r="EF99" s="1251"/>
      <c r="EG99" s="1251"/>
      <c r="EH99" s="1251"/>
      <c r="EI99" s="1251"/>
      <c r="EJ99" s="1251"/>
      <c r="EK99" s="1251"/>
      <c r="EL99" s="1251"/>
      <c r="EM99" s="1251"/>
      <c r="EN99" s="1251"/>
      <c r="EO99" s="1251"/>
      <c r="EP99" s="1251"/>
      <c r="EQ99" s="1251"/>
      <c r="ER99" s="1251"/>
      <c r="ES99" s="1251"/>
      <c r="ET99" s="1251"/>
      <c r="EU99" s="1251"/>
      <c r="EV99" s="1251"/>
      <c r="EW99" s="1251"/>
      <c r="EX99" s="1251"/>
      <c r="EY99" s="1251"/>
      <c r="EZ99" s="1251"/>
      <c r="FA99" s="1251"/>
      <c r="FB99" s="1251"/>
      <c r="FC99" s="1251"/>
      <c r="FD99" s="1251"/>
      <c r="FE99" s="1251"/>
      <c r="FF99" s="1251"/>
      <c r="FG99" s="1251"/>
      <c r="FH99" s="1251"/>
      <c r="FI99" s="1251"/>
      <c r="FJ99" s="1251"/>
      <c r="FK99" s="1251"/>
      <c r="FL99" s="1251"/>
      <c r="FM99" s="1251"/>
      <c r="FN99" s="1251"/>
      <c r="FO99" s="1251"/>
      <c r="FP99" s="1251"/>
      <c r="FQ99" s="1251"/>
      <c r="FR99" s="1251"/>
      <c r="FS99" s="1251"/>
      <c r="FT99" s="1251"/>
      <c r="FU99" s="1251"/>
      <c r="FV99" s="1251"/>
      <c r="FW99" s="1251"/>
      <c r="FX99" s="1251"/>
      <c r="FY99" s="1251"/>
      <c r="FZ99" s="1251"/>
      <c r="GA99" s="1251"/>
      <c r="GB99" s="1251"/>
      <c r="GC99" s="1251"/>
      <c r="GD99" s="1251"/>
      <c r="GE99" s="1251"/>
      <c r="GF99" s="1251"/>
      <c r="GG99" s="1251"/>
      <c r="GH99" s="1251"/>
      <c r="GI99" s="1251"/>
      <c r="GJ99" s="1251"/>
      <c r="GK99" s="1251"/>
      <c r="GL99" s="1251"/>
      <c r="GM99" s="1251"/>
      <c r="GN99" s="1251"/>
      <c r="GO99" s="1251"/>
      <c r="GP99" s="1251"/>
      <c r="GQ99" s="1251"/>
      <c r="GR99" s="1251"/>
      <c r="GS99" s="1251"/>
      <c r="GT99" s="1251"/>
      <c r="GU99" s="1251"/>
      <c r="GV99" s="1251"/>
      <c r="GW99" s="1251"/>
      <c r="GX99" s="1251"/>
      <c r="GY99" s="1251"/>
      <c r="GZ99" s="1251"/>
      <c r="HA99" s="1251"/>
      <c r="HB99" s="1251"/>
      <c r="HC99" s="1251"/>
      <c r="HD99" s="1251"/>
      <c r="HE99" s="1251"/>
      <c r="HF99" s="1251"/>
      <c r="HG99" s="1251"/>
      <c r="HH99" s="1251"/>
      <c r="HI99" s="1251"/>
      <c r="HJ99" s="1251"/>
      <c r="HK99" s="1251"/>
      <c r="HL99" s="1251"/>
      <c r="HM99" s="1251"/>
      <c r="HN99" s="1251"/>
      <c r="HO99" s="1251"/>
      <c r="HP99" s="1251"/>
      <c r="HQ99" s="1251"/>
      <c r="HR99" s="1251"/>
      <c r="HS99" s="1251"/>
      <c r="HT99" s="1251"/>
      <c r="HU99" s="1251"/>
      <c r="HV99" s="1251"/>
      <c r="HW99" s="1251"/>
      <c r="HX99" s="1251"/>
      <c r="HY99" s="1251"/>
      <c r="HZ99" s="1251"/>
      <c r="IA99" s="1251"/>
      <c r="IB99" s="1251"/>
      <c r="IC99" s="1251"/>
      <c r="ID99" s="1251"/>
      <c r="IE99" s="1251"/>
      <c r="IF99" s="1251"/>
      <c r="IG99" s="1251"/>
      <c r="IH99" s="1251"/>
      <c r="II99" s="1251"/>
      <c r="IJ99" s="1251"/>
      <c r="IK99" s="1251"/>
      <c r="IL99" s="1251"/>
      <c r="IM99" s="1251"/>
      <c r="IN99" s="1251"/>
      <c r="IO99" s="1251"/>
      <c r="IP99" s="1251"/>
      <c r="IQ99" s="1251"/>
      <c r="IR99" s="1251"/>
      <c r="IS99" s="1251"/>
      <c r="IT99" s="1251"/>
      <c r="IU99" s="1251"/>
      <c r="IV99" s="1251"/>
      <c r="IW99" s="1251"/>
      <c r="IX99" s="1251"/>
      <c r="IY99" s="1251"/>
      <c r="IZ99" s="1251"/>
      <c r="JA99" s="1251"/>
      <c r="JB99" s="1251"/>
      <c r="JC99" s="1251"/>
      <c r="JD99" s="1251"/>
      <c r="JE99" s="1251"/>
      <c r="JF99" s="1251"/>
      <c r="JG99" s="1251"/>
      <c r="JH99" s="1251"/>
      <c r="JI99" s="1251"/>
      <c r="JJ99" s="1251"/>
      <c r="JK99" s="1251"/>
      <c r="JL99" s="1251"/>
      <c r="JM99" s="1251"/>
      <c r="JN99" s="1251"/>
      <c r="JO99" s="1251"/>
      <c r="JP99" s="1251"/>
      <c r="JQ99" s="1251"/>
      <c r="JR99" s="1251"/>
      <c r="JS99" s="1251"/>
      <c r="JT99" s="1251"/>
      <c r="JU99" s="1251"/>
      <c r="JV99" s="1251"/>
      <c r="JW99" s="1251"/>
      <c r="JX99" s="1251"/>
      <c r="JY99" s="1251"/>
      <c r="JZ99" s="1251"/>
      <c r="KA99" s="1251"/>
      <c r="KB99" s="1251"/>
      <c r="KC99" s="1251"/>
      <c r="KD99" s="1251"/>
      <c r="KE99" s="1251"/>
      <c r="KF99" s="1251"/>
      <c r="KG99" s="1251"/>
      <c r="KH99" s="1251"/>
      <c r="KI99" s="1251"/>
      <c r="KJ99" s="1251"/>
      <c r="KK99" s="1251"/>
      <c r="KL99" s="1251"/>
      <c r="KM99" s="1251"/>
      <c r="KN99" s="1251"/>
      <c r="KO99" s="1251"/>
      <c r="KP99" s="1251"/>
      <c r="KQ99" s="1251"/>
      <c r="KR99" s="1251"/>
      <c r="KS99" s="1251"/>
      <c r="KT99" s="1251"/>
      <c r="KU99" s="1251"/>
      <c r="KV99" s="1251"/>
      <c r="KW99" s="1251"/>
      <c r="KX99" s="1251"/>
      <c r="KY99" s="1251"/>
      <c r="KZ99" s="1251"/>
      <c r="LA99" s="1251"/>
      <c r="LB99" s="1251"/>
      <c r="LC99" s="1251"/>
      <c r="LD99" s="1251"/>
      <c r="LE99" s="1251"/>
      <c r="LF99" s="1251"/>
      <c r="LG99" s="1251"/>
      <c r="LH99" s="1251"/>
      <c r="LI99" s="1251"/>
      <c r="LJ99" s="1251"/>
      <c r="LK99" s="1251"/>
      <c r="LL99" s="1251"/>
      <c r="LM99" s="1251"/>
      <c r="LN99" s="1251"/>
      <c r="LO99" s="1251"/>
      <c r="LP99" s="1251"/>
      <c r="LQ99" s="1251"/>
      <c r="LR99" s="1251"/>
      <c r="LS99" s="1251"/>
      <c r="LT99" s="1251"/>
      <c r="LU99" s="1251"/>
      <c r="LV99" s="1251"/>
      <c r="LW99" s="1251"/>
      <c r="LX99" s="1251"/>
      <c r="LY99" s="1251"/>
      <c r="LZ99" s="1251"/>
      <c r="MA99" s="1251"/>
      <c r="MB99" s="1251"/>
      <c r="MC99" s="1251"/>
      <c r="MD99" s="1251"/>
      <c r="ME99" s="1251"/>
      <c r="MF99" s="1251"/>
      <c r="MG99" s="1251"/>
      <c r="MH99" s="1251"/>
      <c r="MI99" s="1251"/>
      <c r="MJ99" s="1251"/>
      <c r="MK99" s="1251"/>
      <c r="ML99" s="1251"/>
      <c r="MM99" s="1251"/>
      <c r="MN99" s="1251"/>
      <c r="MO99" s="1251"/>
      <c r="MP99" s="1251"/>
      <c r="MQ99" s="1251"/>
      <c r="MR99" s="1251"/>
      <c r="MS99" s="1251"/>
      <c r="MT99" s="1251"/>
      <c r="MU99" s="1251"/>
      <c r="MV99" s="1251"/>
      <c r="MW99" s="1251"/>
      <c r="MX99" s="1251"/>
      <c r="MY99" s="1251"/>
      <c r="MZ99" s="1251"/>
      <c r="NA99" s="1251"/>
      <c r="NB99" s="1251"/>
      <c r="NC99" s="1251"/>
      <c r="ND99" s="1251"/>
      <c r="NE99" s="1251"/>
      <c r="NF99" s="1251"/>
      <c r="NG99" s="1251"/>
      <c r="NH99" s="1251"/>
      <c r="NI99" s="1251"/>
      <c r="NJ99" s="1251"/>
      <c r="NK99" s="1251"/>
      <c r="NL99" s="1251"/>
      <c r="NM99" s="1251"/>
      <c r="NN99" s="1251"/>
      <c r="NO99" s="1251"/>
      <c r="NP99" s="1251"/>
      <c r="NQ99" s="1251"/>
      <c r="NR99" s="1251"/>
      <c r="NS99" s="1251"/>
      <c r="NT99" s="1251"/>
      <c r="NU99" s="1251"/>
      <c r="NV99" s="1251"/>
      <c r="NW99" s="1251"/>
      <c r="NX99" s="1251"/>
      <c r="NY99" s="1251"/>
      <c r="NZ99" s="1251"/>
      <c r="OA99" s="1251"/>
      <c r="OB99" s="1251"/>
      <c r="OC99" s="1251"/>
      <c r="OD99" s="1251"/>
      <c r="OE99" s="1251"/>
      <c r="OF99" s="1251"/>
      <c r="OG99" s="1251"/>
      <c r="OH99" s="1251"/>
      <c r="OI99" s="1251"/>
      <c r="OJ99" s="1251"/>
      <c r="OK99" s="1251"/>
      <c r="OL99" s="1251"/>
      <c r="OM99" s="1251"/>
      <c r="ON99" s="1251"/>
      <c r="OO99" s="1251"/>
      <c r="OP99" s="1251"/>
      <c r="OQ99" s="1251"/>
      <c r="OR99" s="1251"/>
      <c r="OS99" s="1251"/>
      <c r="OT99" s="1251"/>
      <c r="OU99" s="1251"/>
      <c r="OV99" s="1251"/>
      <c r="OW99" s="1251"/>
      <c r="OX99" s="1251"/>
      <c r="OY99" s="1251"/>
      <c r="OZ99" s="1251"/>
      <c r="PA99" s="1251"/>
      <c r="PB99" s="1251"/>
      <c r="PC99" s="1251"/>
      <c r="PD99" s="1251"/>
      <c r="PE99" s="1251"/>
      <c r="PF99" s="1251"/>
      <c r="PG99" s="1251"/>
      <c r="PH99" s="1251"/>
      <c r="PI99" s="1251"/>
      <c r="PJ99" s="1251"/>
      <c r="PK99" s="1251"/>
      <c r="PL99" s="1251"/>
      <c r="PM99" s="1251"/>
      <c r="PN99" s="1251"/>
      <c r="PO99" s="1251"/>
      <c r="PP99" s="1251"/>
      <c r="PQ99" s="1251"/>
      <c r="PR99" s="1251"/>
      <c r="PS99" s="1251"/>
      <c r="PT99" s="1251"/>
      <c r="PU99" s="1251"/>
      <c r="PV99" s="1251"/>
      <c r="PW99" s="1251"/>
      <c r="PX99" s="1251"/>
      <c r="PY99" s="1251"/>
      <c r="PZ99" s="1251"/>
      <c r="QA99" s="1251"/>
      <c r="QB99" s="1251"/>
      <c r="QC99" s="1251"/>
      <c r="QD99" s="1251"/>
      <c r="QE99" s="1251"/>
      <c r="QF99" s="1251"/>
      <c r="QG99" s="1251"/>
      <c r="QH99" s="1251"/>
      <c r="QI99" s="1251"/>
      <c r="QJ99" s="1251"/>
      <c r="QK99" s="1251"/>
      <c r="QL99" s="1251"/>
      <c r="QM99" s="1251"/>
      <c r="QN99" s="1251"/>
      <c r="QO99" s="1251"/>
      <c r="QP99" s="1251"/>
      <c r="QQ99" s="1251"/>
      <c r="QR99" s="1251"/>
      <c r="QS99" s="1251"/>
      <c r="QT99" s="1251"/>
      <c r="QU99" s="1251"/>
      <c r="QV99" s="1251"/>
      <c r="QW99" s="1251"/>
      <c r="QX99" s="1251"/>
      <c r="QY99" s="1251"/>
      <c r="QZ99" s="1251"/>
      <c r="RA99" s="1251"/>
      <c r="RB99" s="1251"/>
      <c r="RC99" s="1251"/>
      <c r="RD99" s="1251"/>
      <c r="RE99" s="1251"/>
      <c r="RF99" s="1251"/>
      <c r="RG99" s="1251"/>
      <c r="RH99" s="1251"/>
      <c r="RI99" s="1251"/>
      <c r="RJ99" s="1251"/>
      <c r="RK99" s="1251"/>
      <c r="RL99" s="1251"/>
      <c r="RM99" s="1251"/>
      <c r="RN99" s="1251"/>
      <c r="RO99" s="1251"/>
      <c r="RP99" s="1251"/>
      <c r="RQ99" s="1251"/>
      <c r="RR99" s="1251"/>
      <c r="RS99" s="1251"/>
      <c r="RT99" s="1251"/>
      <c r="RU99" s="1251"/>
      <c r="RV99" s="1251"/>
      <c r="RW99" s="1251"/>
      <c r="RX99" s="1251"/>
      <c r="RY99" s="1251"/>
      <c r="RZ99" s="1251"/>
      <c r="SA99" s="1251"/>
      <c r="SB99" s="1251"/>
      <c r="SC99" s="1251"/>
      <c r="SD99" s="1251"/>
      <c r="SE99" s="1251"/>
      <c r="SF99" s="1251"/>
      <c r="SG99" s="1251"/>
      <c r="SH99" s="1251"/>
      <c r="SI99" s="1251"/>
      <c r="SJ99" s="1251"/>
      <c r="SK99" s="1251"/>
      <c r="SL99" s="1251"/>
      <c r="SM99" s="1251"/>
      <c r="SN99" s="1251"/>
      <c r="SO99" s="1251"/>
      <c r="SP99" s="1251"/>
      <c r="SQ99" s="1251"/>
      <c r="SR99" s="1251"/>
      <c r="SS99" s="1251"/>
      <c r="ST99" s="1251"/>
      <c r="SU99" s="1251"/>
      <c r="SV99" s="1251"/>
      <c r="SW99" s="1251"/>
      <c r="SX99" s="1251"/>
      <c r="SY99" s="1251"/>
      <c r="SZ99" s="1251"/>
      <c r="TA99" s="1251"/>
      <c r="TB99" s="1251"/>
      <c r="TC99" s="1251"/>
      <c r="TD99" s="1251"/>
      <c r="TE99" s="1251"/>
      <c r="TF99" s="1251"/>
      <c r="TG99" s="1251"/>
      <c r="TH99" s="1251"/>
      <c r="TI99" s="1251"/>
      <c r="TJ99" s="1251"/>
      <c r="TK99" s="1251"/>
      <c r="TL99" s="1251"/>
      <c r="TM99" s="1251"/>
      <c r="TN99" s="1251"/>
      <c r="TO99" s="1251"/>
      <c r="TP99" s="1251"/>
      <c r="TQ99" s="1251"/>
      <c r="TR99" s="1251"/>
      <c r="TS99" s="1251"/>
      <c r="TT99" s="1251"/>
      <c r="TU99" s="1251"/>
      <c r="TV99" s="1251"/>
      <c r="TW99" s="1251"/>
      <c r="TX99" s="1251"/>
      <c r="TY99" s="1251"/>
      <c r="TZ99" s="1251"/>
      <c r="UA99" s="1251"/>
      <c r="UB99" s="1251"/>
      <c r="UC99" s="1251"/>
      <c r="UD99" s="1251"/>
      <c r="UE99" s="1251"/>
      <c r="UF99" s="1251"/>
      <c r="UG99" s="1251"/>
      <c r="UH99" s="1251"/>
      <c r="UI99" s="1251"/>
      <c r="UJ99" s="1251"/>
      <c r="UK99" s="1251"/>
      <c r="UL99" s="1251"/>
      <c r="UM99" s="1251"/>
      <c r="UN99" s="1251"/>
      <c r="UO99" s="1251"/>
      <c r="UP99" s="1251"/>
      <c r="UQ99" s="1251"/>
      <c r="UR99" s="1251"/>
      <c r="US99" s="1251"/>
      <c r="UT99" s="1251"/>
      <c r="UU99" s="1251"/>
      <c r="UV99" s="1251"/>
      <c r="UW99" s="1251"/>
      <c r="UX99" s="1251"/>
      <c r="UY99" s="1251"/>
      <c r="UZ99" s="1251"/>
      <c r="VA99" s="1251"/>
      <c r="VB99" s="1251"/>
      <c r="VC99" s="1251"/>
      <c r="VD99" s="1251"/>
      <c r="VE99" s="1251"/>
      <c r="VF99" s="1251"/>
      <c r="VG99" s="1251"/>
      <c r="VH99" s="1251"/>
      <c r="VI99" s="1251"/>
      <c r="VJ99" s="1251"/>
      <c r="VK99" s="1251"/>
      <c r="VL99" s="1251"/>
      <c r="VM99" s="1251"/>
      <c r="VN99" s="1251"/>
      <c r="VO99" s="1251"/>
      <c r="VP99" s="1251"/>
      <c r="VQ99" s="1251"/>
      <c r="VR99" s="1251"/>
      <c r="VS99" s="1251"/>
      <c r="VT99" s="1251"/>
      <c r="VU99" s="1251"/>
      <c r="VV99" s="1251"/>
      <c r="VW99" s="1251"/>
      <c r="VX99" s="1251"/>
      <c r="VY99" s="1251"/>
      <c r="VZ99" s="1251"/>
      <c r="WA99" s="1251"/>
      <c r="WB99" s="1251"/>
      <c r="WC99" s="1251"/>
      <c r="WD99" s="1251"/>
      <c r="WE99" s="1251"/>
      <c r="WF99" s="1251"/>
      <c r="WG99" s="1251"/>
      <c r="WH99" s="1251"/>
      <c r="WI99" s="1251"/>
      <c r="WJ99" s="1251"/>
      <c r="WK99" s="1251"/>
      <c r="WL99" s="1251"/>
      <c r="WM99" s="1251"/>
      <c r="WN99" s="1251"/>
      <c r="WO99" s="1251"/>
      <c r="WP99" s="1251"/>
      <c r="WQ99" s="1251"/>
      <c r="WR99" s="1251"/>
      <c r="WS99" s="1251"/>
      <c r="WT99" s="1251"/>
      <c r="WU99" s="1251"/>
      <c r="WV99" s="1251"/>
      <c r="WW99" s="1251"/>
      <c r="WX99" s="1251"/>
      <c r="WY99" s="1251"/>
      <c r="WZ99" s="1251"/>
      <c r="XA99" s="1251"/>
      <c r="XB99" s="1251"/>
      <c r="XC99" s="1251"/>
      <c r="XD99" s="1251"/>
      <c r="XE99" s="1251"/>
      <c r="XF99" s="1251"/>
      <c r="XG99" s="1251"/>
      <c r="XH99" s="1251"/>
      <c r="XI99" s="1251"/>
      <c r="XJ99" s="1251"/>
      <c r="XK99" s="1251"/>
      <c r="XL99" s="1251"/>
      <c r="XM99" s="1251"/>
      <c r="XN99" s="1251"/>
      <c r="XO99" s="1251"/>
      <c r="XP99" s="1251"/>
      <c r="XQ99" s="1251"/>
      <c r="XR99" s="1251"/>
      <c r="XS99" s="1251"/>
      <c r="XT99" s="1251"/>
      <c r="XU99" s="1251"/>
      <c r="XV99" s="1251"/>
      <c r="XW99" s="1251"/>
      <c r="XX99" s="1251"/>
      <c r="XY99" s="1251"/>
      <c r="XZ99" s="1251"/>
      <c r="YA99" s="1251"/>
      <c r="YB99" s="1251"/>
      <c r="YC99" s="1251"/>
      <c r="YD99" s="1251"/>
      <c r="YE99" s="1251"/>
      <c r="YF99" s="1251"/>
      <c r="YG99" s="1251"/>
      <c r="YH99" s="1251"/>
      <c r="YI99" s="1251"/>
      <c r="YJ99" s="1251"/>
      <c r="YK99" s="1251"/>
      <c r="YL99" s="1251"/>
      <c r="YM99" s="1251"/>
      <c r="YN99" s="1251"/>
      <c r="YO99" s="1251"/>
      <c r="YP99" s="1251"/>
      <c r="YQ99" s="1251"/>
      <c r="YR99" s="1251"/>
      <c r="YS99" s="1251"/>
      <c r="YT99" s="1251"/>
      <c r="YU99" s="1251"/>
      <c r="YV99" s="1251"/>
      <c r="YW99" s="1251"/>
      <c r="YX99" s="1251"/>
      <c r="YY99" s="1251"/>
      <c r="YZ99" s="1251"/>
      <c r="ZA99" s="1251"/>
      <c r="ZB99" s="1251"/>
      <c r="ZC99" s="1251"/>
      <c r="ZD99" s="1251"/>
      <c r="ZE99" s="1251"/>
      <c r="ZF99" s="1251"/>
      <c r="ZG99" s="1251"/>
      <c r="ZH99" s="1251"/>
      <c r="ZI99" s="1251"/>
      <c r="ZJ99" s="1251"/>
      <c r="ZK99" s="1251"/>
      <c r="ZL99" s="1251"/>
      <c r="ZM99" s="1251"/>
      <c r="ZN99" s="1251"/>
      <c r="ZO99" s="1251"/>
      <c r="ZP99" s="1251"/>
      <c r="ZQ99" s="1251"/>
      <c r="ZR99" s="1251"/>
      <c r="ZS99" s="1251"/>
      <c r="ZT99" s="1251"/>
      <c r="ZU99" s="1251"/>
      <c r="ZV99" s="1251"/>
      <c r="ZW99" s="1251"/>
      <c r="ZX99" s="1251"/>
      <c r="ZY99" s="1251"/>
      <c r="ZZ99" s="1251"/>
      <c r="AAA99" s="1251"/>
      <c r="AAB99" s="1251"/>
      <c r="AAC99" s="1251"/>
      <c r="AAD99" s="1251"/>
      <c r="AAE99" s="1251"/>
      <c r="AAF99" s="1251"/>
      <c r="AAG99" s="1251"/>
      <c r="AAH99" s="1251"/>
      <c r="AAI99" s="1251"/>
      <c r="AAJ99" s="1251"/>
      <c r="AAK99" s="1251"/>
      <c r="AAL99" s="1251"/>
      <c r="AAM99" s="1251"/>
      <c r="AAN99" s="1251"/>
      <c r="AAO99" s="1251"/>
      <c r="AAP99" s="1251"/>
      <c r="AAQ99" s="1251"/>
      <c r="AAR99" s="1251"/>
      <c r="AAS99" s="1251"/>
      <c r="AAT99" s="1251"/>
      <c r="AAU99" s="1251"/>
      <c r="AAV99" s="1251"/>
      <c r="AAW99" s="1251"/>
      <c r="AAX99" s="1251"/>
      <c r="AAY99" s="1251"/>
      <c r="AAZ99" s="1251"/>
      <c r="ABA99" s="1251"/>
      <c r="ABB99" s="1251"/>
      <c r="ABC99" s="1251"/>
      <c r="ABD99" s="1251"/>
      <c r="ABE99" s="1251"/>
      <c r="ABF99" s="1251"/>
      <c r="ABG99" s="1251"/>
      <c r="ABH99" s="1251"/>
      <c r="ABI99" s="1251"/>
      <c r="ABJ99" s="1251"/>
      <c r="ABK99" s="1251"/>
      <c r="ABL99" s="1251"/>
      <c r="ABM99" s="1251"/>
      <c r="ABN99" s="1251"/>
      <c r="ABO99" s="1251"/>
      <c r="ABP99" s="1251"/>
      <c r="ABQ99" s="1251"/>
      <c r="ABR99" s="1251"/>
      <c r="ABS99" s="1251"/>
      <c r="ABT99" s="1251"/>
      <c r="ABU99" s="1251"/>
      <c r="ABV99" s="1251"/>
      <c r="ABW99" s="1251"/>
      <c r="ABX99" s="1251"/>
      <c r="ABY99" s="1251"/>
      <c r="ABZ99" s="1251"/>
      <c r="ACA99" s="1251"/>
      <c r="ACB99" s="1251"/>
      <c r="ACC99" s="1251"/>
      <c r="ACD99" s="1251"/>
      <c r="ACE99" s="1251"/>
      <c r="ACF99" s="1251"/>
      <c r="ACG99" s="1251"/>
      <c r="ACH99" s="1251"/>
      <c r="ACI99" s="1251"/>
      <c r="ACJ99" s="1251"/>
      <c r="ACK99" s="1251"/>
      <c r="ACL99" s="1251"/>
      <c r="ACM99" s="1251"/>
      <c r="ACN99" s="1251"/>
      <c r="ACO99" s="1251"/>
      <c r="ACP99" s="1251"/>
      <c r="ACQ99" s="1251"/>
      <c r="ACR99" s="1251"/>
      <c r="ACS99" s="1251"/>
      <c r="ACT99" s="1251"/>
      <c r="ACU99" s="1251"/>
      <c r="ACV99" s="1251"/>
      <c r="ACW99" s="1251"/>
      <c r="ACX99" s="1251"/>
      <c r="ACY99" s="1251"/>
      <c r="ACZ99" s="1251"/>
      <c r="ADA99" s="1251"/>
      <c r="ADB99" s="1251"/>
      <c r="ADC99" s="1251"/>
      <c r="ADD99" s="1251"/>
      <c r="ADE99" s="1251"/>
      <c r="ADF99" s="1251"/>
      <c r="ADG99" s="1251"/>
      <c r="ADH99" s="1251"/>
      <c r="ADI99" s="1251"/>
      <c r="ADJ99" s="1251"/>
      <c r="ADK99" s="1251"/>
      <c r="ADL99" s="1251"/>
      <c r="ADM99" s="1251"/>
      <c r="ADN99" s="1251"/>
      <c r="ADO99" s="1251"/>
      <c r="ADP99" s="1251"/>
      <c r="ADQ99" s="1251"/>
      <c r="ADR99" s="1251"/>
      <c r="ADS99" s="1251"/>
      <c r="ADT99" s="1251"/>
      <c r="ADU99" s="1251"/>
      <c r="ADV99" s="1251"/>
      <c r="ADW99" s="1251"/>
      <c r="ADX99" s="1251"/>
      <c r="ADY99" s="1251"/>
      <c r="ADZ99" s="1251"/>
      <c r="AEA99" s="1251"/>
      <c r="AEB99" s="1251"/>
      <c r="AEC99" s="1251"/>
      <c r="AED99" s="1251"/>
      <c r="AEE99" s="1251"/>
      <c r="AEF99" s="1251"/>
      <c r="AEG99" s="1251"/>
      <c r="AEH99" s="1251"/>
      <c r="AEI99" s="1251"/>
      <c r="AEJ99" s="1251"/>
      <c r="AEK99" s="1251"/>
      <c r="AEL99" s="1251"/>
      <c r="AEM99" s="1251"/>
      <c r="AEN99" s="1251"/>
      <c r="AEO99" s="1251"/>
      <c r="AEP99" s="1251"/>
      <c r="AEQ99" s="1251"/>
      <c r="AER99" s="1251"/>
      <c r="AES99" s="1251"/>
      <c r="AET99" s="1251"/>
      <c r="AEU99" s="1251"/>
      <c r="AEV99" s="1251"/>
      <c r="AEW99" s="1251"/>
      <c r="AEX99" s="1251"/>
      <c r="AEY99" s="1251"/>
      <c r="AEZ99" s="1251"/>
      <c r="AFA99" s="1251"/>
      <c r="AFB99" s="1251"/>
      <c r="AFC99" s="1251"/>
      <c r="AFD99" s="1251"/>
      <c r="AFE99" s="1251"/>
      <c r="AFF99" s="1251"/>
      <c r="AFG99" s="1251"/>
      <c r="AFH99" s="1251"/>
      <c r="AFI99" s="1251"/>
      <c r="AFJ99" s="1251"/>
      <c r="AFK99" s="1251"/>
      <c r="AFL99" s="1251"/>
      <c r="AFM99" s="1251"/>
      <c r="AFN99" s="1251"/>
      <c r="AFO99" s="1251"/>
      <c r="AFP99" s="1251"/>
      <c r="AFQ99" s="1251"/>
      <c r="AFR99" s="1251"/>
      <c r="AFS99" s="1251"/>
      <c r="AFT99" s="1251"/>
      <c r="AFU99" s="1251"/>
      <c r="AFV99" s="1251"/>
      <c r="AFW99" s="1251"/>
      <c r="AFX99" s="1251"/>
      <c r="AFY99" s="1251"/>
      <c r="AFZ99" s="1251"/>
      <c r="AGA99" s="1251"/>
      <c r="AGB99" s="1251"/>
      <c r="AGC99" s="1251"/>
      <c r="AGD99" s="1251"/>
      <c r="AGE99" s="1251"/>
      <c r="AGF99" s="1251"/>
      <c r="AGG99" s="1251"/>
      <c r="AGH99" s="1251"/>
      <c r="AGI99" s="1251"/>
      <c r="AGJ99" s="1251"/>
      <c r="AGK99" s="1251"/>
      <c r="AGL99" s="1251"/>
      <c r="AGM99" s="1251"/>
      <c r="AGN99" s="1251"/>
      <c r="AGO99" s="1251"/>
      <c r="AGP99" s="1251"/>
      <c r="AGQ99" s="1251"/>
      <c r="AGR99" s="1251"/>
      <c r="AGS99" s="1251"/>
      <c r="AGT99" s="1251"/>
      <c r="AGU99" s="1251"/>
      <c r="AGV99" s="1251"/>
      <c r="AGW99" s="1251"/>
      <c r="AGX99" s="1251"/>
      <c r="AGY99" s="1251"/>
      <c r="AGZ99" s="1251"/>
      <c r="AHA99" s="1251"/>
      <c r="AHB99" s="1251"/>
      <c r="AHC99" s="1251"/>
      <c r="AHD99" s="1251"/>
      <c r="AHE99" s="1251"/>
      <c r="AHF99" s="1251"/>
      <c r="AHG99" s="1251"/>
      <c r="AHH99" s="1251"/>
      <c r="AHI99" s="1251"/>
      <c r="AHJ99" s="1251"/>
      <c r="AHK99" s="1251"/>
      <c r="AHL99" s="1251"/>
      <c r="AHM99" s="1251"/>
      <c r="AHN99" s="1251"/>
      <c r="AHO99" s="1251"/>
      <c r="AHP99" s="1251"/>
      <c r="AHQ99" s="1251"/>
      <c r="AHR99" s="1251"/>
      <c r="AHS99" s="1251"/>
      <c r="AHT99" s="1251"/>
      <c r="AHU99" s="1251"/>
      <c r="AHV99" s="1251"/>
      <c r="AHW99" s="1251"/>
      <c r="AHX99" s="1251"/>
      <c r="AHY99" s="1251"/>
      <c r="AHZ99" s="1251"/>
      <c r="AIA99" s="1251"/>
      <c r="AIB99" s="1251"/>
      <c r="AIC99" s="1251"/>
      <c r="AID99" s="1251"/>
      <c r="AIE99" s="1251"/>
      <c r="AIF99" s="1251"/>
      <c r="AIG99" s="1251"/>
      <c r="AIH99" s="1251"/>
      <c r="AII99" s="1251"/>
      <c r="AIJ99" s="1251"/>
      <c r="AIK99" s="1251"/>
      <c r="AIL99" s="1251"/>
      <c r="AIM99" s="1251"/>
      <c r="AIN99" s="1251"/>
      <c r="AIO99" s="1251"/>
      <c r="AIP99" s="1251"/>
      <c r="AIQ99" s="1251"/>
      <c r="AIR99" s="1251"/>
      <c r="AIS99" s="1251"/>
      <c r="AIT99" s="1251"/>
      <c r="AIU99" s="1251"/>
      <c r="AIV99" s="1251"/>
      <c r="AIW99" s="1251"/>
      <c r="AIX99" s="1251"/>
      <c r="AIY99" s="1251"/>
      <c r="AIZ99" s="1251"/>
      <c r="AJA99" s="1251"/>
      <c r="AJB99" s="1251"/>
      <c r="AJC99" s="1251"/>
      <c r="AJD99" s="1251"/>
      <c r="AJE99" s="1251"/>
      <c r="AJF99" s="1251"/>
      <c r="AJG99" s="1251"/>
      <c r="AJH99" s="1251"/>
      <c r="AJI99" s="1251"/>
      <c r="AJJ99" s="1251"/>
      <c r="AJK99" s="1251"/>
      <c r="AJL99" s="1251"/>
      <c r="AJM99" s="1251"/>
      <c r="AJN99" s="1251"/>
      <c r="AJO99" s="1251"/>
      <c r="AJP99" s="1251"/>
      <c r="AJQ99" s="1251"/>
      <c r="AJR99" s="1251"/>
      <c r="AJS99" s="1251"/>
      <c r="AJT99" s="1251"/>
      <c r="AJU99" s="1251"/>
      <c r="AJV99" s="1251"/>
      <c r="AJW99" s="1251"/>
      <c r="AJX99" s="1251"/>
      <c r="AJY99" s="1251"/>
      <c r="AJZ99" s="1251"/>
      <c r="AKA99" s="1251"/>
      <c r="AKB99" s="1251"/>
      <c r="AKC99" s="1251"/>
      <c r="AKD99" s="1251"/>
      <c r="AKE99" s="1251"/>
      <c r="AKF99" s="1251"/>
      <c r="AKG99" s="1251"/>
      <c r="AKH99" s="1251"/>
      <c r="AKI99" s="1251"/>
      <c r="AKJ99" s="1251"/>
      <c r="AKK99" s="1251"/>
      <c r="AKL99" s="1251"/>
      <c r="AKM99" s="1251"/>
      <c r="AKN99" s="1251"/>
      <c r="AKO99" s="1251"/>
      <c r="AKP99" s="1251"/>
      <c r="AKQ99" s="1251"/>
      <c r="AKR99" s="1251"/>
      <c r="AKS99" s="1251"/>
      <c r="AKT99" s="1251"/>
      <c r="AKU99" s="1251"/>
      <c r="AKV99" s="1251"/>
      <c r="AKW99" s="1251"/>
      <c r="AKX99" s="1251"/>
      <c r="AKY99" s="1251"/>
      <c r="AKZ99" s="1251"/>
      <c r="ALA99" s="1251"/>
      <c r="ALB99" s="1251"/>
      <c r="ALC99" s="1251"/>
      <c r="ALD99" s="1251"/>
      <c r="ALE99" s="1251"/>
      <c r="ALF99" s="1251"/>
      <c r="ALG99" s="1251"/>
      <c r="ALH99" s="1251"/>
      <c r="ALI99" s="1251"/>
      <c r="ALJ99" s="1251"/>
      <c r="ALK99" s="1251"/>
      <c r="ALL99" s="1251"/>
      <c r="ALM99" s="1251"/>
      <c r="ALN99" s="1251"/>
      <c r="ALO99" s="1251"/>
      <c r="ALP99" s="1251"/>
      <c r="ALQ99" s="1251"/>
      <c r="ALR99" s="1251"/>
      <c r="ALS99" s="1251"/>
      <c r="ALT99" s="1251"/>
      <c r="ALU99" s="1251"/>
      <c r="ALV99" s="1251"/>
      <c r="ALW99" s="1251"/>
      <c r="ALX99" s="1251"/>
      <c r="ALY99" s="1251"/>
      <c r="ALZ99" s="1251"/>
      <c r="AMA99" s="1251"/>
      <c r="AMB99" s="1251"/>
      <c r="AMC99" s="1251"/>
      <c r="AMD99" s="1251"/>
      <c r="AME99" s="1251"/>
      <c r="AMF99" s="1251"/>
      <c r="AMG99" s="1251"/>
      <c r="AMH99" s="1251"/>
      <c r="AMI99" s="1251"/>
      <c r="AMJ99" s="1251"/>
      <c r="AMK99" s="1251"/>
      <c r="AML99" s="1251"/>
      <c r="AMM99" s="1251"/>
      <c r="AMN99" s="1251"/>
      <c r="AMO99" s="1251"/>
      <c r="AMP99" s="1251"/>
      <c r="AMQ99" s="1251"/>
      <c r="AMR99" s="1251"/>
      <c r="AMS99" s="1251"/>
      <c r="AMT99" s="1251"/>
      <c r="AMU99" s="1251"/>
      <c r="AMV99" s="1251"/>
      <c r="AMW99" s="1251"/>
      <c r="AMX99" s="1251"/>
      <c r="AMY99" s="1251"/>
      <c r="AMZ99" s="1251"/>
      <c r="ANA99" s="1251"/>
      <c r="ANB99" s="1251"/>
      <c r="ANC99" s="1251"/>
      <c r="AND99" s="1251"/>
      <c r="ANE99" s="1251"/>
      <c r="ANF99" s="1251"/>
      <c r="ANG99" s="1251"/>
      <c r="ANH99" s="1251"/>
      <c r="ANI99" s="1251"/>
      <c r="ANJ99" s="1251"/>
      <c r="ANK99" s="1251"/>
      <c r="ANL99" s="1251"/>
      <c r="ANM99" s="1251"/>
      <c r="ANN99" s="1251"/>
      <c r="ANO99" s="1251"/>
      <c r="ANP99" s="1251"/>
      <c r="ANQ99" s="1251"/>
      <c r="ANR99" s="1251"/>
      <c r="ANS99" s="1251"/>
      <c r="ANT99" s="1251"/>
      <c r="ANU99" s="1251"/>
      <c r="ANV99" s="1251"/>
      <c r="ANW99" s="1251"/>
      <c r="ANX99" s="1251"/>
      <c r="ANY99" s="1251"/>
      <c r="ANZ99" s="1251"/>
      <c r="AOA99" s="1251"/>
      <c r="AOB99" s="1251"/>
      <c r="AOC99" s="1251"/>
      <c r="AOD99" s="1251"/>
      <c r="AOE99" s="1251"/>
      <c r="AOF99" s="1251"/>
      <c r="AOG99" s="1251"/>
      <c r="AOH99" s="1251"/>
      <c r="AOI99" s="1251"/>
      <c r="AOJ99" s="1251"/>
      <c r="AOK99" s="1251"/>
      <c r="AOL99" s="1251"/>
      <c r="AOM99" s="1251"/>
      <c r="AON99" s="1251"/>
      <c r="AOO99" s="1251"/>
      <c r="AOP99" s="1251"/>
      <c r="AOQ99" s="1251"/>
      <c r="AOR99" s="1251"/>
      <c r="AOS99" s="1251"/>
      <c r="AOT99" s="1251"/>
      <c r="AOU99" s="1251"/>
      <c r="AOV99" s="1251"/>
      <c r="AOW99" s="1251"/>
      <c r="AOX99" s="1251"/>
      <c r="AOY99" s="1251"/>
      <c r="AOZ99" s="1251"/>
      <c r="APA99" s="1251"/>
      <c r="APB99" s="1251"/>
      <c r="APC99" s="1251"/>
      <c r="APD99" s="1251"/>
      <c r="APE99" s="1251"/>
      <c r="APF99" s="1251"/>
      <c r="APG99" s="1251"/>
      <c r="APH99" s="1251"/>
      <c r="API99" s="1251"/>
      <c r="APJ99" s="1251"/>
      <c r="APK99" s="1251"/>
      <c r="APL99" s="1251"/>
      <c r="APM99" s="1251"/>
      <c r="APN99" s="1251"/>
      <c r="APO99" s="1251"/>
      <c r="APP99" s="1251"/>
      <c r="APQ99" s="1251"/>
      <c r="APR99" s="1251"/>
      <c r="APS99" s="1251"/>
      <c r="APT99" s="1251"/>
      <c r="APU99" s="1251"/>
      <c r="APV99" s="1251"/>
      <c r="APW99" s="1251"/>
      <c r="APX99" s="1251"/>
      <c r="APY99" s="1251"/>
      <c r="APZ99" s="1251"/>
      <c r="AQA99" s="1251"/>
      <c r="AQB99" s="1251"/>
      <c r="AQC99" s="1251"/>
      <c r="AQD99" s="1251"/>
      <c r="AQE99" s="1251"/>
      <c r="AQF99" s="1251"/>
      <c r="AQG99" s="1251"/>
      <c r="AQH99" s="1251"/>
      <c r="AQI99" s="1251"/>
      <c r="AQJ99" s="1251"/>
      <c r="AQK99" s="1251"/>
      <c r="AQL99" s="1251"/>
      <c r="AQM99" s="1251"/>
      <c r="AQN99" s="1251"/>
      <c r="AQO99" s="1251"/>
      <c r="AQP99" s="1251"/>
      <c r="AQQ99" s="1251"/>
      <c r="AQR99" s="1251"/>
      <c r="AQS99" s="1251"/>
      <c r="AQT99" s="1251"/>
      <c r="AQU99" s="1251"/>
      <c r="AQV99" s="1251"/>
      <c r="AQW99" s="1251"/>
      <c r="AQX99" s="1251"/>
      <c r="AQY99" s="1251"/>
      <c r="AQZ99" s="1251"/>
      <c r="ARA99" s="1251"/>
      <c r="ARB99" s="1251"/>
      <c r="ARC99" s="1251"/>
      <c r="ARD99" s="1251"/>
      <c r="ARE99" s="1251"/>
      <c r="ARF99" s="1251"/>
      <c r="ARG99" s="1251"/>
      <c r="ARH99" s="1251"/>
      <c r="ARI99" s="1251"/>
      <c r="ARJ99" s="1251"/>
      <c r="ARK99" s="1251"/>
      <c r="ARL99" s="1251"/>
      <c r="ARM99" s="1251"/>
      <c r="ARN99" s="1251"/>
      <c r="ARO99" s="1251"/>
      <c r="ARP99" s="1251"/>
      <c r="ARQ99" s="1251"/>
      <c r="ARR99" s="1251"/>
      <c r="ARS99" s="1251"/>
      <c r="ART99" s="1251"/>
      <c r="ARU99" s="1251"/>
      <c r="ARV99" s="1251"/>
      <c r="ARW99" s="1251"/>
      <c r="ARX99" s="1251"/>
      <c r="ARY99" s="1251"/>
      <c r="ARZ99" s="1251"/>
      <c r="ASA99" s="1251"/>
      <c r="ASB99" s="1251"/>
      <c r="ASC99" s="1251"/>
      <c r="ASD99" s="1251"/>
      <c r="ASE99" s="1251"/>
      <c r="ASF99" s="1251"/>
      <c r="ASG99" s="1251"/>
      <c r="ASH99" s="1251"/>
      <c r="ASI99" s="1251"/>
      <c r="ASJ99" s="1251"/>
      <c r="ASK99" s="1251"/>
      <c r="ASL99" s="1251"/>
      <c r="ASM99" s="1251"/>
      <c r="ASN99" s="1251"/>
      <c r="ASO99" s="1251"/>
      <c r="ASP99" s="1251"/>
      <c r="ASQ99" s="1251"/>
      <c r="ASR99" s="1251"/>
      <c r="ASS99" s="1251"/>
      <c r="AST99" s="1251"/>
      <c r="ASU99" s="1251"/>
      <c r="ASV99" s="1251"/>
      <c r="ASW99" s="1251"/>
      <c r="ASX99" s="1251"/>
      <c r="ASY99" s="1251"/>
      <c r="ASZ99" s="1251"/>
      <c r="ATA99" s="1251"/>
      <c r="ATB99" s="1251"/>
      <c r="ATC99" s="1251"/>
      <c r="ATD99" s="1251"/>
      <c r="ATE99" s="1251"/>
      <c r="ATF99" s="1251"/>
      <c r="ATG99" s="1251"/>
      <c r="ATH99" s="1251"/>
      <c r="ATI99" s="1251"/>
      <c r="ATJ99" s="1251"/>
      <c r="ATK99" s="1251"/>
      <c r="ATL99" s="1251"/>
      <c r="ATM99" s="1251"/>
      <c r="ATN99" s="1251"/>
      <c r="ATO99" s="1251"/>
      <c r="ATP99" s="1251"/>
      <c r="ATQ99" s="1251"/>
      <c r="ATR99" s="1251"/>
      <c r="ATS99" s="1251"/>
      <c r="ATT99" s="1251"/>
      <c r="ATU99" s="1251"/>
      <c r="ATV99" s="1251"/>
      <c r="ATW99" s="1251"/>
      <c r="ATX99" s="1251"/>
      <c r="ATY99" s="1251"/>
      <c r="ATZ99" s="1251"/>
      <c r="AUA99" s="1251"/>
      <c r="AUB99" s="1251"/>
      <c r="AUC99" s="1251"/>
      <c r="AUD99" s="1251"/>
      <c r="AUE99" s="1251"/>
      <c r="AUF99" s="1251"/>
      <c r="AUG99" s="1251"/>
      <c r="AUH99" s="1251"/>
      <c r="AUI99" s="1251"/>
      <c r="AUJ99" s="1251"/>
      <c r="AUK99" s="1251"/>
      <c r="AUL99" s="1251"/>
      <c r="AUM99" s="1251"/>
      <c r="AUN99" s="1251"/>
      <c r="AUO99" s="1251"/>
      <c r="AUP99" s="1251"/>
      <c r="AUQ99" s="1251"/>
      <c r="AUR99" s="1251"/>
      <c r="AUS99" s="1251"/>
      <c r="AUT99" s="1251"/>
      <c r="AUU99" s="1251"/>
      <c r="AUV99" s="1251"/>
      <c r="AUW99" s="1251"/>
      <c r="AUX99" s="1251"/>
      <c r="AUY99" s="1251"/>
      <c r="AUZ99" s="1251"/>
      <c r="AVA99" s="1251"/>
      <c r="AVB99" s="1251"/>
      <c r="AVC99" s="1251"/>
      <c r="AVD99" s="1251"/>
      <c r="AVE99" s="1251"/>
      <c r="AVF99" s="1251"/>
      <c r="AVG99" s="1251"/>
      <c r="AVH99" s="1251"/>
      <c r="AVI99" s="1251"/>
      <c r="AVJ99" s="1251"/>
      <c r="AVK99" s="1251"/>
      <c r="AVL99" s="1251"/>
      <c r="AVM99" s="1251"/>
      <c r="AVN99" s="1251"/>
      <c r="AVO99" s="1251"/>
      <c r="AVP99" s="1251"/>
      <c r="AVQ99" s="1251"/>
      <c r="AVR99" s="1251"/>
      <c r="AVS99" s="1251"/>
      <c r="AVT99" s="1251"/>
      <c r="AVU99" s="1251"/>
      <c r="AVV99" s="1251"/>
      <c r="AVW99" s="1251"/>
      <c r="AVX99" s="1251"/>
      <c r="AVY99" s="1251"/>
      <c r="AVZ99" s="1251"/>
      <c r="AWA99" s="1251"/>
      <c r="AWB99" s="1251"/>
      <c r="AWC99" s="1251"/>
      <c r="AWD99" s="1251"/>
      <c r="AWE99" s="1251"/>
      <c r="AWF99" s="1251"/>
      <c r="AWG99" s="1251"/>
      <c r="AWH99" s="1251"/>
      <c r="AWI99" s="1251"/>
      <c r="AWJ99" s="1251"/>
      <c r="AWK99" s="1251"/>
      <c r="AWL99" s="1251"/>
      <c r="AWM99" s="1251"/>
      <c r="AWN99" s="1251"/>
      <c r="AWO99" s="1251"/>
      <c r="AWP99" s="1251"/>
      <c r="AWQ99" s="1251"/>
      <c r="AWR99" s="1251"/>
      <c r="AWS99" s="1251"/>
      <c r="AWT99" s="1251"/>
      <c r="AWU99" s="1251"/>
      <c r="AWV99" s="1251"/>
      <c r="AWW99" s="1251"/>
      <c r="AWX99" s="1251"/>
      <c r="AWY99" s="1251"/>
      <c r="AWZ99" s="1251"/>
      <c r="AXA99" s="1251"/>
      <c r="AXB99" s="1251"/>
      <c r="AXC99" s="1251"/>
      <c r="AXD99" s="1251"/>
      <c r="AXE99" s="1251"/>
      <c r="AXF99" s="1251"/>
      <c r="AXG99" s="1251"/>
      <c r="AXH99" s="1251"/>
      <c r="AXI99" s="1251"/>
      <c r="AXJ99" s="1251"/>
      <c r="AXK99" s="1251"/>
      <c r="AXL99" s="1251"/>
      <c r="AXM99" s="1251"/>
      <c r="AXN99" s="1251"/>
      <c r="AXO99" s="1251"/>
      <c r="AXP99" s="1251"/>
      <c r="AXQ99" s="1251"/>
      <c r="AXR99" s="1251"/>
      <c r="AXS99" s="1251"/>
      <c r="AXT99" s="1251"/>
      <c r="AXU99" s="1251"/>
      <c r="AXV99" s="1251"/>
      <c r="AXW99" s="1251"/>
      <c r="AXX99" s="1251"/>
      <c r="AXY99" s="1251"/>
      <c r="AXZ99" s="1251"/>
      <c r="AYA99" s="1251"/>
      <c r="AYB99" s="1251"/>
      <c r="AYC99" s="1251"/>
      <c r="AYD99" s="1251"/>
      <c r="AYE99" s="1251"/>
      <c r="AYF99" s="1251"/>
      <c r="AYG99" s="1251"/>
      <c r="AYH99" s="1251"/>
      <c r="AYI99" s="1251"/>
      <c r="AYJ99" s="1251"/>
      <c r="AYK99" s="1251"/>
      <c r="AYL99" s="1251"/>
      <c r="AYM99" s="1251"/>
      <c r="AYN99" s="1251"/>
      <c r="AYO99" s="1251"/>
      <c r="AYP99" s="1251"/>
      <c r="AYQ99" s="1251"/>
      <c r="AYR99" s="1251"/>
      <c r="AYS99" s="1251"/>
      <c r="AYT99" s="1251"/>
      <c r="AYU99" s="1251"/>
      <c r="AYV99" s="1251"/>
      <c r="AYW99" s="1251"/>
      <c r="AYX99" s="1251"/>
      <c r="AYY99" s="1251"/>
      <c r="AYZ99" s="1251"/>
      <c r="AZA99" s="1251"/>
      <c r="AZB99" s="1251"/>
      <c r="AZC99" s="1251"/>
      <c r="AZD99" s="1251"/>
      <c r="AZE99" s="1251"/>
      <c r="AZF99" s="1251"/>
      <c r="AZG99" s="1251"/>
      <c r="AZH99" s="1251"/>
      <c r="AZI99" s="1251"/>
      <c r="AZJ99" s="1251"/>
      <c r="AZK99" s="1251"/>
      <c r="AZL99" s="1251"/>
      <c r="AZM99" s="1251"/>
      <c r="AZN99" s="1251"/>
      <c r="AZO99" s="1251"/>
      <c r="AZP99" s="1251"/>
      <c r="AZQ99" s="1251"/>
      <c r="AZR99" s="1251"/>
      <c r="AZS99" s="1251"/>
      <c r="AZT99" s="1251"/>
      <c r="AZU99" s="1251"/>
      <c r="AZV99" s="1251"/>
      <c r="AZW99" s="1251"/>
      <c r="AZX99" s="1251"/>
      <c r="AZY99" s="1251"/>
      <c r="AZZ99" s="1251"/>
      <c r="BAA99" s="1251"/>
      <c r="BAB99" s="1251"/>
      <c r="BAC99" s="1251"/>
      <c r="BAD99" s="1251"/>
      <c r="BAE99" s="1251"/>
      <c r="BAF99" s="1251"/>
      <c r="BAG99" s="1251"/>
      <c r="BAH99" s="1251"/>
      <c r="BAI99" s="1251"/>
      <c r="BAJ99" s="1251"/>
      <c r="BAK99" s="1251"/>
      <c r="BAL99" s="1251"/>
      <c r="BAM99" s="1251"/>
      <c r="BAN99" s="1251"/>
      <c r="BAO99" s="1251"/>
      <c r="BAP99" s="1251"/>
      <c r="BAQ99" s="1251"/>
      <c r="BAR99" s="1251"/>
      <c r="BAS99" s="1251"/>
      <c r="BAT99" s="1251"/>
      <c r="BAU99" s="1251"/>
      <c r="BAV99" s="1251"/>
      <c r="BAW99" s="1251"/>
      <c r="BAX99" s="1251"/>
      <c r="BAY99" s="1251"/>
      <c r="BAZ99" s="1251"/>
      <c r="BBA99" s="1251"/>
      <c r="BBB99" s="1251"/>
      <c r="BBC99" s="1251"/>
      <c r="BBD99" s="1251"/>
      <c r="BBE99" s="1251"/>
      <c r="BBF99" s="1251"/>
      <c r="BBG99" s="1251"/>
      <c r="BBH99" s="1251"/>
      <c r="BBI99" s="1251"/>
      <c r="BBJ99" s="1251"/>
      <c r="BBK99" s="1251"/>
      <c r="BBL99" s="1251"/>
      <c r="BBM99" s="1251"/>
      <c r="BBN99" s="1251"/>
      <c r="BBO99" s="1251"/>
      <c r="BBP99" s="1251"/>
      <c r="BBQ99" s="1251"/>
      <c r="BBR99" s="1251"/>
      <c r="BBS99" s="1251"/>
      <c r="BBT99" s="1251"/>
      <c r="BBU99" s="1251"/>
      <c r="BBV99" s="1251"/>
      <c r="BBW99" s="1251"/>
      <c r="BBX99" s="1251"/>
      <c r="BBY99" s="1251"/>
      <c r="BBZ99" s="1251"/>
      <c r="BCA99" s="1251"/>
      <c r="BCB99" s="1251"/>
      <c r="BCC99" s="1251"/>
      <c r="BCD99" s="1251"/>
      <c r="BCE99" s="1251"/>
      <c r="BCF99" s="1251"/>
      <c r="BCG99" s="1251"/>
      <c r="BCH99" s="1251"/>
      <c r="BCI99" s="1251"/>
      <c r="BCJ99" s="1251"/>
      <c r="BCK99" s="1251"/>
      <c r="BCL99" s="1251"/>
      <c r="BCM99" s="1251"/>
      <c r="BCN99" s="1251"/>
      <c r="BCO99" s="1251"/>
      <c r="BCP99" s="1251"/>
      <c r="BCQ99" s="1251"/>
      <c r="BCR99" s="1251"/>
      <c r="BCS99" s="1251"/>
      <c r="BCT99" s="1251"/>
      <c r="BCU99" s="1251"/>
      <c r="BCV99" s="1251"/>
      <c r="BCW99" s="1251"/>
      <c r="BCX99" s="1251"/>
      <c r="BCY99" s="1251"/>
      <c r="BCZ99" s="1251"/>
      <c r="BDA99" s="1251"/>
      <c r="BDB99" s="1251"/>
      <c r="BDC99" s="1251"/>
      <c r="BDD99" s="1251"/>
      <c r="BDE99" s="1251"/>
      <c r="BDF99" s="1251"/>
      <c r="BDG99" s="1251"/>
      <c r="BDH99" s="1251"/>
      <c r="BDI99" s="1251"/>
      <c r="BDJ99" s="1251"/>
      <c r="BDK99" s="1251"/>
      <c r="BDL99" s="1251"/>
      <c r="BDM99" s="1251"/>
      <c r="BDN99" s="1251"/>
      <c r="BDO99" s="1251"/>
      <c r="BDP99" s="1251"/>
      <c r="BDQ99" s="1251"/>
      <c r="BDR99" s="1251"/>
      <c r="BDS99" s="1251"/>
      <c r="BDT99" s="1251"/>
      <c r="BDU99" s="1251"/>
      <c r="BDV99" s="1251"/>
      <c r="BDW99" s="1251"/>
      <c r="BDX99" s="1251"/>
      <c r="BDY99" s="1251"/>
      <c r="BDZ99" s="1251"/>
      <c r="BEA99" s="1251"/>
      <c r="BEB99" s="1251"/>
      <c r="BEC99" s="1251"/>
      <c r="BED99" s="1251"/>
      <c r="BEE99" s="1251"/>
      <c r="BEF99" s="1251"/>
      <c r="BEG99" s="1251"/>
      <c r="BEH99" s="1251"/>
      <c r="BEI99" s="1251"/>
      <c r="BEJ99" s="1251"/>
      <c r="BEK99" s="1251"/>
      <c r="BEL99" s="1251"/>
      <c r="BEM99" s="1251"/>
      <c r="BEN99" s="1251"/>
      <c r="BEO99" s="1251"/>
      <c r="BEP99" s="1251"/>
      <c r="BEQ99" s="1251"/>
      <c r="BER99" s="1251"/>
      <c r="BES99" s="1251"/>
      <c r="BET99" s="1251"/>
      <c r="BEU99" s="1251"/>
      <c r="BEV99" s="1251"/>
      <c r="BEW99" s="1251"/>
      <c r="BEX99" s="1251"/>
      <c r="BEY99" s="1251"/>
      <c r="BEZ99" s="1251"/>
      <c r="BFA99" s="1251"/>
      <c r="BFB99" s="1251"/>
      <c r="BFC99" s="1251"/>
      <c r="BFD99" s="1251"/>
      <c r="BFE99" s="1251"/>
      <c r="BFF99" s="1251"/>
      <c r="BFG99" s="1251"/>
      <c r="BFH99" s="1251"/>
      <c r="BFI99" s="1251"/>
      <c r="BFJ99" s="1251"/>
      <c r="BFK99" s="1251"/>
      <c r="BFL99" s="1251"/>
      <c r="BFM99" s="1251"/>
      <c r="BFN99" s="1251"/>
      <c r="BFO99" s="1251"/>
      <c r="BFP99" s="1251"/>
      <c r="BFQ99" s="1251"/>
      <c r="BFR99" s="1251"/>
      <c r="BFS99" s="1251"/>
      <c r="BFT99" s="1251"/>
      <c r="BFU99" s="1251"/>
      <c r="BFV99" s="1251"/>
      <c r="BFW99" s="1251"/>
      <c r="BFX99" s="1251"/>
      <c r="BFY99" s="1251"/>
      <c r="BFZ99" s="1251"/>
      <c r="BGA99" s="1251"/>
      <c r="BGB99" s="1251"/>
      <c r="BGC99" s="1251"/>
      <c r="BGD99" s="1251"/>
      <c r="BGE99" s="1251"/>
      <c r="BGF99" s="1251"/>
      <c r="BGG99" s="1251"/>
      <c r="BGH99" s="1251"/>
      <c r="BGI99" s="1251"/>
      <c r="BGJ99" s="1251"/>
      <c r="BGK99" s="1251"/>
      <c r="BGL99" s="1251"/>
      <c r="BGM99" s="1251"/>
      <c r="BGN99" s="1251"/>
      <c r="BGO99" s="1251"/>
      <c r="BGP99" s="1251"/>
      <c r="BGQ99" s="1251"/>
      <c r="BGR99" s="1251"/>
      <c r="BGS99" s="1251"/>
      <c r="BGT99" s="1251"/>
      <c r="BGU99" s="1251"/>
      <c r="BGV99" s="1251"/>
      <c r="BGW99" s="1251"/>
      <c r="BGX99" s="1251"/>
      <c r="BGY99" s="1251"/>
      <c r="BGZ99" s="1251"/>
      <c r="BHA99" s="1251"/>
      <c r="BHB99" s="1251"/>
      <c r="BHC99" s="1251"/>
      <c r="BHD99" s="1251"/>
      <c r="BHE99" s="1251"/>
      <c r="BHF99" s="1251"/>
      <c r="BHG99" s="1251"/>
      <c r="BHH99" s="1251"/>
      <c r="BHI99" s="1251"/>
      <c r="BHJ99" s="1251"/>
      <c r="BHK99" s="1251"/>
      <c r="BHL99" s="1251"/>
      <c r="BHM99" s="1251"/>
      <c r="BHN99" s="1251"/>
      <c r="BHO99" s="1251"/>
      <c r="BHP99" s="1251"/>
      <c r="BHQ99" s="1251"/>
      <c r="BHR99" s="1251"/>
      <c r="BHS99" s="1251"/>
      <c r="BHT99" s="1251"/>
      <c r="BHU99" s="1251"/>
      <c r="BHV99" s="1251"/>
      <c r="BHW99" s="1251"/>
      <c r="BHX99" s="1251"/>
      <c r="BHY99" s="1251"/>
      <c r="BHZ99" s="1251"/>
      <c r="BIA99" s="1251"/>
      <c r="BIB99" s="1251"/>
      <c r="BIC99" s="1251"/>
      <c r="BID99" s="1251"/>
      <c r="BIE99" s="1251"/>
      <c r="BIF99" s="1251"/>
      <c r="BIG99" s="1251"/>
      <c r="BIH99" s="1251"/>
      <c r="BII99" s="1251"/>
      <c r="BIJ99" s="1251"/>
      <c r="BIK99" s="1251"/>
      <c r="BIL99" s="1251"/>
      <c r="BIM99" s="1251"/>
      <c r="BIN99" s="1251"/>
      <c r="BIO99" s="1251"/>
      <c r="BIP99" s="1251"/>
      <c r="BIQ99" s="1251"/>
      <c r="BIR99" s="1251"/>
      <c r="BIS99" s="1251"/>
      <c r="BIT99" s="1251"/>
      <c r="BIU99" s="1251"/>
      <c r="BIV99" s="1251"/>
      <c r="BIW99" s="1251"/>
      <c r="BIX99" s="1251"/>
      <c r="BIY99" s="1251"/>
      <c r="BIZ99" s="1251"/>
      <c r="BJA99" s="1251"/>
      <c r="BJB99" s="1251"/>
      <c r="BJC99" s="1251"/>
      <c r="BJD99" s="1251"/>
      <c r="BJE99" s="1251"/>
      <c r="BJF99" s="1251"/>
      <c r="BJG99" s="1251"/>
      <c r="BJH99" s="1251"/>
      <c r="BJI99" s="1251"/>
      <c r="BJJ99" s="1251"/>
      <c r="BJK99" s="1251"/>
      <c r="BJL99" s="1251"/>
      <c r="BJM99" s="1251"/>
      <c r="BJN99" s="1251"/>
      <c r="BJO99" s="1251"/>
      <c r="BJP99" s="1251"/>
      <c r="BJQ99" s="1251"/>
      <c r="BJR99" s="1251"/>
      <c r="BJS99" s="1251"/>
      <c r="BJT99" s="1251"/>
      <c r="BJU99" s="1251"/>
      <c r="BJV99" s="1251"/>
      <c r="BJW99" s="1251"/>
      <c r="BJX99" s="1251"/>
      <c r="BJY99" s="1251"/>
      <c r="BJZ99" s="1251"/>
      <c r="BKA99" s="1251"/>
      <c r="BKB99" s="1251"/>
      <c r="BKC99" s="1251"/>
      <c r="BKD99" s="1251"/>
      <c r="BKE99" s="1251"/>
      <c r="BKF99" s="1251"/>
      <c r="BKG99" s="1251"/>
      <c r="BKH99" s="1251"/>
      <c r="BKI99" s="1251"/>
      <c r="BKJ99" s="1251"/>
      <c r="BKK99" s="1251"/>
      <c r="BKL99" s="1251"/>
      <c r="BKM99" s="1251"/>
      <c r="BKN99" s="1251"/>
      <c r="BKO99" s="1251"/>
      <c r="BKP99" s="1251"/>
      <c r="BKQ99" s="1251"/>
      <c r="BKR99" s="1251"/>
      <c r="BKS99" s="1251"/>
      <c r="BKT99" s="1251"/>
      <c r="BKU99" s="1251"/>
      <c r="BKV99" s="1251"/>
      <c r="BKW99" s="1251"/>
      <c r="BKX99" s="1251"/>
      <c r="BKY99" s="1251"/>
      <c r="BKZ99" s="1251"/>
      <c r="BLA99" s="1251"/>
      <c r="BLB99" s="1251"/>
      <c r="BLC99" s="1251"/>
      <c r="BLD99" s="1251"/>
      <c r="BLE99" s="1251"/>
      <c r="BLF99" s="1251"/>
      <c r="BLG99" s="1251"/>
      <c r="BLH99" s="1251"/>
      <c r="BLI99" s="1251"/>
      <c r="BLJ99" s="1251"/>
      <c r="BLK99" s="1251"/>
      <c r="BLL99" s="1251"/>
      <c r="BLM99" s="1251"/>
      <c r="BLN99" s="1251"/>
      <c r="BLO99" s="1251"/>
      <c r="BLP99" s="1251"/>
      <c r="BLQ99" s="1251"/>
      <c r="BLR99" s="1251"/>
      <c r="BLS99" s="1251"/>
      <c r="BLT99" s="1251"/>
      <c r="BLU99" s="1251"/>
      <c r="BLV99" s="1251"/>
      <c r="BLW99" s="1251"/>
      <c r="BLX99" s="1251"/>
      <c r="BLY99" s="1251"/>
      <c r="BLZ99" s="1251"/>
      <c r="BMA99" s="1251"/>
      <c r="BMB99" s="1251"/>
      <c r="BMC99" s="1251"/>
      <c r="BMD99" s="1251"/>
      <c r="BME99" s="1251"/>
      <c r="BMF99" s="1251"/>
      <c r="BMG99" s="1251"/>
      <c r="BMH99" s="1251"/>
      <c r="BMI99" s="1251"/>
      <c r="BMJ99" s="1251"/>
      <c r="BMK99" s="1251"/>
      <c r="BML99" s="1251"/>
      <c r="BMM99" s="1251"/>
      <c r="BMN99" s="1251"/>
      <c r="BMO99" s="1251"/>
      <c r="BMP99" s="1251"/>
      <c r="BMQ99" s="1251"/>
      <c r="BMR99" s="1251"/>
      <c r="BMS99" s="1251"/>
      <c r="BMT99" s="1251"/>
      <c r="BMU99" s="1251"/>
      <c r="BMV99" s="1251"/>
      <c r="BMW99" s="1251"/>
      <c r="BMX99" s="1251"/>
      <c r="BMY99" s="1251"/>
      <c r="BMZ99" s="1251"/>
      <c r="BNA99" s="1251"/>
      <c r="BNB99" s="1251"/>
      <c r="BNC99" s="1251"/>
      <c r="BND99" s="1251"/>
      <c r="BNE99" s="1251"/>
      <c r="BNF99" s="1251"/>
      <c r="BNG99" s="1251"/>
      <c r="BNH99" s="1251"/>
      <c r="BNI99" s="1251"/>
      <c r="BNJ99" s="1251"/>
      <c r="BNK99" s="1251"/>
      <c r="BNL99" s="1251"/>
      <c r="BNM99" s="1251"/>
      <c r="BNN99" s="1251"/>
      <c r="BNO99" s="1251"/>
      <c r="BNP99" s="1251"/>
      <c r="BNQ99" s="1251"/>
      <c r="BNR99" s="1251"/>
      <c r="BNS99" s="1251"/>
      <c r="BNT99" s="1251"/>
      <c r="BNU99" s="1251"/>
      <c r="BNV99" s="1251"/>
      <c r="BNW99" s="1251"/>
      <c r="BNX99" s="1251"/>
      <c r="BNY99" s="1251"/>
      <c r="BNZ99" s="1251"/>
      <c r="BOA99" s="1251"/>
      <c r="BOB99" s="1251"/>
      <c r="BOC99" s="1251"/>
      <c r="BOD99" s="1251"/>
      <c r="BOE99" s="1251"/>
      <c r="BOF99" s="1251"/>
      <c r="BOG99" s="1251"/>
      <c r="BOH99" s="1251"/>
      <c r="BOI99" s="1251"/>
      <c r="BOJ99" s="1251"/>
      <c r="BOK99" s="1251"/>
      <c r="BOL99" s="1251"/>
      <c r="BOM99" s="1251"/>
      <c r="BON99" s="1251"/>
      <c r="BOO99" s="1251"/>
      <c r="BOP99" s="1251"/>
      <c r="BOQ99" s="1251"/>
      <c r="BOR99" s="1251"/>
      <c r="BOS99" s="1251"/>
      <c r="BOT99" s="1251"/>
      <c r="BOU99" s="1251"/>
      <c r="BOV99" s="1251"/>
      <c r="BOW99" s="1251"/>
      <c r="BOX99" s="1251"/>
      <c r="BOY99" s="1251"/>
      <c r="BOZ99" s="1251"/>
      <c r="BPA99" s="1251"/>
      <c r="BPB99" s="1251"/>
      <c r="BPC99" s="1251"/>
      <c r="BPD99" s="1251"/>
      <c r="BPE99" s="1251"/>
      <c r="BPF99" s="1251"/>
      <c r="BPG99" s="1251"/>
      <c r="BPH99" s="1251"/>
      <c r="BPI99" s="1251"/>
      <c r="BPJ99" s="1251"/>
      <c r="BPK99" s="1251"/>
      <c r="BPL99" s="1251"/>
      <c r="BPM99" s="1251"/>
      <c r="BPN99" s="1251"/>
      <c r="BPO99" s="1251"/>
      <c r="BPP99" s="1251"/>
      <c r="BPQ99" s="1251"/>
      <c r="BPR99" s="1251"/>
      <c r="BPS99" s="1251"/>
      <c r="BPT99" s="1251"/>
      <c r="BPU99" s="1251"/>
      <c r="BPV99" s="1251"/>
      <c r="BPW99" s="1251"/>
      <c r="BPX99" s="1251"/>
      <c r="BPY99" s="1251"/>
      <c r="BPZ99" s="1251"/>
      <c r="BQA99" s="1251"/>
      <c r="BQB99" s="1251"/>
      <c r="BQC99" s="1251"/>
      <c r="BQD99" s="1251"/>
      <c r="BQE99" s="1251"/>
      <c r="BQF99" s="1251"/>
      <c r="BQG99" s="1251"/>
      <c r="BQH99" s="1251"/>
      <c r="BQI99" s="1251"/>
      <c r="BQJ99" s="1251"/>
      <c r="BQK99" s="1251"/>
      <c r="BQL99" s="1251"/>
      <c r="BQM99" s="1251"/>
      <c r="BQN99" s="1251"/>
      <c r="BQO99" s="1251"/>
      <c r="BQP99" s="1251"/>
      <c r="BQQ99" s="1251"/>
      <c r="BQR99" s="1251"/>
      <c r="BQS99" s="1251"/>
      <c r="BQT99" s="1251"/>
      <c r="BQU99" s="1251"/>
      <c r="BQV99" s="1251"/>
      <c r="BQW99" s="1251"/>
      <c r="BQX99" s="1251"/>
      <c r="BQY99" s="1251"/>
      <c r="BQZ99" s="1251"/>
      <c r="BRA99" s="1251"/>
      <c r="BRB99" s="1251"/>
      <c r="BRC99" s="1251"/>
      <c r="BRD99" s="1251"/>
      <c r="BRE99" s="1251"/>
      <c r="BRF99" s="1251"/>
      <c r="BRG99" s="1251"/>
      <c r="BRH99" s="1251"/>
      <c r="BRI99" s="1251"/>
      <c r="BRJ99" s="1251"/>
      <c r="BRK99" s="1251"/>
      <c r="BRL99" s="1251"/>
      <c r="BRM99" s="1251"/>
      <c r="BRN99" s="1251"/>
      <c r="BRO99" s="1251"/>
      <c r="BRP99" s="1251"/>
      <c r="BRQ99" s="1251"/>
      <c r="BRR99" s="1251"/>
      <c r="BRS99" s="1251"/>
      <c r="BRT99" s="1251"/>
      <c r="BRU99" s="1251"/>
      <c r="BRV99" s="1251"/>
      <c r="BRW99" s="1251"/>
      <c r="BRX99" s="1251"/>
      <c r="BRY99" s="1251"/>
      <c r="BRZ99" s="1251"/>
      <c r="BSA99" s="1251"/>
      <c r="BSB99" s="1251"/>
      <c r="BSC99" s="1251"/>
      <c r="BSD99" s="1251"/>
      <c r="BSE99" s="1251"/>
      <c r="BSF99" s="1251"/>
      <c r="BSG99" s="1251"/>
      <c r="BSH99" s="1251"/>
      <c r="BSI99" s="1251"/>
      <c r="BSJ99" s="1251"/>
      <c r="BSK99" s="1251"/>
      <c r="BSL99" s="1251"/>
      <c r="BSM99" s="1251"/>
      <c r="BSN99" s="1251"/>
      <c r="BSO99" s="1251"/>
      <c r="BSP99" s="1251"/>
      <c r="BSQ99" s="1251"/>
      <c r="BSR99" s="1251"/>
      <c r="BSS99" s="1251"/>
      <c r="BST99" s="1251"/>
      <c r="BSU99" s="1251"/>
      <c r="BSV99" s="1251"/>
      <c r="BSW99" s="1251"/>
      <c r="BSX99" s="1251"/>
      <c r="BSY99" s="1251"/>
      <c r="BSZ99" s="1251"/>
      <c r="BTA99" s="1251"/>
      <c r="BTB99" s="1251"/>
      <c r="BTC99" s="1251"/>
      <c r="BTD99" s="1251"/>
      <c r="BTE99" s="1251"/>
      <c r="BTF99" s="1251"/>
      <c r="BTG99" s="1251"/>
      <c r="BTH99" s="1251"/>
      <c r="BTI99" s="1251"/>
    </row>
    <row r="100" spans="1:1881" s="1261" customFormat="1" ht="76.5" hidden="1" customHeight="1" thickBot="1" x14ac:dyDescent="0.35">
      <c r="A100" s="1248">
        <v>148</v>
      </c>
      <c r="B100" s="593" t="s">
        <v>1201</v>
      </c>
      <c r="C100" s="635" t="s">
        <v>1199</v>
      </c>
      <c r="D100" s="635" t="s">
        <v>1200</v>
      </c>
      <c r="E100" s="1249" t="e">
        <f>HLOOKUP($D$2,'2020 Data(H)'!$C$1:$CZ$426,68,FALSE)</f>
        <v>#N/A</v>
      </c>
      <c r="F100" s="1263">
        <v>0</v>
      </c>
      <c r="G100" s="739"/>
      <c r="H100" s="17"/>
      <c r="I100" s="760"/>
      <c r="J100" s="1251"/>
      <c r="K100" s="1251"/>
      <c r="L100" s="701"/>
      <c r="M100" s="1251"/>
      <c r="N100" s="1253"/>
      <c r="O100" s="1251"/>
      <c r="P100" s="1251"/>
      <c r="Q100" s="1251"/>
      <c r="R100" s="1251"/>
      <c r="S100" s="1251"/>
      <c r="T100" s="1251"/>
      <c r="U100" s="1251"/>
      <c r="V100" s="1251"/>
      <c r="W100" s="1251"/>
      <c r="X100" s="1251"/>
      <c r="Y100" s="1251"/>
      <c r="Z100" s="1248"/>
      <c r="AA100" s="1248"/>
      <c r="AB100" s="1248"/>
      <c r="AC100" s="1248"/>
      <c r="AD100" s="1248"/>
      <c r="AE100" s="1248"/>
      <c r="AF100" s="1248"/>
      <c r="AG100" s="1248"/>
      <c r="AH100" s="1248"/>
      <c r="AI100" s="1248"/>
      <c r="AJ100" s="1248"/>
      <c r="AK100" s="1248"/>
      <c r="AL100" s="1248"/>
      <c r="AM100" s="1248"/>
      <c r="AN100" s="1248"/>
      <c r="AO100" s="1248"/>
      <c r="AP100" s="1248"/>
      <c r="AQ100" s="1248"/>
      <c r="AR100" s="1248"/>
      <c r="AS100" s="1251"/>
      <c r="AT100" s="1251"/>
      <c r="AU100" s="1251"/>
      <c r="AV100" s="1251"/>
      <c r="AW100" s="1251"/>
      <c r="AX100" s="1251"/>
      <c r="AY100" s="1251"/>
      <c r="AZ100" s="1251"/>
      <c r="BA100" s="1251"/>
      <c r="BB100" s="1251"/>
      <c r="BC100" s="1251"/>
      <c r="BD100" s="1251"/>
      <c r="BE100" s="1251"/>
      <c r="BF100" s="1251"/>
      <c r="BG100" s="1251"/>
      <c r="BH100" s="1251"/>
      <c r="BI100" s="1251"/>
      <c r="BJ100" s="1251"/>
      <c r="BK100" s="1251"/>
      <c r="BL100" s="1251"/>
      <c r="BM100" s="1251"/>
      <c r="BN100" s="1251"/>
      <c r="BO100" s="1251"/>
      <c r="BP100" s="1251"/>
      <c r="BQ100" s="1251"/>
      <c r="BR100" s="1251"/>
      <c r="BS100" s="1251"/>
      <c r="BT100" s="1251"/>
      <c r="BU100" s="1251"/>
      <c r="BV100" s="1251"/>
      <c r="BW100" s="1251"/>
      <c r="BX100" s="1251"/>
      <c r="BY100" s="1251"/>
      <c r="BZ100" s="1251"/>
      <c r="CA100" s="1251"/>
      <c r="CB100" s="1251"/>
      <c r="CC100" s="1251"/>
      <c r="CD100" s="1251"/>
      <c r="CE100" s="1251"/>
      <c r="CF100" s="1251"/>
      <c r="CG100" s="1251"/>
      <c r="CH100" s="1251"/>
      <c r="CI100" s="1251"/>
      <c r="CJ100" s="1251"/>
      <c r="CK100" s="1251"/>
      <c r="CL100" s="1251"/>
      <c r="CM100" s="1251"/>
      <c r="CN100" s="1251"/>
      <c r="CO100" s="1251"/>
      <c r="CP100" s="1251"/>
      <c r="CQ100" s="1251"/>
      <c r="CR100" s="1251"/>
      <c r="CS100" s="1251"/>
      <c r="CT100" s="1251"/>
      <c r="CU100" s="1251"/>
      <c r="CV100" s="1251"/>
      <c r="CW100" s="1251"/>
      <c r="CX100" s="1251"/>
      <c r="CY100" s="1251"/>
      <c r="CZ100" s="1251"/>
      <c r="DA100" s="1251"/>
      <c r="DB100" s="1251"/>
      <c r="DC100" s="1251"/>
      <c r="DD100" s="1251"/>
      <c r="DE100" s="1251"/>
      <c r="DF100" s="1251"/>
      <c r="DG100" s="1251"/>
      <c r="DH100" s="1251"/>
      <c r="DI100" s="1251"/>
      <c r="DJ100" s="1251"/>
      <c r="DK100" s="1251"/>
      <c r="DL100" s="1251"/>
      <c r="DM100" s="1251"/>
      <c r="DN100" s="1251"/>
      <c r="DO100" s="1251"/>
      <c r="DP100" s="1251"/>
      <c r="DQ100" s="1251"/>
      <c r="DR100" s="1251"/>
      <c r="DS100" s="1251"/>
      <c r="DT100" s="1251"/>
      <c r="DU100" s="1251"/>
      <c r="DV100" s="1251"/>
      <c r="DW100" s="1251"/>
      <c r="DX100" s="1251"/>
      <c r="DY100" s="1251"/>
      <c r="DZ100" s="1251"/>
      <c r="EA100" s="1251"/>
      <c r="EB100" s="1251"/>
      <c r="EC100" s="1251"/>
      <c r="ED100" s="1251"/>
      <c r="EE100" s="1251"/>
      <c r="EF100" s="1251"/>
      <c r="EG100" s="1251"/>
      <c r="EH100" s="1251"/>
      <c r="EI100" s="1251"/>
      <c r="EJ100" s="1251"/>
      <c r="EK100" s="1251"/>
      <c r="EL100" s="1251"/>
      <c r="EM100" s="1251"/>
      <c r="EN100" s="1251"/>
      <c r="EO100" s="1251"/>
      <c r="EP100" s="1251"/>
      <c r="EQ100" s="1251"/>
      <c r="ER100" s="1251"/>
      <c r="ES100" s="1251"/>
      <c r="ET100" s="1251"/>
      <c r="EU100" s="1251"/>
      <c r="EV100" s="1251"/>
      <c r="EW100" s="1251"/>
      <c r="EX100" s="1251"/>
      <c r="EY100" s="1251"/>
      <c r="EZ100" s="1251"/>
      <c r="FA100" s="1251"/>
      <c r="FB100" s="1251"/>
      <c r="FC100" s="1251"/>
      <c r="FD100" s="1251"/>
      <c r="FE100" s="1251"/>
      <c r="FF100" s="1251"/>
      <c r="FG100" s="1251"/>
      <c r="FH100" s="1251"/>
      <c r="FI100" s="1251"/>
      <c r="FJ100" s="1251"/>
      <c r="FK100" s="1251"/>
      <c r="FL100" s="1251"/>
      <c r="FM100" s="1251"/>
      <c r="FN100" s="1251"/>
      <c r="FO100" s="1251"/>
      <c r="FP100" s="1251"/>
      <c r="FQ100" s="1251"/>
      <c r="FR100" s="1251"/>
      <c r="FS100" s="1251"/>
      <c r="FT100" s="1251"/>
      <c r="FU100" s="1251"/>
      <c r="FV100" s="1251"/>
      <c r="FW100" s="1251"/>
      <c r="FX100" s="1251"/>
      <c r="FY100" s="1251"/>
      <c r="FZ100" s="1251"/>
      <c r="GA100" s="1251"/>
      <c r="GB100" s="1251"/>
      <c r="GC100" s="1251"/>
      <c r="GD100" s="1251"/>
      <c r="GE100" s="1251"/>
      <c r="GF100" s="1251"/>
      <c r="GG100" s="1251"/>
      <c r="GH100" s="1251"/>
      <c r="GI100" s="1251"/>
      <c r="GJ100" s="1251"/>
      <c r="GK100" s="1251"/>
      <c r="GL100" s="1251"/>
      <c r="GM100" s="1251"/>
      <c r="GN100" s="1251"/>
      <c r="GO100" s="1251"/>
      <c r="GP100" s="1251"/>
      <c r="GQ100" s="1251"/>
      <c r="GR100" s="1251"/>
      <c r="GS100" s="1251"/>
      <c r="GT100" s="1251"/>
      <c r="GU100" s="1251"/>
      <c r="GV100" s="1251"/>
      <c r="GW100" s="1251"/>
      <c r="GX100" s="1251"/>
      <c r="GY100" s="1251"/>
      <c r="GZ100" s="1251"/>
      <c r="HA100" s="1251"/>
      <c r="HB100" s="1251"/>
      <c r="HC100" s="1251"/>
      <c r="HD100" s="1251"/>
      <c r="HE100" s="1251"/>
      <c r="HF100" s="1251"/>
      <c r="HG100" s="1251"/>
      <c r="HH100" s="1251"/>
      <c r="HI100" s="1251"/>
      <c r="HJ100" s="1251"/>
      <c r="HK100" s="1251"/>
      <c r="HL100" s="1251"/>
      <c r="HM100" s="1251"/>
      <c r="HN100" s="1251"/>
      <c r="HO100" s="1251"/>
      <c r="HP100" s="1251"/>
      <c r="HQ100" s="1251"/>
      <c r="HR100" s="1251"/>
      <c r="HS100" s="1251"/>
      <c r="HT100" s="1251"/>
      <c r="HU100" s="1251"/>
      <c r="HV100" s="1251"/>
      <c r="HW100" s="1251"/>
      <c r="HX100" s="1251"/>
      <c r="HY100" s="1251"/>
      <c r="HZ100" s="1251"/>
      <c r="IA100" s="1251"/>
      <c r="IB100" s="1251"/>
      <c r="IC100" s="1251"/>
      <c r="ID100" s="1251"/>
      <c r="IE100" s="1251"/>
      <c r="IF100" s="1251"/>
      <c r="IG100" s="1251"/>
      <c r="IH100" s="1251"/>
      <c r="II100" s="1251"/>
      <c r="IJ100" s="1251"/>
      <c r="IK100" s="1251"/>
      <c r="IL100" s="1251"/>
      <c r="IM100" s="1251"/>
      <c r="IN100" s="1251"/>
      <c r="IO100" s="1251"/>
      <c r="IP100" s="1251"/>
      <c r="IQ100" s="1251"/>
      <c r="IR100" s="1251"/>
      <c r="IS100" s="1251"/>
      <c r="IT100" s="1251"/>
      <c r="IU100" s="1251"/>
      <c r="IV100" s="1251"/>
      <c r="IW100" s="1251"/>
      <c r="IX100" s="1251"/>
      <c r="IY100" s="1251"/>
      <c r="IZ100" s="1251"/>
      <c r="JA100" s="1251"/>
      <c r="JB100" s="1251"/>
      <c r="JC100" s="1251"/>
      <c r="JD100" s="1251"/>
      <c r="JE100" s="1251"/>
      <c r="JF100" s="1251"/>
      <c r="JG100" s="1251"/>
      <c r="JH100" s="1251"/>
      <c r="JI100" s="1251"/>
      <c r="JJ100" s="1251"/>
      <c r="JK100" s="1251"/>
      <c r="JL100" s="1251"/>
      <c r="JM100" s="1251"/>
      <c r="JN100" s="1251"/>
      <c r="JO100" s="1251"/>
      <c r="JP100" s="1251"/>
      <c r="JQ100" s="1251"/>
      <c r="JR100" s="1251"/>
      <c r="JS100" s="1251"/>
      <c r="JT100" s="1251"/>
      <c r="JU100" s="1251"/>
      <c r="JV100" s="1251"/>
      <c r="JW100" s="1251"/>
      <c r="JX100" s="1251"/>
      <c r="JY100" s="1251"/>
      <c r="JZ100" s="1251"/>
      <c r="KA100" s="1251"/>
      <c r="KB100" s="1251"/>
      <c r="KC100" s="1251"/>
      <c r="KD100" s="1251"/>
      <c r="KE100" s="1251"/>
      <c r="KF100" s="1251"/>
      <c r="KG100" s="1251"/>
      <c r="KH100" s="1251"/>
      <c r="KI100" s="1251"/>
      <c r="KJ100" s="1251"/>
      <c r="KK100" s="1251"/>
      <c r="KL100" s="1251"/>
      <c r="KM100" s="1251"/>
      <c r="KN100" s="1251"/>
      <c r="KO100" s="1251"/>
      <c r="KP100" s="1251"/>
      <c r="KQ100" s="1251"/>
      <c r="KR100" s="1251"/>
      <c r="KS100" s="1251"/>
      <c r="KT100" s="1251"/>
      <c r="KU100" s="1251"/>
      <c r="KV100" s="1251"/>
      <c r="KW100" s="1251"/>
      <c r="KX100" s="1251"/>
      <c r="KY100" s="1251"/>
      <c r="KZ100" s="1251"/>
      <c r="LA100" s="1251"/>
      <c r="LB100" s="1251"/>
      <c r="LC100" s="1251"/>
      <c r="LD100" s="1251"/>
      <c r="LE100" s="1251"/>
      <c r="LF100" s="1251"/>
      <c r="LG100" s="1251"/>
      <c r="LH100" s="1251"/>
      <c r="LI100" s="1251"/>
      <c r="LJ100" s="1251"/>
      <c r="LK100" s="1251"/>
      <c r="LL100" s="1251"/>
      <c r="LM100" s="1251"/>
      <c r="LN100" s="1251"/>
      <c r="LO100" s="1251"/>
      <c r="LP100" s="1251"/>
      <c r="LQ100" s="1251"/>
      <c r="LR100" s="1251"/>
      <c r="LS100" s="1251"/>
      <c r="LT100" s="1251"/>
      <c r="LU100" s="1251"/>
      <c r="LV100" s="1251"/>
      <c r="LW100" s="1251"/>
      <c r="LX100" s="1251"/>
      <c r="LY100" s="1251"/>
      <c r="LZ100" s="1251"/>
      <c r="MA100" s="1251"/>
      <c r="MB100" s="1251"/>
      <c r="MC100" s="1251"/>
      <c r="MD100" s="1251"/>
      <c r="ME100" s="1251"/>
      <c r="MF100" s="1251"/>
      <c r="MG100" s="1251"/>
      <c r="MH100" s="1251"/>
      <c r="MI100" s="1251"/>
      <c r="MJ100" s="1251"/>
      <c r="MK100" s="1251"/>
      <c r="ML100" s="1251"/>
      <c r="MM100" s="1251"/>
      <c r="MN100" s="1251"/>
      <c r="MO100" s="1251"/>
      <c r="MP100" s="1251"/>
      <c r="MQ100" s="1251"/>
      <c r="MR100" s="1251"/>
      <c r="MS100" s="1251"/>
      <c r="MT100" s="1251"/>
      <c r="MU100" s="1251"/>
      <c r="MV100" s="1251"/>
      <c r="MW100" s="1251"/>
      <c r="MX100" s="1251"/>
      <c r="MY100" s="1251"/>
      <c r="MZ100" s="1251"/>
      <c r="NA100" s="1251"/>
      <c r="NB100" s="1251"/>
      <c r="NC100" s="1251"/>
      <c r="ND100" s="1251"/>
      <c r="NE100" s="1251"/>
      <c r="NF100" s="1251"/>
      <c r="NG100" s="1251"/>
      <c r="NH100" s="1251"/>
      <c r="NI100" s="1251"/>
      <c r="NJ100" s="1251"/>
      <c r="NK100" s="1251"/>
      <c r="NL100" s="1251"/>
      <c r="NM100" s="1251"/>
      <c r="NN100" s="1251"/>
      <c r="NO100" s="1251"/>
      <c r="NP100" s="1251"/>
      <c r="NQ100" s="1251"/>
      <c r="NR100" s="1251"/>
      <c r="NS100" s="1251"/>
      <c r="NT100" s="1251"/>
      <c r="NU100" s="1251"/>
      <c r="NV100" s="1251"/>
      <c r="NW100" s="1251"/>
      <c r="NX100" s="1251"/>
      <c r="NY100" s="1251"/>
      <c r="NZ100" s="1251"/>
      <c r="OA100" s="1251"/>
      <c r="OB100" s="1251"/>
      <c r="OC100" s="1251"/>
      <c r="OD100" s="1251"/>
      <c r="OE100" s="1251"/>
      <c r="OF100" s="1251"/>
      <c r="OG100" s="1251"/>
      <c r="OH100" s="1251"/>
      <c r="OI100" s="1251"/>
      <c r="OJ100" s="1251"/>
      <c r="OK100" s="1251"/>
      <c r="OL100" s="1251"/>
      <c r="OM100" s="1251"/>
      <c r="ON100" s="1251"/>
      <c r="OO100" s="1251"/>
      <c r="OP100" s="1251"/>
      <c r="OQ100" s="1251"/>
      <c r="OR100" s="1251"/>
      <c r="OS100" s="1251"/>
      <c r="OT100" s="1251"/>
      <c r="OU100" s="1251"/>
      <c r="OV100" s="1251"/>
      <c r="OW100" s="1251"/>
      <c r="OX100" s="1251"/>
      <c r="OY100" s="1251"/>
      <c r="OZ100" s="1251"/>
      <c r="PA100" s="1251"/>
      <c r="PB100" s="1251"/>
      <c r="PC100" s="1251"/>
      <c r="PD100" s="1251"/>
      <c r="PE100" s="1251"/>
      <c r="PF100" s="1251"/>
      <c r="PG100" s="1251"/>
      <c r="PH100" s="1251"/>
      <c r="PI100" s="1251"/>
      <c r="PJ100" s="1251"/>
      <c r="PK100" s="1251"/>
      <c r="PL100" s="1251"/>
      <c r="PM100" s="1251"/>
      <c r="PN100" s="1251"/>
      <c r="PO100" s="1251"/>
      <c r="PP100" s="1251"/>
      <c r="PQ100" s="1251"/>
      <c r="PR100" s="1251"/>
      <c r="PS100" s="1251"/>
      <c r="PT100" s="1251"/>
      <c r="PU100" s="1251"/>
      <c r="PV100" s="1251"/>
      <c r="PW100" s="1251"/>
      <c r="PX100" s="1251"/>
      <c r="PY100" s="1251"/>
      <c r="PZ100" s="1251"/>
      <c r="QA100" s="1251"/>
      <c r="QB100" s="1251"/>
      <c r="QC100" s="1251"/>
      <c r="QD100" s="1251"/>
      <c r="QE100" s="1251"/>
      <c r="QF100" s="1251"/>
      <c r="QG100" s="1251"/>
      <c r="QH100" s="1251"/>
      <c r="QI100" s="1251"/>
      <c r="QJ100" s="1251"/>
      <c r="QK100" s="1251"/>
      <c r="QL100" s="1251"/>
      <c r="QM100" s="1251"/>
      <c r="QN100" s="1251"/>
      <c r="QO100" s="1251"/>
      <c r="QP100" s="1251"/>
      <c r="QQ100" s="1251"/>
      <c r="QR100" s="1251"/>
      <c r="QS100" s="1251"/>
      <c r="QT100" s="1251"/>
      <c r="QU100" s="1251"/>
      <c r="QV100" s="1251"/>
      <c r="QW100" s="1251"/>
      <c r="QX100" s="1251"/>
      <c r="QY100" s="1251"/>
      <c r="QZ100" s="1251"/>
      <c r="RA100" s="1251"/>
      <c r="RB100" s="1251"/>
      <c r="RC100" s="1251"/>
      <c r="RD100" s="1251"/>
      <c r="RE100" s="1251"/>
      <c r="RF100" s="1251"/>
      <c r="RG100" s="1251"/>
      <c r="RH100" s="1251"/>
      <c r="RI100" s="1251"/>
      <c r="RJ100" s="1251"/>
      <c r="RK100" s="1251"/>
      <c r="RL100" s="1251"/>
      <c r="RM100" s="1251"/>
      <c r="RN100" s="1251"/>
      <c r="RO100" s="1251"/>
      <c r="RP100" s="1251"/>
      <c r="RQ100" s="1251"/>
      <c r="RR100" s="1251"/>
      <c r="RS100" s="1251"/>
      <c r="RT100" s="1251"/>
      <c r="RU100" s="1251"/>
      <c r="RV100" s="1251"/>
      <c r="RW100" s="1251"/>
      <c r="RX100" s="1251"/>
      <c r="RY100" s="1251"/>
      <c r="RZ100" s="1251"/>
      <c r="SA100" s="1251"/>
      <c r="SB100" s="1251"/>
      <c r="SC100" s="1251"/>
      <c r="SD100" s="1251"/>
      <c r="SE100" s="1251"/>
      <c r="SF100" s="1251"/>
      <c r="SG100" s="1251"/>
      <c r="SH100" s="1251"/>
      <c r="SI100" s="1251"/>
      <c r="SJ100" s="1251"/>
      <c r="SK100" s="1251"/>
      <c r="SL100" s="1251"/>
      <c r="SM100" s="1251"/>
      <c r="SN100" s="1251"/>
      <c r="SO100" s="1251"/>
      <c r="SP100" s="1251"/>
      <c r="SQ100" s="1251"/>
      <c r="SR100" s="1251"/>
      <c r="SS100" s="1251"/>
      <c r="ST100" s="1251"/>
      <c r="SU100" s="1251"/>
      <c r="SV100" s="1251"/>
      <c r="SW100" s="1251"/>
      <c r="SX100" s="1251"/>
      <c r="SY100" s="1251"/>
      <c r="SZ100" s="1251"/>
      <c r="TA100" s="1251"/>
      <c r="TB100" s="1251"/>
      <c r="TC100" s="1251"/>
      <c r="TD100" s="1251"/>
      <c r="TE100" s="1251"/>
      <c r="TF100" s="1251"/>
      <c r="TG100" s="1251"/>
      <c r="TH100" s="1251"/>
      <c r="TI100" s="1251"/>
      <c r="TJ100" s="1251"/>
      <c r="TK100" s="1251"/>
      <c r="TL100" s="1251"/>
      <c r="TM100" s="1251"/>
      <c r="TN100" s="1251"/>
      <c r="TO100" s="1251"/>
      <c r="TP100" s="1251"/>
      <c r="TQ100" s="1251"/>
      <c r="TR100" s="1251"/>
      <c r="TS100" s="1251"/>
      <c r="TT100" s="1251"/>
      <c r="TU100" s="1251"/>
      <c r="TV100" s="1251"/>
      <c r="TW100" s="1251"/>
      <c r="TX100" s="1251"/>
      <c r="TY100" s="1251"/>
      <c r="TZ100" s="1251"/>
      <c r="UA100" s="1251"/>
      <c r="UB100" s="1251"/>
      <c r="UC100" s="1251"/>
      <c r="UD100" s="1251"/>
      <c r="UE100" s="1251"/>
      <c r="UF100" s="1251"/>
      <c r="UG100" s="1251"/>
      <c r="UH100" s="1251"/>
      <c r="UI100" s="1251"/>
      <c r="UJ100" s="1251"/>
      <c r="UK100" s="1251"/>
      <c r="UL100" s="1251"/>
      <c r="UM100" s="1251"/>
      <c r="UN100" s="1251"/>
      <c r="UO100" s="1251"/>
      <c r="UP100" s="1251"/>
      <c r="UQ100" s="1251"/>
      <c r="UR100" s="1251"/>
      <c r="US100" s="1251"/>
      <c r="UT100" s="1251"/>
      <c r="UU100" s="1251"/>
      <c r="UV100" s="1251"/>
      <c r="UW100" s="1251"/>
      <c r="UX100" s="1251"/>
      <c r="UY100" s="1251"/>
      <c r="UZ100" s="1251"/>
      <c r="VA100" s="1251"/>
      <c r="VB100" s="1251"/>
      <c r="VC100" s="1251"/>
      <c r="VD100" s="1251"/>
      <c r="VE100" s="1251"/>
      <c r="VF100" s="1251"/>
      <c r="VG100" s="1251"/>
      <c r="VH100" s="1251"/>
      <c r="VI100" s="1251"/>
      <c r="VJ100" s="1251"/>
      <c r="VK100" s="1251"/>
      <c r="VL100" s="1251"/>
      <c r="VM100" s="1251"/>
      <c r="VN100" s="1251"/>
      <c r="VO100" s="1251"/>
      <c r="VP100" s="1251"/>
      <c r="VQ100" s="1251"/>
      <c r="VR100" s="1251"/>
      <c r="VS100" s="1251"/>
      <c r="VT100" s="1251"/>
      <c r="VU100" s="1251"/>
      <c r="VV100" s="1251"/>
      <c r="VW100" s="1251"/>
      <c r="VX100" s="1251"/>
      <c r="VY100" s="1251"/>
      <c r="VZ100" s="1251"/>
      <c r="WA100" s="1251"/>
      <c r="WB100" s="1251"/>
      <c r="WC100" s="1251"/>
      <c r="WD100" s="1251"/>
      <c r="WE100" s="1251"/>
      <c r="WF100" s="1251"/>
      <c r="WG100" s="1251"/>
      <c r="WH100" s="1251"/>
      <c r="WI100" s="1251"/>
      <c r="WJ100" s="1251"/>
      <c r="WK100" s="1251"/>
      <c r="WL100" s="1251"/>
      <c r="WM100" s="1251"/>
      <c r="WN100" s="1251"/>
      <c r="WO100" s="1251"/>
      <c r="WP100" s="1251"/>
      <c r="WQ100" s="1251"/>
      <c r="WR100" s="1251"/>
      <c r="WS100" s="1251"/>
      <c r="WT100" s="1251"/>
      <c r="WU100" s="1251"/>
      <c r="WV100" s="1251"/>
      <c r="WW100" s="1251"/>
      <c r="WX100" s="1251"/>
      <c r="WY100" s="1251"/>
      <c r="WZ100" s="1251"/>
      <c r="XA100" s="1251"/>
      <c r="XB100" s="1251"/>
      <c r="XC100" s="1251"/>
      <c r="XD100" s="1251"/>
      <c r="XE100" s="1251"/>
      <c r="XF100" s="1251"/>
      <c r="XG100" s="1251"/>
      <c r="XH100" s="1251"/>
      <c r="XI100" s="1251"/>
      <c r="XJ100" s="1251"/>
      <c r="XK100" s="1251"/>
      <c r="XL100" s="1251"/>
      <c r="XM100" s="1251"/>
      <c r="XN100" s="1251"/>
      <c r="XO100" s="1251"/>
      <c r="XP100" s="1251"/>
      <c r="XQ100" s="1251"/>
      <c r="XR100" s="1251"/>
      <c r="XS100" s="1251"/>
      <c r="XT100" s="1251"/>
      <c r="XU100" s="1251"/>
      <c r="XV100" s="1251"/>
      <c r="XW100" s="1251"/>
      <c r="XX100" s="1251"/>
      <c r="XY100" s="1251"/>
      <c r="XZ100" s="1251"/>
      <c r="YA100" s="1251"/>
      <c r="YB100" s="1251"/>
      <c r="YC100" s="1251"/>
      <c r="YD100" s="1251"/>
      <c r="YE100" s="1251"/>
      <c r="YF100" s="1251"/>
      <c r="YG100" s="1251"/>
      <c r="YH100" s="1251"/>
      <c r="YI100" s="1251"/>
      <c r="YJ100" s="1251"/>
      <c r="YK100" s="1251"/>
      <c r="YL100" s="1251"/>
      <c r="YM100" s="1251"/>
      <c r="YN100" s="1251"/>
      <c r="YO100" s="1251"/>
      <c r="YP100" s="1251"/>
      <c r="YQ100" s="1251"/>
      <c r="YR100" s="1251"/>
      <c r="YS100" s="1251"/>
      <c r="YT100" s="1251"/>
      <c r="YU100" s="1251"/>
      <c r="YV100" s="1251"/>
      <c r="YW100" s="1251"/>
      <c r="YX100" s="1251"/>
      <c r="YY100" s="1251"/>
      <c r="YZ100" s="1251"/>
      <c r="ZA100" s="1251"/>
      <c r="ZB100" s="1251"/>
      <c r="ZC100" s="1251"/>
      <c r="ZD100" s="1251"/>
      <c r="ZE100" s="1251"/>
      <c r="ZF100" s="1251"/>
      <c r="ZG100" s="1251"/>
      <c r="ZH100" s="1251"/>
      <c r="ZI100" s="1251"/>
      <c r="ZJ100" s="1251"/>
      <c r="ZK100" s="1251"/>
      <c r="ZL100" s="1251"/>
      <c r="ZM100" s="1251"/>
      <c r="ZN100" s="1251"/>
      <c r="ZO100" s="1251"/>
      <c r="ZP100" s="1251"/>
      <c r="ZQ100" s="1251"/>
      <c r="ZR100" s="1251"/>
      <c r="ZS100" s="1251"/>
      <c r="ZT100" s="1251"/>
      <c r="ZU100" s="1251"/>
      <c r="ZV100" s="1251"/>
      <c r="ZW100" s="1251"/>
      <c r="ZX100" s="1251"/>
      <c r="ZY100" s="1251"/>
      <c r="ZZ100" s="1251"/>
      <c r="AAA100" s="1251"/>
      <c r="AAB100" s="1251"/>
      <c r="AAC100" s="1251"/>
      <c r="AAD100" s="1251"/>
      <c r="AAE100" s="1251"/>
      <c r="AAF100" s="1251"/>
      <c r="AAG100" s="1251"/>
      <c r="AAH100" s="1251"/>
      <c r="AAI100" s="1251"/>
      <c r="AAJ100" s="1251"/>
      <c r="AAK100" s="1251"/>
      <c r="AAL100" s="1251"/>
      <c r="AAM100" s="1251"/>
      <c r="AAN100" s="1251"/>
      <c r="AAO100" s="1251"/>
      <c r="AAP100" s="1251"/>
      <c r="AAQ100" s="1251"/>
      <c r="AAR100" s="1251"/>
      <c r="AAS100" s="1251"/>
      <c r="AAT100" s="1251"/>
      <c r="AAU100" s="1251"/>
      <c r="AAV100" s="1251"/>
      <c r="AAW100" s="1251"/>
      <c r="AAX100" s="1251"/>
      <c r="AAY100" s="1251"/>
      <c r="AAZ100" s="1251"/>
      <c r="ABA100" s="1251"/>
      <c r="ABB100" s="1251"/>
      <c r="ABC100" s="1251"/>
      <c r="ABD100" s="1251"/>
      <c r="ABE100" s="1251"/>
      <c r="ABF100" s="1251"/>
      <c r="ABG100" s="1251"/>
      <c r="ABH100" s="1251"/>
      <c r="ABI100" s="1251"/>
      <c r="ABJ100" s="1251"/>
      <c r="ABK100" s="1251"/>
      <c r="ABL100" s="1251"/>
      <c r="ABM100" s="1251"/>
      <c r="ABN100" s="1251"/>
      <c r="ABO100" s="1251"/>
      <c r="ABP100" s="1251"/>
      <c r="ABQ100" s="1251"/>
      <c r="ABR100" s="1251"/>
      <c r="ABS100" s="1251"/>
      <c r="ABT100" s="1251"/>
      <c r="ABU100" s="1251"/>
      <c r="ABV100" s="1251"/>
      <c r="ABW100" s="1251"/>
      <c r="ABX100" s="1251"/>
      <c r="ABY100" s="1251"/>
      <c r="ABZ100" s="1251"/>
      <c r="ACA100" s="1251"/>
      <c r="ACB100" s="1251"/>
      <c r="ACC100" s="1251"/>
      <c r="ACD100" s="1251"/>
      <c r="ACE100" s="1251"/>
      <c r="ACF100" s="1251"/>
      <c r="ACG100" s="1251"/>
      <c r="ACH100" s="1251"/>
      <c r="ACI100" s="1251"/>
      <c r="ACJ100" s="1251"/>
      <c r="ACK100" s="1251"/>
      <c r="ACL100" s="1251"/>
      <c r="ACM100" s="1251"/>
      <c r="ACN100" s="1251"/>
      <c r="ACO100" s="1251"/>
      <c r="ACP100" s="1251"/>
      <c r="ACQ100" s="1251"/>
      <c r="ACR100" s="1251"/>
      <c r="ACS100" s="1251"/>
      <c r="ACT100" s="1251"/>
      <c r="ACU100" s="1251"/>
      <c r="ACV100" s="1251"/>
      <c r="ACW100" s="1251"/>
      <c r="ACX100" s="1251"/>
      <c r="ACY100" s="1251"/>
      <c r="ACZ100" s="1251"/>
      <c r="ADA100" s="1251"/>
      <c r="ADB100" s="1251"/>
      <c r="ADC100" s="1251"/>
      <c r="ADD100" s="1251"/>
      <c r="ADE100" s="1251"/>
      <c r="ADF100" s="1251"/>
      <c r="ADG100" s="1251"/>
      <c r="ADH100" s="1251"/>
      <c r="ADI100" s="1251"/>
      <c r="ADJ100" s="1251"/>
      <c r="ADK100" s="1251"/>
      <c r="ADL100" s="1251"/>
      <c r="ADM100" s="1251"/>
      <c r="ADN100" s="1251"/>
      <c r="ADO100" s="1251"/>
      <c r="ADP100" s="1251"/>
      <c r="ADQ100" s="1251"/>
      <c r="ADR100" s="1251"/>
      <c r="ADS100" s="1251"/>
      <c r="ADT100" s="1251"/>
      <c r="ADU100" s="1251"/>
      <c r="ADV100" s="1251"/>
      <c r="ADW100" s="1251"/>
      <c r="ADX100" s="1251"/>
      <c r="ADY100" s="1251"/>
      <c r="ADZ100" s="1251"/>
      <c r="AEA100" s="1251"/>
      <c r="AEB100" s="1251"/>
      <c r="AEC100" s="1251"/>
      <c r="AED100" s="1251"/>
      <c r="AEE100" s="1251"/>
      <c r="AEF100" s="1251"/>
      <c r="AEG100" s="1251"/>
      <c r="AEH100" s="1251"/>
      <c r="AEI100" s="1251"/>
      <c r="AEJ100" s="1251"/>
      <c r="AEK100" s="1251"/>
      <c r="AEL100" s="1251"/>
      <c r="AEM100" s="1251"/>
      <c r="AEN100" s="1251"/>
      <c r="AEO100" s="1251"/>
      <c r="AEP100" s="1251"/>
      <c r="AEQ100" s="1251"/>
      <c r="AER100" s="1251"/>
      <c r="AES100" s="1251"/>
      <c r="AET100" s="1251"/>
      <c r="AEU100" s="1251"/>
      <c r="AEV100" s="1251"/>
      <c r="AEW100" s="1251"/>
      <c r="AEX100" s="1251"/>
      <c r="AEY100" s="1251"/>
      <c r="AEZ100" s="1251"/>
      <c r="AFA100" s="1251"/>
      <c r="AFB100" s="1251"/>
      <c r="AFC100" s="1251"/>
      <c r="AFD100" s="1251"/>
      <c r="AFE100" s="1251"/>
      <c r="AFF100" s="1251"/>
      <c r="AFG100" s="1251"/>
      <c r="AFH100" s="1251"/>
      <c r="AFI100" s="1251"/>
      <c r="AFJ100" s="1251"/>
      <c r="AFK100" s="1251"/>
      <c r="AFL100" s="1251"/>
      <c r="AFM100" s="1251"/>
      <c r="AFN100" s="1251"/>
      <c r="AFO100" s="1251"/>
      <c r="AFP100" s="1251"/>
      <c r="AFQ100" s="1251"/>
      <c r="AFR100" s="1251"/>
      <c r="AFS100" s="1251"/>
      <c r="AFT100" s="1251"/>
      <c r="AFU100" s="1251"/>
      <c r="AFV100" s="1251"/>
      <c r="AFW100" s="1251"/>
      <c r="AFX100" s="1251"/>
      <c r="AFY100" s="1251"/>
      <c r="AFZ100" s="1251"/>
      <c r="AGA100" s="1251"/>
      <c r="AGB100" s="1251"/>
      <c r="AGC100" s="1251"/>
      <c r="AGD100" s="1251"/>
      <c r="AGE100" s="1251"/>
      <c r="AGF100" s="1251"/>
      <c r="AGG100" s="1251"/>
      <c r="AGH100" s="1251"/>
      <c r="AGI100" s="1251"/>
      <c r="AGJ100" s="1251"/>
      <c r="AGK100" s="1251"/>
      <c r="AGL100" s="1251"/>
      <c r="AGM100" s="1251"/>
      <c r="AGN100" s="1251"/>
      <c r="AGO100" s="1251"/>
      <c r="AGP100" s="1251"/>
      <c r="AGQ100" s="1251"/>
      <c r="AGR100" s="1251"/>
      <c r="AGS100" s="1251"/>
      <c r="AGT100" s="1251"/>
      <c r="AGU100" s="1251"/>
      <c r="AGV100" s="1251"/>
      <c r="AGW100" s="1251"/>
      <c r="AGX100" s="1251"/>
      <c r="AGY100" s="1251"/>
      <c r="AGZ100" s="1251"/>
      <c r="AHA100" s="1251"/>
      <c r="AHB100" s="1251"/>
      <c r="AHC100" s="1251"/>
      <c r="AHD100" s="1251"/>
      <c r="AHE100" s="1251"/>
      <c r="AHF100" s="1251"/>
      <c r="AHG100" s="1251"/>
      <c r="AHH100" s="1251"/>
      <c r="AHI100" s="1251"/>
      <c r="AHJ100" s="1251"/>
      <c r="AHK100" s="1251"/>
      <c r="AHL100" s="1251"/>
      <c r="AHM100" s="1251"/>
      <c r="AHN100" s="1251"/>
      <c r="AHO100" s="1251"/>
      <c r="AHP100" s="1251"/>
      <c r="AHQ100" s="1251"/>
      <c r="AHR100" s="1251"/>
      <c r="AHS100" s="1251"/>
      <c r="AHT100" s="1251"/>
      <c r="AHU100" s="1251"/>
      <c r="AHV100" s="1251"/>
      <c r="AHW100" s="1251"/>
      <c r="AHX100" s="1251"/>
      <c r="AHY100" s="1251"/>
      <c r="AHZ100" s="1251"/>
      <c r="AIA100" s="1251"/>
      <c r="AIB100" s="1251"/>
      <c r="AIC100" s="1251"/>
      <c r="AID100" s="1251"/>
      <c r="AIE100" s="1251"/>
      <c r="AIF100" s="1251"/>
      <c r="AIG100" s="1251"/>
      <c r="AIH100" s="1251"/>
      <c r="AII100" s="1251"/>
      <c r="AIJ100" s="1251"/>
      <c r="AIK100" s="1251"/>
      <c r="AIL100" s="1251"/>
      <c r="AIM100" s="1251"/>
      <c r="AIN100" s="1251"/>
      <c r="AIO100" s="1251"/>
      <c r="AIP100" s="1251"/>
      <c r="AIQ100" s="1251"/>
      <c r="AIR100" s="1251"/>
      <c r="AIS100" s="1251"/>
      <c r="AIT100" s="1251"/>
      <c r="AIU100" s="1251"/>
      <c r="AIV100" s="1251"/>
      <c r="AIW100" s="1251"/>
      <c r="AIX100" s="1251"/>
      <c r="AIY100" s="1251"/>
      <c r="AIZ100" s="1251"/>
      <c r="AJA100" s="1251"/>
      <c r="AJB100" s="1251"/>
      <c r="AJC100" s="1251"/>
      <c r="AJD100" s="1251"/>
      <c r="AJE100" s="1251"/>
      <c r="AJF100" s="1251"/>
      <c r="AJG100" s="1251"/>
      <c r="AJH100" s="1251"/>
      <c r="AJI100" s="1251"/>
      <c r="AJJ100" s="1251"/>
      <c r="AJK100" s="1251"/>
      <c r="AJL100" s="1251"/>
      <c r="AJM100" s="1251"/>
      <c r="AJN100" s="1251"/>
      <c r="AJO100" s="1251"/>
      <c r="AJP100" s="1251"/>
      <c r="AJQ100" s="1251"/>
      <c r="AJR100" s="1251"/>
      <c r="AJS100" s="1251"/>
      <c r="AJT100" s="1251"/>
      <c r="AJU100" s="1251"/>
      <c r="AJV100" s="1251"/>
      <c r="AJW100" s="1251"/>
      <c r="AJX100" s="1251"/>
      <c r="AJY100" s="1251"/>
      <c r="AJZ100" s="1251"/>
      <c r="AKA100" s="1251"/>
      <c r="AKB100" s="1251"/>
      <c r="AKC100" s="1251"/>
      <c r="AKD100" s="1251"/>
      <c r="AKE100" s="1251"/>
      <c r="AKF100" s="1251"/>
      <c r="AKG100" s="1251"/>
      <c r="AKH100" s="1251"/>
      <c r="AKI100" s="1251"/>
      <c r="AKJ100" s="1251"/>
      <c r="AKK100" s="1251"/>
      <c r="AKL100" s="1251"/>
      <c r="AKM100" s="1251"/>
      <c r="AKN100" s="1251"/>
      <c r="AKO100" s="1251"/>
      <c r="AKP100" s="1251"/>
      <c r="AKQ100" s="1251"/>
      <c r="AKR100" s="1251"/>
      <c r="AKS100" s="1251"/>
      <c r="AKT100" s="1251"/>
      <c r="AKU100" s="1251"/>
      <c r="AKV100" s="1251"/>
      <c r="AKW100" s="1251"/>
      <c r="AKX100" s="1251"/>
      <c r="AKY100" s="1251"/>
      <c r="AKZ100" s="1251"/>
      <c r="ALA100" s="1251"/>
      <c r="ALB100" s="1251"/>
      <c r="ALC100" s="1251"/>
      <c r="ALD100" s="1251"/>
      <c r="ALE100" s="1251"/>
      <c r="ALF100" s="1251"/>
      <c r="ALG100" s="1251"/>
      <c r="ALH100" s="1251"/>
      <c r="ALI100" s="1251"/>
      <c r="ALJ100" s="1251"/>
      <c r="ALK100" s="1251"/>
      <c r="ALL100" s="1251"/>
      <c r="ALM100" s="1251"/>
      <c r="ALN100" s="1251"/>
      <c r="ALO100" s="1251"/>
      <c r="ALP100" s="1251"/>
      <c r="ALQ100" s="1251"/>
      <c r="ALR100" s="1251"/>
      <c r="ALS100" s="1251"/>
      <c r="ALT100" s="1251"/>
      <c r="ALU100" s="1251"/>
      <c r="ALV100" s="1251"/>
      <c r="ALW100" s="1251"/>
      <c r="ALX100" s="1251"/>
      <c r="ALY100" s="1251"/>
      <c r="ALZ100" s="1251"/>
      <c r="AMA100" s="1251"/>
      <c r="AMB100" s="1251"/>
      <c r="AMC100" s="1251"/>
      <c r="AMD100" s="1251"/>
      <c r="AME100" s="1251"/>
      <c r="AMF100" s="1251"/>
      <c r="AMG100" s="1251"/>
      <c r="AMH100" s="1251"/>
      <c r="AMI100" s="1251"/>
      <c r="AMJ100" s="1251"/>
      <c r="AMK100" s="1251"/>
      <c r="AML100" s="1251"/>
      <c r="AMM100" s="1251"/>
      <c r="AMN100" s="1251"/>
      <c r="AMO100" s="1251"/>
      <c r="AMP100" s="1251"/>
      <c r="AMQ100" s="1251"/>
      <c r="AMR100" s="1251"/>
      <c r="AMS100" s="1251"/>
      <c r="AMT100" s="1251"/>
      <c r="AMU100" s="1251"/>
      <c r="AMV100" s="1251"/>
      <c r="AMW100" s="1251"/>
      <c r="AMX100" s="1251"/>
      <c r="AMY100" s="1251"/>
      <c r="AMZ100" s="1251"/>
      <c r="ANA100" s="1251"/>
      <c r="ANB100" s="1251"/>
      <c r="ANC100" s="1251"/>
      <c r="AND100" s="1251"/>
      <c r="ANE100" s="1251"/>
      <c r="ANF100" s="1251"/>
      <c r="ANG100" s="1251"/>
      <c r="ANH100" s="1251"/>
      <c r="ANI100" s="1251"/>
      <c r="ANJ100" s="1251"/>
      <c r="ANK100" s="1251"/>
      <c r="ANL100" s="1251"/>
      <c r="ANM100" s="1251"/>
      <c r="ANN100" s="1251"/>
      <c r="ANO100" s="1251"/>
      <c r="ANP100" s="1251"/>
      <c r="ANQ100" s="1251"/>
      <c r="ANR100" s="1251"/>
      <c r="ANS100" s="1251"/>
      <c r="ANT100" s="1251"/>
      <c r="ANU100" s="1251"/>
      <c r="ANV100" s="1251"/>
      <c r="ANW100" s="1251"/>
      <c r="ANX100" s="1251"/>
      <c r="ANY100" s="1251"/>
      <c r="ANZ100" s="1251"/>
      <c r="AOA100" s="1251"/>
      <c r="AOB100" s="1251"/>
      <c r="AOC100" s="1251"/>
      <c r="AOD100" s="1251"/>
      <c r="AOE100" s="1251"/>
      <c r="AOF100" s="1251"/>
      <c r="AOG100" s="1251"/>
      <c r="AOH100" s="1251"/>
      <c r="AOI100" s="1251"/>
      <c r="AOJ100" s="1251"/>
      <c r="AOK100" s="1251"/>
      <c r="AOL100" s="1251"/>
      <c r="AOM100" s="1251"/>
      <c r="AON100" s="1251"/>
      <c r="AOO100" s="1251"/>
      <c r="AOP100" s="1251"/>
      <c r="AOQ100" s="1251"/>
      <c r="AOR100" s="1251"/>
      <c r="AOS100" s="1251"/>
      <c r="AOT100" s="1251"/>
      <c r="AOU100" s="1251"/>
      <c r="AOV100" s="1251"/>
      <c r="AOW100" s="1251"/>
      <c r="AOX100" s="1251"/>
      <c r="AOY100" s="1251"/>
      <c r="AOZ100" s="1251"/>
      <c r="APA100" s="1251"/>
      <c r="APB100" s="1251"/>
      <c r="APC100" s="1251"/>
      <c r="APD100" s="1251"/>
      <c r="APE100" s="1251"/>
      <c r="APF100" s="1251"/>
      <c r="APG100" s="1251"/>
      <c r="APH100" s="1251"/>
      <c r="API100" s="1251"/>
      <c r="APJ100" s="1251"/>
      <c r="APK100" s="1251"/>
      <c r="APL100" s="1251"/>
      <c r="APM100" s="1251"/>
      <c r="APN100" s="1251"/>
      <c r="APO100" s="1251"/>
      <c r="APP100" s="1251"/>
      <c r="APQ100" s="1251"/>
      <c r="APR100" s="1251"/>
      <c r="APS100" s="1251"/>
      <c r="APT100" s="1251"/>
      <c r="APU100" s="1251"/>
      <c r="APV100" s="1251"/>
      <c r="APW100" s="1251"/>
      <c r="APX100" s="1251"/>
      <c r="APY100" s="1251"/>
      <c r="APZ100" s="1251"/>
      <c r="AQA100" s="1251"/>
      <c r="AQB100" s="1251"/>
      <c r="AQC100" s="1251"/>
      <c r="AQD100" s="1251"/>
      <c r="AQE100" s="1251"/>
      <c r="AQF100" s="1251"/>
      <c r="AQG100" s="1251"/>
      <c r="AQH100" s="1251"/>
      <c r="AQI100" s="1251"/>
      <c r="AQJ100" s="1251"/>
      <c r="AQK100" s="1251"/>
      <c r="AQL100" s="1251"/>
      <c r="AQM100" s="1251"/>
      <c r="AQN100" s="1251"/>
      <c r="AQO100" s="1251"/>
      <c r="AQP100" s="1251"/>
      <c r="AQQ100" s="1251"/>
      <c r="AQR100" s="1251"/>
      <c r="AQS100" s="1251"/>
      <c r="AQT100" s="1251"/>
      <c r="AQU100" s="1251"/>
      <c r="AQV100" s="1251"/>
      <c r="AQW100" s="1251"/>
      <c r="AQX100" s="1251"/>
      <c r="AQY100" s="1251"/>
      <c r="AQZ100" s="1251"/>
      <c r="ARA100" s="1251"/>
      <c r="ARB100" s="1251"/>
      <c r="ARC100" s="1251"/>
      <c r="ARD100" s="1251"/>
      <c r="ARE100" s="1251"/>
      <c r="ARF100" s="1251"/>
      <c r="ARG100" s="1251"/>
      <c r="ARH100" s="1251"/>
      <c r="ARI100" s="1251"/>
      <c r="ARJ100" s="1251"/>
      <c r="ARK100" s="1251"/>
      <c r="ARL100" s="1251"/>
      <c r="ARM100" s="1251"/>
      <c r="ARN100" s="1251"/>
      <c r="ARO100" s="1251"/>
      <c r="ARP100" s="1251"/>
      <c r="ARQ100" s="1251"/>
      <c r="ARR100" s="1251"/>
      <c r="ARS100" s="1251"/>
      <c r="ART100" s="1251"/>
      <c r="ARU100" s="1251"/>
      <c r="ARV100" s="1251"/>
      <c r="ARW100" s="1251"/>
      <c r="ARX100" s="1251"/>
      <c r="ARY100" s="1251"/>
      <c r="ARZ100" s="1251"/>
      <c r="ASA100" s="1251"/>
      <c r="ASB100" s="1251"/>
      <c r="ASC100" s="1251"/>
      <c r="ASD100" s="1251"/>
      <c r="ASE100" s="1251"/>
      <c r="ASF100" s="1251"/>
      <c r="ASG100" s="1251"/>
      <c r="ASH100" s="1251"/>
      <c r="ASI100" s="1251"/>
      <c r="ASJ100" s="1251"/>
      <c r="ASK100" s="1251"/>
      <c r="ASL100" s="1251"/>
      <c r="ASM100" s="1251"/>
      <c r="ASN100" s="1251"/>
      <c r="ASO100" s="1251"/>
      <c r="ASP100" s="1251"/>
      <c r="ASQ100" s="1251"/>
      <c r="ASR100" s="1251"/>
      <c r="ASS100" s="1251"/>
      <c r="AST100" s="1251"/>
      <c r="ASU100" s="1251"/>
      <c r="ASV100" s="1251"/>
      <c r="ASW100" s="1251"/>
      <c r="ASX100" s="1251"/>
      <c r="ASY100" s="1251"/>
      <c r="ASZ100" s="1251"/>
      <c r="ATA100" s="1251"/>
      <c r="ATB100" s="1251"/>
      <c r="ATC100" s="1251"/>
      <c r="ATD100" s="1251"/>
      <c r="ATE100" s="1251"/>
      <c r="ATF100" s="1251"/>
      <c r="ATG100" s="1251"/>
      <c r="ATH100" s="1251"/>
      <c r="ATI100" s="1251"/>
      <c r="ATJ100" s="1251"/>
      <c r="ATK100" s="1251"/>
      <c r="ATL100" s="1251"/>
      <c r="ATM100" s="1251"/>
      <c r="ATN100" s="1251"/>
      <c r="ATO100" s="1251"/>
      <c r="ATP100" s="1251"/>
      <c r="ATQ100" s="1251"/>
      <c r="ATR100" s="1251"/>
      <c r="ATS100" s="1251"/>
      <c r="ATT100" s="1251"/>
      <c r="ATU100" s="1251"/>
      <c r="ATV100" s="1251"/>
      <c r="ATW100" s="1251"/>
      <c r="ATX100" s="1251"/>
      <c r="ATY100" s="1251"/>
      <c r="ATZ100" s="1251"/>
      <c r="AUA100" s="1251"/>
      <c r="AUB100" s="1251"/>
      <c r="AUC100" s="1251"/>
      <c r="AUD100" s="1251"/>
      <c r="AUE100" s="1251"/>
      <c r="AUF100" s="1251"/>
      <c r="AUG100" s="1251"/>
      <c r="AUH100" s="1251"/>
      <c r="AUI100" s="1251"/>
      <c r="AUJ100" s="1251"/>
      <c r="AUK100" s="1251"/>
      <c r="AUL100" s="1251"/>
      <c r="AUM100" s="1251"/>
      <c r="AUN100" s="1251"/>
      <c r="AUO100" s="1251"/>
      <c r="AUP100" s="1251"/>
      <c r="AUQ100" s="1251"/>
      <c r="AUR100" s="1251"/>
      <c r="AUS100" s="1251"/>
      <c r="AUT100" s="1251"/>
      <c r="AUU100" s="1251"/>
      <c r="AUV100" s="1251"/>
      <c r="AUW100" s="1251"/>
      <c r="AUX100" s="1251"/>
      <c r="AUY100" s="1251"/>
      <c r="AUZ100" s="1251"/>
      <c r="AVA100" s="1251"/>
      <c r="AVB100" s="1251"/>
      <c r="AVC100" s="1251"/>
      <c r="AVD100" s="1251"/>
      <c r="AVE100" s="1251"/>
      <c r="AVF100" s="1251"/>
      <c r="AVG100" s="1251"/>
      <c r="AVH100" s="1251"/>
      <c r="AVI100" s="1251"/>
      <c r="AVJ100" s="1251"/>
      <c r="AVK100" s="1251"/>
      <c r="AVL100" s="1251"/>
      <c r="AVM100" s="1251"/>
      <c r="AVN100" s="1251"/>
      <c r="AVO100" s="1251"/>
      <c r="AVP100" s="1251"/>
      <c r="AVQ100" s="1251"/>
      <c r="AVR100" s="1251"/>
      <c r="AVS100" s="1251"/>
      <c r="AVT100" s="1251"/>
      <c r="AVU100" s="1251"/>
      <c r="AVV100" s="1251"/>
      <c r="AVW100" s="1251"/>
      <c r="AVX100" s="1251"/>
      <c r="AVY100" s="1251"/>
      <c r="AVZ100" s="1251"/>
      <c r="AWA100" s="1251"/>
      <c r="AWB100" s="1251"/>
      <c r="AWC100" s="1251"/>
      <c r="AWD100" s="1251"/>
      <c r="AWE100" s="1251"/>
      <c r="AWF100" s="1251"/>
      <c r="AWG100" s="1251"/>
      <c r="AWH100" s="1251"/>
      <c r="AWI100" s="1251"/>
      <c r="AWJ100" s="1251"/>
      <c r="AWK100" s="1251"/>
      <c r="AWL100" s="1251"/>
      <c r="AWM100" s="1251"/>
      <c r="AWN100" s="1251"/>
      <c r="AWO100" s="1251"/>
      <c r="AWP100" s="1251"/>
      <c r="AWQ100" s="1251"/>
      <c r="AWR100" s="1251"/>
      <c r="AWS100" s="1251"/>
      <c r="AWT100" s="1251"/>
      <c r="AWU100" s="1251"/>
      <c r="AWV100" s="1251"/>
      <c r="AWW100" s="1251"/>
      <c r="AWX100" s="1251"/>
      <c r="AWY100" s="1251"/>
      <c r="AWZ100" s="1251"/>
      <c r="AXA100" s="1251"/>
      <c r="AXB100" s="1251"/>
      <c r="AXC100" s="1251"/>
      <c r="AXD100" s="1251"/>
      <c r="AXE100" s="1251"/>
      <c r="AXF100" s="1251"/>
      <c r="AXG100" s="1251"/>
      <c r="AXH100" s="1251"/>
      <c r="AXI100" s="1251"/>
      <c r="AXJ100" s="1251"/>
      <c r="AXK100" s="1251"/>
      <c r="AXL100" s="1251"/>
      <c r="AXM100" s="1251"/>
      <c r="AXN100" s="1251"/>
      <c r="AXO100" s="1251"/>
      <c r="AXP100" s="1251"/>
      <c r="AXQ100" s="1251"/>
      <c r="AXR100" s="1251"/>
      <c r="AXS100" s="1251"/>
      <c r="AXT100" s="1251"/>
      <c r="AXU100" s="1251"/>
      <c r="AXV100" s="1251"/>
      <c r="AXW100" s="1251"/>
      <c r="AXX100" s="1251"/>
      <c r="AXY100" s="1251"/>
      <c r="AXZ100" s="1251"/>
      <c r="AYA100" s="1251"/>
      <c r="AYB100" s="1251"/>
      <c r="AYC100" s="1251"/>
      <c r="AYD100" s="1251"/>
      <c r="AYE100" s="1251"/>
      <c r="AYF100" s="1251"/>
      <c r="AYG100" s="1251"/>
      <c r="AYH100" s="1251"/>
      <c r="AYI100" s="1251"/>
      <c r="AYJ100" s="1251"/>
      <c r="AYK100" s="1251"/>
      <c r="AYL100" s="1251"/>
      <c r="AYM100" s="1251"/>
      <c r="AYN100" s="1251"/>
      <c r="AYO100" s="1251"/>
      <c r="AYP100" s="1251"/>
      <c r="AYQ100" s="1251"/>
      <c r="AYR100" s="1251"/>
      <c r="AYS100" s="1251"/>
      <c r="AYT100" s="1251"/>
      <c r="AYU100" s="1251"/>
      <c r="AYV100" s="1251"/>
      <c r="AYW100" s="1251"/>
      <c r="AYX100" s="1251"/>
      <c r="AYY100" s="1251"/>
      <c r="AYZ100" s="1251"/>
      <c r="AZA100" s="1251"/>
      <c r="AZB100" s="1251"/>
      <c r="AZC100" s="1251"/>
      <c r="AZD100" s="1251"/>
      <c r="AZE100" s="1251"/>
      <c r="AZF100" s="1251"/>
      <c r="AZG100" s="1251"/>
      <c r="AZH100" s="1251"/>
      <c r="AZI100" s="1251"/>
      <c r="AZJ100" s="1251"/>
      <c r="AZK100" s="1251"/>
      <c r="AZL100" s="1251"/>
      <c r="AZM100" s="1251"/>
      <c r="AZN100" s="1251"/>
      <c r="AZO100" s="1251"/>
      <c r="AZP100" s="1251"/>
      <c r="AZQ100" s="1251"/>
      <c r="AZR100" s="1251"/>
      <c r="AZS100" s="1251"/>
      <c r="AZT100" s="1251"/>
      <c r="AZU100" s="1251"/>
      <c r="AZV100" s="1251"/>
      <c r="AZW100" s="1251"/>
      <c r="AZX100" s="1251"/>
      <c r="AZY100" s="1251"/>
      <c r="AZZ100" s="1251"/>
      <c r="BAA100" s="1251"/>
      <c r="BAB100" s="1251"/>
      <c r="BAC100" s="1251"/>
      <c r="BAD100" s="1251"/>
      <c r="BAE100" s="1251"/>
      <c r="BAF100" s="1251"/>
      <c r="BAG100" s="1251"/>
      <c r="BAH100" s="1251"/>
      <c r="BAI100" s="1251"/>
      <c r="BAJ100" s="1251"/>
      <c r="BAK100" s="1251"/>
      <c r="BAL100" s="1251"/>
      <c r="BAM100" s="1251"/>
      <c r="BAN100" s="1251"/>
      <c r="BAO100" s="1251"/>
      <c r="BAP100" s="1251"/>
      <c r="BAQ100" s="1251"/>
      <c r="BAR100" s="1251"/>
      <c r="BAS100" s="1251"/>
      <c r="BAT100" s="1251"/>
      <c r="BAU100" s="1251"/>
      <c r="BAV100" s="1251"/>
      <c r="BAW100" s="1251"/>
      <c r="BAX100" s="1251"/>
      <c r="BAY100" s="1251"/>
      <c r="BAZ100" s="1251"/>
      <c r="BBA100" s="1251"/>
      <c r="BBB100" s="1251"/>
      <c r="BBC100" s="1251"/>
      <c r="BBD100" s="1251"/>
      <c r="BBE100" s="1251"/>
      <c r="BBF100" s="1251"/>
      <c r="BBG100" s="1251"/>
      <c r="BBH100" s="1251"/>
      <c r="BBI100" s="1251"/>
      <c r="BBJ100" s="1251"/>
      <c r="BBK100" s="1251"/>
      <c r="BBL100" s="1251"/>
      <c r="BBM100" s="1251"/>
      <c r="BBN100" s="1251"/>
      <c r="BBO100" s="1251"/>
      <c r="BBP100" s="1251"/>
      <c r="BBQ100" s="1251"/>
      <c r="BBR100" s="1251"/>
      <c r="BBS100" s="1251"/>
      <c r="BBT100" s="1251"/>
      <c r="BBU100" s="1251"/>
      <c r="BBV100" s="1251"/>
      <c r="BBW100" s="1251"/>
      <c r="BBX100" s="1251"/>
      <c r="BBY100" s="1251"/>
      <c r="BBZ100" s="1251"/>
      <c r="BCA100" s="1251"/>
      <c r="BCB100" s="1251"/>
      <c r="BCC100" s="1251"/>
      <c r="BCD100" s="1251"/>
      <c r="BCE100" s="1251"/>
      <c r="BCF100" s="1251"/>
      <c r="BCG100" s="1251"/>
      <c r="BCH100" s="1251"/>
      <c r="BCI100" s="1251"/>
      <c r="BCJ100" s="1251"/>
      <c r="BCK100" s="1251"/>
      <c r="BCL100" s="1251"/>
      <c r="BCM100" s="1251"/>
      <c r="BCN100" s="1251"/>
      <c r="BCO100" s="1251"/>
      <c r="BCP100" s="1251"/>
      <c r="BCQ100" s="1251"/>
      <c r="BCR100" s="1251"/>
      <c r="BCS100" s="1251"/>
      <c r="BCT100" s="1251"/>
      <c r="BCU100" s="1251"/>
      <c r="BCV100" s="1251"/>
      <c r="BCW100" s="1251"/>
      <c r="BCX100" s="1251"/>
      <c r="BCY100" s="1251"/>
      <c r="BCZ100" s="1251"/>
      <c r="BDA100" s="1251"/>
      <c r="BDB100" s="1251"/>
      <c r="BDC100" s="1251"/>
      <c r="BDD100" s="1251"/>
      <c r="BDE100" s="1251"/>
      <c r="BDF100" s="1251"/>
      <c r="BDG100" s="1251"/>
      <c r="BDH100" s="1251"/>
      <c r="BDI100" s="1251"/>
      <c r="BDJ100" s="1251"/>
      <c r="BDK100" s="1251"/>
      <c r="BDL100" s="1251"/>
      <c r="BDM100" s="1251"/>
      <c r="BDN100" s="1251"/>
      <c r="BDO100" s="1251"/>
      <c r="BDP100" s="1251"/>
      <c r="BDQ100" s="1251"/>
      <c r="BDR100" s="1251"/>
      <c r="BDS100" s="1251"/>
      <c r="BDT100" s="1251"/>
      <c r="BDU100" s="1251"/>
      <c r="BDV100" s="1251"/>
      <c r="BDW100" s="1251"/>
      <c r="BDX100" s="1251"/>
      <c r="BDY100" s="1251"/>
      <c r="BDZ100" s="1251"/>
      <c r="BEA100" s="1251"/>
      <c r="BEB100" s="1251"/>
      <c r="BEC100" s="1251"/>
      <c r="BED100" s="1251"/>
      <c r="BEE100" s="1251"/>
      <c r="BEF100" s="1251"/>
      <c r="BEG100" s="1251"/>
      <c r="BEH100" s="1251"/>
      <c r="BEI100" s="1251"/>
      <c r="BEJ100" s="1251"/>
      <c r="BEK100" s="1251"/>
      <c r="BEL100" s="1251"/>
      <c r="BEM100" s="1251"/>
      <c r="BEN100" s="1251"/>
      <c r="BEO100" s="1251"/>
      <c r="BEP100" s="1251"/>
      <c r="BEQ100" s="1251"/>
      <c r="BER100" s="1251"/>
      <c r="BES100" s="1251"/>
      <c r="BET100" s="1251"/>
      <c r="BEU100" s="1251"/>
      <c r="BEV100" s="1251"/>
      <c r="BEW100" s="1251"/>
      <c r="BEX100" s="1251"/>
      <c r="BEY100" s="1251"/>
      <c r="BEZ100" s="1251"/>
      <c r="BFA100" s="1251"/>
      <c r="BFB100" s="1251"/>
      <c r="BFC100" s="1251"/>
      <c r="BFD100" s="1251"/>
      <c r="BFE100" s="1251"/>
      <c r="BFF100" s="1251"/>
      <c r="BFG100" s="1251"/>
      <c r="BFH100" s="1251"/>
      <c r="BFI100" s="1251"/>
      <c r="BFJ100" s="1251"/>
      <c r="BFK100" s="1251"/>
      <c r="BFL100" s="1251"/>
      <c r="BFM100" s="1251"/>
      <c r="BFN100" s="1251"/>
      <c r="BFO100" s="1251"/>
      <c r="BFP100" s="1251"/>
      <c r="BFQ100" s="1251"/>
      <c r="BFR100" s="1251"/>
      <c r="BFS100" s="1251"/>
      <c r="BFT100" s="1251"/>
      <c r="BFU100" s="1251"/>
      <c r="BFV100" s="1251"/>
      <c r="BFW100" s="1251"/>
      <c r="BFX100" s="1251"/>
      <c r="BFY100" s="1251"/>
      <c r="BFZ100" s="1251"/>
      <c r="BGA100" s="1251"/>
      <c r="BGB100" s="1251"/>
      <c r="BGC100" s="1251"/>
      <c r="BGD100" s="1251"/>
      <c r="BGE100" s="1251"/>
      <c r="BGF100" s="1251"/>
      <c r="BGG100" s="1251"/>
      <c r="BGH100" s="1251"/>
      <c r="BGI100" s="1251"/>
      <c r="BGJ100" s="1251"/>
      <c r="BGK100" s="1251"/>
      <c r="BGL100" s="1251"/>
      <c r="BGM100" s="1251"/>
      <c r="BGN100" s="1251"/>
      <c r="BGO100" s="1251"/>
      <c r="BGP100" s="1251"/>
      <c r="BGQ100" s="1251"/>
      <c r="BGR100" s="1251"/>
      <c r="BGS100" s="1251"/>
      <c r="BGT100" s="1251"/>
      <c r="BGU100" s="1251"/>
      <c r="BGV100" s="1251"/>
      <c r="BGW100" s="1251"/>
      <c r="BGX100" s="1251"/>
      <c r="BGY100" s="1251"/>
      <c r="BGZ100" s="1251"/>
      <c r="BHA100" s="1251"/>
      <c r="BHB100" s="1251"/>
      <c r="BHC100" s="1251"/>
      <c r="BHD100" s="1251"/>
      <c r="BHE100" s="1251"/>
      <c r="BHF100" s="1251"/>
      <c r="BHG100" s="1251"/>
      <c r="BHH100" s="1251"/>
      <c r="BHI100" s="1251"/>
      <c r="BHJ100" s="1251"/>
      <c r="BHK100" s="1251"/>
      <c r="BHL100" s="1251"/>
      <c r="BHM100" s="1251"/>
      <c r="BHN100" s="1251"/>
      <c r="BHO100" s="1251"/>
      <c r="BHP100" s="1251"/>
      <c r="BHQ100" s="1251"/>
      <c r="BHR100" s="1251"/>
      <c r="BHS100" s="1251"/>
      <c r="BHT100" s="1251"/>
      <c r="BHU100" s="1251"/>
      <c r="BHV100" s="1251"/>
      <c r="BHW100" s="1251"/>
      <c r="BHX100" s="1251"/>
      <c r="BHY100" s="1251"/>
      <c r="BHZ100" s="1251"/>
      <c r="BIA100" s="1251"/>
      <c r="BIB100" s="1251"/>
      <c r="BIC100" s="1251"/>
      <c r="BID100" s="1251"/>
      <c r="BIE100" s="1251"/>
      <c r="BIF100" s="1251"/>
      <c r="BIG100" s="1251"/>
      <c r="BIH100" s="1251"/>
      <c r="BII100" s="1251"/>
      <c r="BIJ100" s="1251"/>
      <c r="BIK100" s="1251"/>
      <c r="BIL100" s="1251"/>
      <c r="BIM100" s="1251"/>
      <c r="BIN100" s="1251"/>
      <c r="BIO100" s="1251"/>
      <c r="BIP100" s="1251"/>
      <c r="BIQ100" s="1251"/>
      <c r="BIR100" s="1251"/>
      <c r="BIS100" s="1251"/>
      <c r="BIT100" s="1251"/>
      <c r="BIU100" s="1251"/>
      <c r="BIV100" s="1251"/>
      <c r="BIW100" s="1251"/>
      <c r="BIX100" s="1251"/>
      <c r="BIY100" s="1251"/>
      <c r="BIZ100" s="1251"/>
      <c r="BJA100" s="1251"/>
      <c r="BJB100" s="1251"/>
      <c r="BJC100" s="1251"/>
      <c r="BJD100" s="1251"/>
      <c r="BJE100" s="1251"/>
      <c r="BJF100" s="1251"/>
      <c r="BJG100" s="1251"/>
      <c r="BJH100" s="1251"/>
      <c r="BJI100" s="1251"/>
      <c r="BJJ100" s="1251"/>
      <c r="BJK100" s="1251"/>
      <c r="BJL100" s="1251"/>
      <c r="BJM100" s="1251"/>
      <c r="BJN100" s="1251"/>
      <c r="BJO100" s="1251"/>
      <c r="BJP100" s="1251"/>
      <c r="BJQ100" s="1251"/>
      <c r="BJR100" s="1251"/>
      <c r="BJS100" s="1251"/>
      <c r="BJT100" s="1251"/>
      <c r="BJU100" s="1251"/>
      <c r="BJV100" s="1251"/>
      <c r="BJW100" s="1251"/>
      <c r="BJX100" s="1251"/>
      <c r="BJY100" s="1251"/>
      <c r="BJZ100" s="1251"/>
      <c r="BKA100" s="1251"/>
      <c r="BKB100" s="1251"/>
      <c r="BKC100" s="1251"/>
      <c r="BKD100" s="1251"/>
      <c r="BKE100" s="1251"/>
      <c r="BKF100" s="1251"/>
      <c r="BKG100" s="1251"/>
      <c r="BKH100" s="1251"/>
      <c r="BKI100" s="1251"/>
      <c r="BKJ100" s="1251"/>
      <c r="BKK100" s="1251"/>
      <c r="BKL100" s="1251"/>
      <c r="BKM100" s="1251"/>
      <c r="BKN100" s="1251"/>
      <c r="BKO100" s="1251"/>
      <c r="BKP100" s="1251"/>
      <c r="BKQ100" s="1251"/>
      <c r="BKR100" s="1251"/>
      <c r="BKS100" s="1251"/>
      <c r="BKT100" s="1251"/>
      <c r="BKU100" s="1251"/>
      <c r="BKV100" s="1251"/>
      <c r="BKW100" s="1251"/>
      <c r="BKX100" s="1251"/>
      <c r="BKY100" s="1251"/>
      <c r="BKZ100" s="1251"/>
      <c r="BLA100" s="1251"/>
      <c r="BLB100" s="1251"/>
      <c r="BLC100" s="1251"/>
      <c r="BLD100" s="1251"/>
      <c r="BLE100" s="1251"/>
      <c r="BLF100" s="1251"/>
      <c r="BLG100" s="1251"/>
      <c r="BLH100" s="1251"/>
      <c r="BLI100" s="1251"/>
      <c r="BLJ100" s="1251"/>
      <c r="BLK100" s="1251"/>
      <c r="BLL100" s="1251"/>
      <c r="BLM100" s="1251"/>
      <c r="BLN100" s="1251"/>
      <c r="BLO100" s="1251"/>
      <c r="BLP100" s="1251"/>
      <c r="BLQ100" s="1251"/>
      <c r="BLR100" s="1251"/>
      <c r="BLS100" s="1251"/>
      <c r="BLT100" s="1251"/>
      <c r="BLU100" s="1251"/>
      <c r="BLV100" s="1251"/>
      <c r="BLW100" s="1251"/>
      <c r="BLX100" s="1251"/>
      <c r="BLY100" s="1251"/>
      <c r="BLZ100" s="1251"/>
      <c r="BMA100" s="1251"/>
      <c r="BMB100" s="1251"/>
      <c r="BMC100" s="1251"/>
      <c r="BMD100" s="1251"/>
      <c r="BME100" s="1251"/>
      <c r="BMF100" s="1251"/>
      <c r="BMG100" s="1251"/>
      <c r="BMH100" s="1251"/>
      <c r="BMI100" s="1251"/>
      <c r="BMJ100" s="1251"/>
      <c r="BMK100" s="1251"/>
      <c r="BML100" s="1251"/>
      <c r="BMM100" s="1251"/>
      <c r="BMN100" s="1251"/>
      <c r="BMO100" s="1251"/>
      <c r="BMP100" s="1251"/>
      <c r="BMQ100" s="1251"/>
      <c r="BMR100" s="1251"/>
      <c r="BMS100" s="1251"/>
      <c r="BMT100" s="1251"/>
      <c r="BMU100" s="1251"/>
      <c r="BMV100" s="1251"/>
      <c r="BMW100" s="1251"/>
      <c r="BMX100" s="1251"/>
      <c r="BMY100" s="1251"/>
      <c r="BMZ100" s="1251"/>
      <c r="BNA100" s="1251"/>
      <c r="BNB100" s="1251"/>
      <c r="BNC100" s="1251"/>
      <c r="BND100" s="1251"/>
      <c r="BNE100" s="1251"/>
      <c r="BNF100" s="1251"/>
      <c r="BNG100" s="1251"/>
      <c r="BNH100" s="1251"/>
      <c r="BNI100" s="1251"/>
      <c r="BNJ100" s="1251"/>
      <c r="BNK100" s="1251"/>
      <c r="BNL100" s="1251"/>
      <c r="BNM100" s="1251"/>
      <c r="BNN100" s="1251"/>
      <c r="BNO100" s="1251"/>
      <c r="BNP100" s="1251"/>
      <c r="BNQ100" s="1251"/>
      <c r="BNR100" s="1251"/>
      <c r="BNS100" s="1251"/>
      <c r="BNT100" s="1251"/>
      <c r="BNU100" s="1251"/>
      <c r="BNV100" s="1251"/>
      <c r="BNW100" s="1251"/>
      <c r="BNX100" s="1251"/>
      <c r="BNY100" s="1251"/>
      <c r="BNZ100" s="1251"/>
      <c r="BOA100" s="1251"/>
      <c r="BOB100" s="1251"/>
      <c r="BOC100" s="1251"/>
      <c r="BOD100" s="1251"/>
      <c r="BOE100" s="1251"/>
      <c r="BOF100" s="1251"/>
      <c r="BOG100" s="1251"/>
      <c r="BOH100" s="1251"/>
      <c r="BOI100" s="1251"/>
      <c r="BOJ100" s="1251"/>
      <c r="BOK100" s="1251"/>
      <c r="BOL100" s="1251"/>
      <c r="BOM100" s="1251"/>
      <c r="BON100" s="1251"/>
      <c r="BOO100" s="1251"/>
      <c r="BOP100" s="1251"/>
      <c r="BOQ100" s="1251"/>
      <c r="BOR100" s="1251"/>
      <c r="BOS100" s="1251"/>
      <c r="BOT100" s="1251"/>
      <c r="BOU100" s="1251"/>
      <c r="BOV100" s="1251"/>
      <c r="BOW100" s="1251"/>
      <c r="BOX100" s="1251"/>
      <c r="BOY100" s="1251"/>
      <c r="BOZ100" s="1251"/>
      <c r="BPA100" s="1251"/>
      <c r="BPB100" s="1251"/>
      <c r="BPC100" s="1251"/>
      <c r="BPD100" s="1251"/>
      <c r="BPE100" s="1251"/>
      <c r="BPF100" s="1251"/>
      <c r="BPG100" s="1251"/>
      <c r="BPH100" s="1251"/>
      <c r="BPI100" s="1251"/>
      <c r="BPJ100" s="1251"/>
      <c r="BPK100" s="1251"/>
      <c r="BPL100" s="1251"/>
      <c r="BPM100" s="1251"/>
      <c r="BPN100" s="1251"/>
      <c r="BPO100" s="1251"/>
      <c r="BPP100" s="1251"/>
      <c r="BPQ100" s="1251"/>
      <c r="BPR100" s="1251"/>
      <c r="BPS100" s="1251"/>
      <c r="BPT100" s="1251"/>
      <c r="BPU100" s="1251"/>
      <c r="BPV100" s="1251"/>
      <c r="BPW100" s="1251"/>
      <c r="BPX100" s="1251"/>
      <c r="BPY100" s="1251"/>
      <c r="BPZ100" s="1251"/>
      <c r="BQA100" s="1251"/>
      <c r="BQB100" s="1251"/>
      <c r="BQC100" s="1251"/>
      <c r="BQD100" s="1251"/>
      <c r="BQE100" s="1251"/>
      <c r="BQF100" s="1251"/>
      <c r="BQG100" s="1251"/>
      <c r="BQH100" s="1251"/>
      <c r="BQI100" s="1251"/>
      <c r="BQJ100" s="1251"/>
      <c r="BQK100" s="1251"/>
      <c r="BQL100" s="1251"/>
      <c r="BQM100" s="1251"/>
      <c r="BQN100" s="1251"/>
      <c r="BQO100" s="1251"/>
      <c r="BQP100" s="1251"/>
      <c r="BQQ100" s="1251"/>
      <c r="BQR100" s="1251"/>
      <c r="BQS100" s="1251"/>
      <c r="BQT100" s="1251"/>
      <c r="BQU100" s="1251"/>
      <c r="BQV100" s="1251"/>
      <c r="BQW100" s="1251"/>
      <c r="BQX100" s="1251"/>
      <c r="BQY100" s="1251"/>
      <c r="BQZ100" s="1251"/>
      <c r="BRA100" s="1251"/>
      <c r="BRB100" s="1251"/>
      <c r="BRC100" s="1251"/>
      <c r="BRD100" s="1251"/>
      <c r="BRE100" s="1251"/>
      <c r="BRF100" s="1251"/>
      <c r="BRG100" s="1251"/>
      <c r="BRH100" s="1251"/>
      <c r="BRI100" s="1251"/>
      <c r="BRJ100" s="1251"/>
      <c r="BRK100" s="1251"/>
      <c r="BRL100" s="1251"/>
      <c r="BRM100" s="1251"/>
      <c r="BRN100" s="1251"/>
      <c r="BRO100" s="1251"/>
      <c r="BRP100" s="1251"/>
      <c r="BRQ100" s="1251"/>
      <c r="BRR100" s="1251"/>
      <c r="BRS100" s="1251"/>
      <c r="BRT100" s="1251"/>
      <c r="BRU100" s="1251"/>
      <c r="BRV100" s="1251"/>
      <c r="BRW100" s="1251"/>
      <c r="BRX100" s="1251"/>
      <c r="BRY100" s="1251"/>
      <c r="BRZ100" s="1251"/>
      <c r="BSA100" s="1251"/>
      <c r="BSB100" s="1251"/>
      <c r="BSC100" s="1251"/>
      <c r="BSD100" s="1251"/>
      <c r="BSE100" s="1251"/>
      <c r="BSF100" s="1251"/>
      <c r="BSG100" s="1251"/>
      <c r="BSH100" s="1251"/>
      <c r="BSI100" s="1251"/>
      <c r="BSJ100" s="1251"/>
      <c r="BSK100" s="1251"/>
      <c r="BSL100" s="1251"/>
      <c r="BSM100" s="1251"/>
      <c r="BSN100" s="1251"/>
      <c r="BSO100" s="1251"/>
      <c r="BSP100" s="1251"/>
      <c r="BSQ100" s="1251"/>
      <c r="BSR100" s="1251"/>
      <c r="BSS100" s="1251"/>
      <c r="BST100" s="1251"/>
      <c r="BSU100" s="1251"/>
      <c r="BSV100" s="1251"/>
      <c r="BSW100" s="1251"/>
      <c r="BSX100" s="1251"/>
      <c r="BSY100" s="1251"/>
      <c r="BSZ100" s="1251"/>
      <c r="BTA100" s="1251"/>
      <c r="BTB100" s="1251"/>
      <c r="BTC100" s="1251"/>
      <c r="BTD100" s="1251"/>
      <c r="BTE100" s="1251"/>
      <c r="BTF100" s="1251"/>
      <c r="BTG100" s="1251"/>
      <c r="BTH100" s="1251"/>
      <c r="BTI100" s="1251"/>
    </row>
    <row r="101" spans="1:1881" s="1261" customFormat="1" ht="78" hidden="1" customHeight="1" thickBot="1" x14ac:dyDescent="0.35">
      <c r="A101" s="1248">
        <v>171</v>
      </c>
      <c r="B101" s="593" t="s">
        <v>534</v>
      </c>
      <c r="C101" s="593" t="s">
        <v>533</v>
      </c>
      <c r="D101" s="670" t="s">
        <v>1380</v>
      </c>
      <c r="E101" s="1249" t="e">
        <f>HLOOKUP($D$2,'2020 Data(H)'!$C$1:$CZ$426,71,FALSE)</f>
        <v>#N/A</v>
      </c>
      <c r="F101" s="1271">
        <v>0</v>
      </c>
      <c r="G101" s="727">
        <f>IF(F101&lt;0,"Error: Enter as positive.",)</f>
        <v>0</v>
      </c>
      <c r="H101" s="17"/>
      <c r="I101" s="760"/>
      <c r="J101" s="1252"/>
      <c r="K101" s="1251"/>
      <c r="L101" s="701"/>
      <c r="M101" s="1251"/>
      <c r="N101" s="1253"/>
      <c r="O101" s="1251"/>
      <c r="P101" s="1251"/>
      <c r="Q101" s="1251"/>
      <c r="R101" s="1251"/>
      <c r="S101" s="1251"/>
      <c r="T101" s="1251"/>
      <c r="U101" s="1251"/>
      <c r="V101" s="1251"/>
      <c r="W101" s="1251"/>
      <c r="X101" s="1251"/>
      <c r="Y101" s="1251"/>
      <c r="Z101" s="1248"/>
      <c r="AA101" s="1248"/>
      <c r="AB101" s="1248"/>
      <c r="AC101" s="1248"/>
      <c r="AD101" s="1248"/>
      <c r="AE101" s="1248"/>
      <c r="AF101" s="1248"/>
      <c r="AG101" s="1248"/>
      <c r="AH101" s="1248"/>
      <c r="AI101" s="1248"/>
      <c r="AJ101" s="1248"/>
      <c r="AK101" s="1248"/>
      <c r="AL101" s="1248"/>
      <c r="AM101" s="1248"/>
      <c r="AN101" s="1248"/>
      <c r="AO101" s="1248"/>
      <c r="AP101" s="1248"/>
      <c r="AQ101" s="1248"/>
      <c r="AR101" s="1248"/>
      <c r="AS101" s="1251"/>
      <c r="AT101" s="1251"/>
      <c r="AU101" s="1251"/>
      <c r="AV101" s="1251"/>
      <c r="AW101" s="1251"/>
      <c r="AX101" s="1251"/>
      <c r="AY101" s="1251"/>
      <c r="AZ101" s="1251"/>
      <c r="BA101" s="1251"/>
      <c r="BB101" s="1251"/>
      <c r="BC101" s="1251"/>
      <c r="BD101" s="1251"/>
      <c r="BE101" s="1251"/>
      <c r="BF101" s="1251"/>
      <c r="BG101" s="1251"/>
      <c r="BH101" s="1251"/>
      <c r="BI101" s="1251"/>
      <c r="BJ101" s="1251"/>
      <c r="BK101" s="1251"/>
      <c r="BL101" s="1251"/>
      <c r="BM101" s="1251"/>
      <c r="BN101" s="1251"/>
      <c r="BO101" s="1251"/>
      <c r="BP101" s="1251"/>
      <c r="BQ101" s="1251"/>
      <c r="BR101" s="1251"/>
      <c r="BS101" s="1251"/>
      <c r="BT101" s="1251"/>
      <c r="BU101" s="1251"/>
      <c r="BV101" s="1251"/>
      <c r="BW101" s="1251"/>
      <c r="BX101" s="1251"/>
      <c r="BY101" s="1251"/>
      <c r="BZ101" s="1251"/>
      <c r="CA101" s="1251"/>
      <c r="CB101" s="1251"/>
      <c r="CC101" s="1251"/>
      <c r="CD101" s="1251"/>
      <c r="CE101" s="1251"/>
      <c r="CF101" s="1251"/>
      <c r="CG101" s="1251"/>
      <c r="CH101" s="1251"/>
      <c r="CI101" s="1251"/>
      <c r="CJ101" s="1251"/>
      <c r="CK101" s="1251"/>
      <c r="CL101" s="1251"/>
      <c r="CM101" s="1251"/>
      <c r="CN101" s="1251"/>
      <c r="CO101" s="1251"/>
      <c r="CP101" s="1251"/>
      <c r="CQ101" s="1251"/>
      <c r="CR101" s="1251"/>
      <c r="CS101" s="1251"/>
      <c r="CT101" s="1251"/>
      <c r="CU101" s="1251"/>
      <c r="CV101" s="1251"/>
      <c r="CW101" s="1251"/>
      <c r="CX101" s="1251"/>
      <c r="CY101" s="1251"/>
      <c r="CZ101" s="1251"/>
      <c r="DA101" s="1251"/>
      <c r="DB101" s="1251"/>
      <c r="DC101" s="1251"/>
      <c r="DD101" s="1251"/>
      <c r="DE101" s="1251"/>
      <c r="DF101" s="1251"/>
      <c r="DG101" s="1251"/>
      <c r="DH101" s="1251"/>
      <c r="DI101" s="1251"/>
      <c r="DJ101" s="1251"/>
      <c r="DK101" s="1251"/>
      <c r="DL101" s="1251"/>
      <c r="DM101" s="1251"/>
      <c r="DN101" s="1251"/>
      <c r="DO101" s="1251"/>
      <c r="DP101" s="1251"/>
      <c r="DQ101" s="1251"/>
      <c r="DR101" s="1251"/>
      <c r="DS101" s="1251"/>
      <c r="DT101" s="1251"/>
      <c r="DU101" s="1251"/>
      <c r="DV101" s="1251"/>
      <c r="DW101" s="1251"/>
      <c r="DX101" s="1251"/>
      <c r="DY101" s="1251"/>
      <c r="DZ101" s="1251"/>
      <c r="EA101" s="1251"/>
      <c r="EB101" s="1251"/>
      <c r="EC101" s="1251"/>
      <c r="ED101" s="1251"/>
      <c r="EE101" s="1251"/>
      <c r="EF101" s="1251"/>
      <c r="EG101" s="1251"/>
      <c r="EH101" s="1251"/>
      <c r="EI101" s="1251"/>
      <c r="EJ101" s="1251"/>
      <c r="EK101" s="1251"/>
      <c r="EL101" s="1251"/>
      <c r="EM101" s="1251"/>
      <c r="EN101" s="1251"/>
      <c r="EO101" s="1251"/>
      <c r="EP101" s="1251"/>
      <c r="EQ101" s="1251"/>
      <c r="ER101" s="1251"/>
      <c r="ES101" s="1251"/>
      <c r="ET101" s="1251"/>
      <c r="EU101" s="1251"/>
      <c r="EV101" s="1251"/>
      <c r="EW101" s="1251"/>
      <c r="EX101" s="1251"/>
      <c r="EY101" s="1251"/>
      <c r="EZ101" s="1251"/>
      <c r="FA101" s="1251"/>
      <c r="FB101" s="1251"/>
      <c r="FC101" s="1251"/>
      <c r="FD101" s="1251"/>
      <c r="FE101" s="1251"/>
      <c r="FF101" s="1251"/>
      <c r="FG101" s="1251"/>
      <c r="FH101" s="1251"/>
      <c r="FI101" s="1251"/>
      <c r="FJ101" s="1251"/>
      <c r="FK101" s="1251"/>
      <c r="FL101" s="1251"/>
      <c r="FM101" s="1251"/>
      <c r="FN101" s="1251"/>
      <c r="FO101" s="1251"/>
      <c r="FP101" s="1251"/>
      <c r="FQ101" s="1251"/>
      <c r="FR101" s="1251"/>
      <c r="FS101" s="1251"/>
      <c r="FT101" s="1251"/>
      <c r="FU101" s="1251"/>
      <c r="FV101" s="1251"/>
      <c r="FW101" s="1251"/>
      <c r="FX101" s="1251"/>
      <c r="FY101" s="1251"/>
      <c r="FZ101" s="1251"/>
      <c r="GA101" s="1251"/>
      <c r="GB101" s="1251"/>
      <c r="GC101" s="1251"/>
      <c r="GD101" s="1251"/>
      <c r="GE101" s="1251"/>
      <c r="GF101" s="1251"/>
      <c r="GG101" s="1251"/>
      <c r="GH101" s="1251"/>
      <c r="GI101" s="1251"/>
      <c r="GJ101" s="1251"/>
      <c r="GK101" s="1251"/>
      <c r="GL101" s="1251"/>
      <c r="GM101" s="1251"/>
      <c r="GN101" s="1251"/>
      <c r="GO101" s="1251"/>
      <c r="GP101" s="1251"/>
      <c r="GQ101" s="1251"/>
      <c r="GR101" s="1251"/>
      <c r="GS101" s="1251"/>
      <c r="GT101" s="1251"/>
      <c r="GU101" s="1251"/>
      <c r="GV101" s="1251"/>
      <c r="GW101" s="1251"/>
      <c r="GX101" s="1251"/>
      <c r="GY101" s="1251"/>
      <c r="GZ101" s="1251"/>
      <c r="HA101" s="1251"/>
      <c r="HB101" s="1251"/>
      <c r="HC101" s="1251"/>
      <c r="HD101" s="1251"/>
      <c r="HE101" s="1251"/>
      <c r="HF101" s="1251"/>
      <c r="HG101" s="1251"/>
      <c r="HH101" s="1251"/>
      <c r="HI101" s="1251"/>
      <c r="HJ101" s="1251"/>
      <c r="HK101" s="1251"/>
      <c r="HL101" s="1251"/>
      <c r="HM101" s="1251"/>
      <c r="HN101" s="1251"/>
      <c r="HO101" s="1251"/>
      <c r="HP101" s="1251"/>
      <c r="HQ101" s="1251"/>
      <c r="HR101" s="1251"/>
      <c r="HS101" s="1251"/>
      <c r="HT101" s="1251"/>
      <c r="HU101" s="1251"/>
      <c r="HV101" s="1251"/>
      <c r="HW101" s="1251"/>
      <c r="HX101" s="1251"/>
      <c r="HY101" s="1251"/>
      <c r="HZ101" s="1251"/>
      <c r="IA101" s="1251"/>
      <c r="IB101" s="1251"/>
      <c r="IC101" s="1251"/>
      <c r="ID101" s="1251"/>
      <c r="IE101" s="1251"/>
      <c r="IF101" s="1251"/>
      <c r="IG101" s="1251"/>
      <c r="IH101" s="1251"/>
      <c r="II101" s="1251"/>
      <c r="IJ101" s="1251"/>
      <c r="IK101" s="1251"/>
      <c r="IL101" s="1251"/>
      <c r="IM101" s="1251"/>
      <c r="IN101" s="1251"/>
      <c r="IO101" s="1251"/>
      <c r="IP101" s="1251"/>
      <c r="IQ101" s="1251"/>
      <c r="IR101" s="1251"/>
      <c r="IS101" s="1251"/>
      <c r="IT101" s="1251"/>
      <c r="IU101" s="1251"/>
      <c r="IV101" s="1251"/>
      <c r="IW101" s="1251"/>
      <c r="IX101" s="1251"/>
      <c r="IY101" s="1251"/>
      <c r="IZ101" s="1251"/>
      <c r="JA101" s="1251"/>
      <c r="JB101" s="1251"/>
      <c r="JC101" s="1251"/>
      <c r="JD101" s="1251"/>
      <c r="JE101" s="1251"/>
      <c r="JF101" s="1251"/>
      <c r="JG101" s="1251"/>
      <c r="JH101" s="1251"/>
      <c r="JI101" s="1251"/>
      <c r="JJ101" s="1251"/>
      <c r="JK101" s="1251"/>
      <c r="JL101" s="1251"/>
      <c r="JM101" s="1251"/>
      <c r="JN101" s="1251"/>
      <c r="JO101" s="1251"/>
      <c r="JP101" s="1251"/>
      <c r="JQ101" s="1251"/>
      <c r="JR101" s="1251"/>
      <c r="JS101" s="1251"/>
      <c r="JT101" s="1251"/>
      <c r="JU101" s="1251"/>
      <c r="JV101" s="1251"/>
      <c r="JW101" s="1251"/>
      <c r="JX101" s="1251"/>
      <c r="JY101" s="1251"/>
      <c r="JZ101" s="1251"/>
      <c r="KA101" s="1251"/>
      <c r="KB101" s="1251"/>
      <c r="KC101" s="1251"/>
      <c r="KD101" s="1251"/>
      <c r="KE101" s="1251"/>
      <c r="KF101" s="1251"/>
      <c r="KG101" s="1251"/>
      <c r="KH101" s="1251"/>
      <c r="KI101" s="1251"/>
      <c r="KJ101" s="1251"/>
      <c r="KK101" s="1251"/>
      <c r="KL101" s="1251"/>
      <c r="KM101" s="1251"/>
      <c r="KN101" s="1251"/>
      <c r="KO101" s="1251"/>
      <c r="KP101" s="1251"/>
      <c r="KQ101" s="1251"/>
      <c r="KR101" s="1251"/>
      <c r="KS101" s="1251"/>
      <c r="KT101" s="1251"/>
      <c r="KU101" s="1251"/>
      <c r="KV101" s="1251"/>
      <c r="KW101" s="1251"/>
      <c r="KX101" s="1251"/>
      <c r="KY101" s="1251"/>
      <c r="KZ101" s="1251"/>
      <c r="LA101" s="1251"/>
      <c r="LB101" s="1251"/>
      <c r="LC101" s="1251"/>
      <c r="LD101" s="1251"/>
      <c r="LE101" s="1251"/>
      <c r="LF101" s="1251"/>
      <c r="LG101" s="1251"/>
      <c r="LH101" s="1251"/>
      <c r="LI101" s="1251"/>
      <c r="LJ101" s="1251"/>
      <c r="LK101" s="1251"/>
      <c r="LL101" s="1251"/>
      <c r="LM101" s="1251"/>
      <c r="LN101" s="1251"/>
      <c r="LO101" s="1251"/>
      <c r="LP101" s="1251"/>
      <c r="LQ101" s="1251"/>
      <c r="LR101" s="1251"/>
      <c r="LS101" s="1251"/>
      <c r="LT101" s="1251"/>
      <c r="LU101" s="1251"/>
      <c r="LV101" s="1251"/>
      <c r="LW101" s="1251"/>
      <c r="LX101" s="1251"/>
      <c r="LY101" s="1251"/>
      <c r="LZ101" s="1251"/>
      <c r="MA101" s="1251"/>
      <c r="MB101" s="1251"/>
      <c r="MC101" s="1251"/>
      <c r="MD101" s="1251"/>
      <c r="ME101" s="1251"/>
      <c r="MF101" s="1251"/>
      <c r="MG101" s="1251"/>
      <c r="MH101" s="1251"/>
      <c r="MI101" s="1251"/>
      <c r="MJ101" s="1251"/>
      <c r="MK101" s="1251"/>
      <c r="ML101" s="1251"/>
      <c r="MM101" s="1251"/>
      <c r="MN101" s="1251"/>
      <c r="MO101" s="1251"/>
      <c r="MP101" s="1251"/>
      <c r="MQ101" s="1251"/>
      <c r="MR101" s="1251"/>
      <c r="MS101" s="1251"/>
      <c r="MT101" s="1251"/>
      <c r="MU101" s="1251"/>
      <c r="MV101" s="1251"/>
      <c r="MW101" s="1251"/>
      <c r="MX101" s="1251"/>
      <c r="MY101" s="1251"/>
      <c r="MZ101" s="1251"/>
      <c r="NA101" s="1251"/>
      <c r="NB101" s="1251"/>
      <c r="NC101" s="1251"/>
      <c r="ND101" s="1251"/>
      <c r="NE101" s="1251"/>
      <c r="NF101" s="1251"/>
      <c r="NG101" s="1251"/>
      <c r="NH101" s="1251"/>
      <c r="NI101" s="1251"/>
      <c r="NJ101" s="1251"/>
      <c r="NK101" s="1251"/>
      <c r="NL101" s="1251"/>
      <c r="NM101" s="1251"/>
      <c r="NN101" s="1251"/>
      <c r="NO101" s="1251"/>
      <c r="NP101" s="1251"/>
      <c r="NQ101" s="1251"/>
      <c r="NR101" s="1251"/>
      <c r="NS101" s="1251"/>
      <c r="NT101" s="1251"/>
      <c r="NU101" s="1251"/>
      <c r="NV101" s="1251"/>
      <c r="NW101" s="1251"/>
      <c r="NX101" s="1251"/>
      <c r="NY101" s="1251"/>
      <c r="NZ101" s="1251"/>
      <c r="OA101" s="1251"/>
      <c r="OB101" s="1251"/>
      <c r="OC101" s="1251"/>
      <c r="OD101" s="1251"/>
      <c r="OE101" s="1251"/>
      <c r="OF101" s="1251"/>
      <c r="OG101" s="1251"/>
      <c r="OH101" s="1251"/>
      <c r="OI101" s="1251"/>
      <c r="OJ101" s="1251"/>
      <c r="OK101" s="1251"/>
      <c r="OL101" s="1251"/>
      <c r="OM101" s="1251"/>
      <c r="ON101" s="1251"/>
      <c r="OO101" s="1251"/>
      <c r="OP101" s="1251"/>
      <c r="OQ101" s="1251"/>
      <c r="OR101" s="1251"/>
      <c r="OS101" s="1251"/>
      <c r="OT101" s="1251"/>
      <c r="OU101" s="1251"/>
      <c r="OV101" s="1251"/>
      <c r="OW101" s="1251"/>
      <c r="OX101" s="1251"/>
      <c r="OY101" s="1251"/>
      <c r="OZ101" s="1251"/>
      <c r="PA101" s="1251"/>
      <c r="PB101" s="1251"/>
      <c r="PC101" s="1251"/>
      <c r="PD101" s="1251"/>
      <c r="PE101" s="1251"/>
      <c r="PF101" s="1251"/>
      <c r="PG101" s="1251"/>
      <c r="PH101" s="1251"/>
      <c r="PI101" s="1251"/>
      <c r="PJ101" s="1251"/>
      <c r="PK101" s="1251"/>
      <c r="PL101" s="1251"/>
      <c r="PM101" s="1251"/>
      <c r="PN101" s="1251"/>
      <c r="PO101" s="1251"/>
      <c r="PP101" s="1251"/>
      <c r="PQ101" s="1251"/>
      <c r="PR101" s="1251"/>
      <c r="PS101" s="1251"/>
      <c r="PT101" s="1251"/>
      <c r="PU101" s="1251"/>
      <c r="PV101" s="1251"/>
      <c r="PW101" s="1251"/>
      <c r="PX101" s="1251"/>
      <c r="PY101" s="1251"/>
      <c r="PZ101" s="1251"/>
      <c r="QA101" s="1251"/>
      <c r="QB101" s="1251"/>
      <c r="QC101" s="1251"/>
      <c r="QD101" s="1251"/>
      <c r="QE101" s="1251"/>
      <c r="QF101" s="1251"/>
      <c r="QG101" s="1251"/>
      <c r="QH101" s="1251"/>
      <c r="QI101" s="1251"/>
      <c r="QJ101" s="1251"/>
      <c r="QK101" s="1251"/>
      <c r="QL101" s="1251"/>
      <c r="QM101" s="1251"/>
      <c r="QN101" s="1251"/>
      <c r="QO101" s="1251"/>
      <c r="QP101" s="1251"/>
      <c r="QQ101" s="1251"/>
      <c r="QR101" s="1251"/>
      <c r="QS101" s="1251"/>
      <c r="QT101" s="1251"/>
      <c r="QU101" s="1251"/>
      <c r="QV101" s="1251"/>
      <c r="QW101" s="1251"/>
      <c r="QX101" s="1251"/>
      <c r="QY101" s="1251"/>
      <c r="QZ101" s="1251"/>
      <c r="RA101" s="1251"/>
      <c r="RB101" s="1251"/>
      <c r="RC101" s="1251"/>
      <c r="RD101" s="1251"/>
      <c r="RE101" s="1251"/>
      <c r="RF101" s="1251"/>
      <c r="RG101" s="1251"/>
      <c r="RH101" s="1251"/>
      <c r="RI101" s="1251"/>
      <c r="RJ101" s="1251"/>
      <c r="RK101" s="1251"/>
      <c r="RL101" s="1251"/>
      <c r="RM101" s="1251"/>
      <c r="RN101" s="1251"/>
      <c r="RO101" s="1251"/>
      <c r="RP101" s="1251"/>
      <c r="RQ101" s="1251"/>
      <c r="RR101" s="1251"/>
      <c r="RS101" s="1251"/>
      <c r="RT101" s="1251"/>
      <c r="RU101" s="1251"/>
      <c r="RV101" s="1251"/>
      <c r="RW101" s="1251"/>
      <c r="RX101" s="1251"/>
      <c r="RY101" s="1251"/>
      <c r="RZ101" s="1251"/>
      <c r="SA101" s="1251"/>
      <c r="SB101" s="1251"/>
      <c r="SC101" s="1251"/>
      <c r="SD101" s="1251"/>
      <c r="SE101" s="1251"/>
      <c r="SF101" s="1251"/>
      <c r="SG101" s="1251"/>
      <c r="SH101" s="1251"/>
      <c r="SI101" s="1251"/>
      <c r="SJ101" s="1251"/>
      <c r="SK101" s="1251"/>
      <c r="SL101" s="1251"/>
      <c r="SM101" s="1251"/>
      <c r="SN101" s="1251"/>
      <c r="SO101" s="1251"/>
      <c r="SP101" s="1251"/>
      <c r="SQ101" s="1251"/>
      <c r="SR101" s="1251"/>
      <c r="SS101" s="1251"/>
      <c r="ST101" s="1251"/>
      <c r="SU101" s="1251"/>
      <c r="SV101" s="1251"/>
      <c r="SW101" s="1251"/>
      <c r="SX101" s="1251"/>
      <c r="SY101" s="1251"/>
      <c r="SZ101" s="1251"/>
      <c r="TA101" s="1251"/>
      <c r="TB101" s="1251"/>
      <c r="TC101" s="1251"/>
      <c r="TD101" s="1251"/>
      <c r="TE101" s="1251"/>
      <c r="TF101" s="1251"/>
      <c r="TG101" s="1251"/>
      <c r="TH101" s="1251"/>
      <c r="TI101" s="1251"/>
      <c r="TJ101" s="1251"/>
      <c r="TK101" s="1251"/>
      <c r="TL101" s="1251"/>
      <c r="TM101" s="1251"/>
      <c r="TN101" s="1251"/>
      <c r="TO101" s="1251"/>
      <c r="TP101" s="1251"/>
      <c r="TQ101" s="1251"/>
      <c r="TR101" s="1251"/>
      <c r="TS101" s="1251"/>
      <c r="TT101" s="1251"/>
      <c r="TU101" s="1251"/>
      <c r="TV101" s="1251"/>
      <c r="TW101" s="1251"/>
      <c r="TX101" s="1251"/>
      <c r="TY101" s="1251"/>
      <c r="TZ101" s="1251"/>
      <c r="UA101" s="1251"/>
      <c r="UB101" s="1251"/>
      <c r="UC101" s="1251"/>
      <c r="UD101" s="1251"/>
      <c r="UE101" s="1251"/>
      <c r="UF101" s="1251"/>
      <c r="UG101" s="1251"/>
      <c r="UH101" s="1251"/>
      <c r="UI101" s="1251"/>
      <c r="UJ101" s="1251"/>
      <c r="UK101" s="1251"/>
      <c r="UL101" s="1251"/>
      <c r="UM101" s="1251"/>
      <c r="UN101" s="1251"/>
      <c r="UO101" s="1251"/>
      <c r="UP101" s="1251"/>
      <c r="UQ101" s="1251"/>
      <c r="UR101" s="1251"/>
      <c r="US101" s="1251"/>
      <c r="UT101" s="1251"/>
      <c r="UU101" s="1251"/>
      <c r="UV101" s="1251"/>
      <c r="UW101" s="1251"/>
      <c r="UX101" s="1251"/>
      <c r="UY101" s="1251"/>
      <c r="UZ101" s="1251"/>
      <c r="VA101" s="1251"/>
      <c r="VB101" s="1251"/>
      <c r="VC101" s="1251"/>
      <c r="VD101" s="1251"/>
      <c r="VE101" s="1251"/>
      <c r="VF101" s="1251"/>
      <c r="VG101" s="1251"/>
      <c r="VH101" s="1251"/>
      <c r="VI101" s="1251"/>
      <c r="VJ101" s="1251"/>
      <c r="VK101" s="1251"/>
      <c r="VL101" s="1251"/>
      <c r="VM101" s="1251"/>
      <c r="VN101" s="1251"/>
      <c r="VO101" s="1251"/>
      <c r="VP101" s="1251"/>
      <c r="VQ101" s="1251"/>
      <c r="VR101" s="1251"/>
      <c r="VS101" s="1251"/>
      <c r="VT101" s="1251"/>
      <c r="VU101" s="1251"/>
      <c r="VV101" s="1251"/>
      <c r="VW101" s="1251"/>
      <c r="VX101" s="1251"/>
      <c r="VY101" s="1251"/>
      <c r="VZ101" s="1251"/>
      <c r="WA101" s="1251"/>
      <c r="WB101" s="1251"/>
      <c r="WC101" s="1251"/>
      <c r="WD101" s="1251"/>
      <c r="WE101" s="1251"/>
      <c r="WF101" s="1251"/>
      <c r="WG101" s="1251"/>
      <c r="WH101" s="1251"/>
      <c r="WI101" s="1251"/>
      <c r="WJ101" s="1251"/>
      <c r="WK101" s="1251"/>
      <c r="WL101" s="1251"/>
      <c r="WM101" s="1251"/>
      <c r="WN101" s="1251"/>
      <c r="WO101" s="1251"/>
      <c r="WP101" s="1251"/>
      <c r="WQ101" s="1251"/>
      <c r="WR101" s="1251"/>
      <c r="WS101" s="1251"/>
      <c r="WT101" s="1251"/>
      <c r="WU101" s="1251"/>
      <c r="WV101" s="1251"/>
      <c r="WW101" s="1251"/>
      <c r="WX101" s="1251"/>
      <c r="WY101" s="1251"/>
      <c r="WZ101" s="1251"/>
      <c r="XA101" s="1251"/>
      <c r="XB101" s="1251"/>
      <c r="XC101" s="1251"/>
      <c r="XD101" s="1251"/>
      <c r="XE101" s="1251"/>
      <c r="XF101" s="1251"/>
      <c r="XG101" s="1251"/>
      <c r="XH101" s="1251"/>
      <c r="XI101" s="1251"/>
      <c r="XJ101" s="1251"/>
      <c r="XK101" s="1251"/>
      <c r="XL101" s="1251"/>
      <c r="XM101" s="1251"/>
      <c r="XN101" s="1251"/>
      <c r="XO101" s="1251"/>
      <c r="XP101" s="1251"/>
      <c r="XQ101" s="1251"/>
      <c r="XR101" s="1251"/>
      <c r="XS101" s="1251"/>
      <c r="XT101" s="1251"/>
      <c r="XU101" s="1251"/>
      <c r="XV101" s="1251"/>
      <c r="XW101" s="1251"/>
      <c r="XX101" s="1251"/>
      <c r="XY101" s="1251"/>
      <c r="XZ101" s="1251"/>
      <c r="YA101" s="1251"/>
      <c r="YB101" s="1251"/>
      <c r="YC101" s="1251"/>
      <c r="YD101" s="1251"/>
      <c r="YE101" s="1251"/>
      <c r="YF101" s="1251"/>
      <c r="YG101" s="1251"/>
      <c r="YH101" s="1251"/>
      <c r="YI101" s="1251"/>
      <c r="YJ101" s="1251"/>
      <c r="YK101" s="1251"/>
      <c r="YL101" s="1251"/>
      <c r="YM101" s="1251"/>
      <c r="YN101" s="1251"/>
      <c r="YO101" s="1251"/>
      <c r="YP101" s="1251"/>
      <c r="YQ101" s="1251"/>
      <c r="YR101" s="1251"/>
      <c r="YS101" s="1251"/>
      <c r="YT101" s="1251"/>
      <c r="YU101" s="1251"/>
      <c r="YV101" s="1251"/>
      <c r="YW101" s="1251"/>
      <c r="YX101" s="1251"/>
      <c r="YY101" s="1251"/>
      <c r="YZ101" s="1251"/>
      <c r="ZA101" s="1251"/>
      <c r="ZB101" s="1251"/>
      <c r="ZC101" s="1251"/>
      <c r="ZD101" s="1251"/>
      <c r="ZE101" s="1251"/>
      <c r="ZF101" s="1251"/>
      <c r="ZG101" s="1251"/>
      <c r="ZH101" s="1251"/>
      <c r="ZI101" s="1251"/>
      <c r="ZJ101" s="1251"/>
      <c r="ZK101" s="1251"/>
      <c r="ZL101" s="1251"/>
      <c r="ZM101" s="1251"/>
      <c r="ZN101" s="1251"/>
      <c r="ZO101" s="1251"/>
      <c r="ZP101" s="1251"/>
      <c r="ZQ101" s="1251"/>
      <c r="ZR101" s="1251"/>
      <c r="ZS101" s="1251"/>
      <c r="ZT101" s="1251"/>
      <c r="ZU101" s="1251"/>
      <c r="ZV101" s="1251"/>
      <c r="ZW101" s="1251"/>
      <c r="ZX101" s="1251"/>
      <c r="ZY101" s="1251"/>
      <c r="ZZ101" s="1251"/>
      <c r="AAA101" s="1251"/>
      <c r="AAB101" s="1251"/>
      <c r="AAC101" s="1251"/>
      <c r="AAD101" s="1251"/>
      <c r="AAE101" s="1251"/>
      <c r="AAF101" s="1251"/>
      <c r="AAG101" s="1251"/>
      <c r="AAH101" s="1251"/>
      <c r="AAI101" s="1251"/>
      <c r="AAJ101" s="1251"/>
      <c r="AAK101" s="1251"/>
      <c r="AAL101" s="1251"/>
      <c r="AAM101" s="1251"/>
      <c r="AAN101" s="1251"/>
      <c r="AAO101" s="1251"/>
      <c r="AAP101" s="1251"/>
      <c r="AAQ101" s="1251"/>
      <c r="AAR101" s="1251"/>
      <c r="AAS101" s="1251"/>
      <c r="AAT101" s="1251"/>
      <c r="AAU101" s="1251"/>
      <c r="AAV101" s="1251"/>
      <c r="AAW101" s="1251"/>
      <c r="AAX101" s="1251"/>
      <c r="AAY101" s="1251"/>
      <c r="AAZ101" s="1251"/>
      <c r="ABA101" s="1251"/>
      <c r="ABB101" s="1251"/>
      <c r="ABC101" s="1251"/>
      <c r="ABD101" s="1251"/>
      <c r="ABE101" s="1251"/>
      <c r="ABF101" s="1251"/>
      <c r="ABG101" s="1251"/>
      <c r="ABH101" s="1251"/>
      <c r="ABI101" s="1251"/>
      <c r="ABJ101" s="1251"/>
      <c r="ABK101" s="1251"/>
      <c r="ABL101" s="1251"/>
      <c r="ABM101" s="1251"/>
      <c r="ABN101" s="1251"/>
      <c r="ABO101" s="1251"/>
      <c r="ABP101" s="1251"/>
      <c r="ABQ101" s="1251"/>
      <c r="ABR101" s="1251"/>
      <c r="ABS101" s="1251"/>
      <c r="ABT101" s="1251"/>
      <c r="ABU101" s="1251"/>
      <c r="ABV101" s="1251"/>
      <c r="ABW101" s="1251"/>
      <c r="ABX101" s="1251"/>
      <c r="ABY101" s="1251"/>
      <c r="ABZ101" s="1251"/>
      <c r="ACA101" s="1251"/>
      <c r="ACB101" s="1251"/>
      <c r="ACC101" s="1251"/>
      <c r="ACD101" s="1251"/>
      <c r="ACE101" s="1251"/>
      <c r="ACF101" s="1251"/>
      <c r="ACG101" s="1251"/>
      <c r="ACH101" s="1251"/>
      <c r="ACI101" s="1251"/>
      <c r="ACJ101" s="1251"/>
      <c r="ACK101" s="1251"/>
      <c r="ACL101" s="1251"/>
      <c r="ACM101" s="1251"/>
      <c r="ACN101" s="1251"/>
      <c r="ACO101" s="1251"/>
      <c r="ACP101" s="1251"/>
      <c r="ACQ101" s="1251"/>
      <c r="ACR101" s="1251"/>
      <c r="ACS101" s="1251"/>
      <c r="ACT101" s="1251"/>
      <c r="ACU101" s="1251"/>
      <c r="ACV101" s="1251"/>
      <c r="ACW101" s="1251"/>
      <c r="ACX101" s="1251"/>
      <c r="ACY101" s="1251"/>
      <c r="ACZ101" s="1251"/>
      <c r="ADA101" s="1251"/>
      <c r="ADB101" s="1251"/>
      <c r="ADC101" s="1251"/>
      <c r="ADD101" s="1251"/>
      <c r="ADE101" s="1251"/>
      <c r="ADF101" s="1251"/>
      <c r="ADG101" s="1251"/>
      <c r="ADH101" s="1251"/>
      <c r="ADI101" s="1251"/>
      <c r="ADJ101" s="1251"/>
      <c r="ADK101" s="1251"/>
      <c r="ADL101" s="1251"/>
      <c r="ADM101" s="1251"/>
      <c r="ADN101" s="1251"/>
      <c r="ADO101" s="1251"/>
      <c r="ADP101" s="1251"/>
      <c r="ADQ101" s="1251"/>
      <c r="ADR101" s="1251"/>
      <c r="ADS101" s="1251"/>
      <c r="ADT101" s="1251"/>
      <c r="ADU101" s="1251"/>
      <c r="ADV101" s="1251"/>
      <c r="ADW101" s="1251"/>
      <c r="ADX101" s="1251"/>
      <c r="ADY101" s="1251"/>
      <c r="ADZ101" s="1251"/>
      <c r="AEA101" s="1251"/>
      <c r="AEB101" s="1251"/>
      <c r="AEC101" s="1251"/>
      <c r="AED101" s="1251"/>
      <c r="AEE101" s="1251"/>
      <c r="AEF101" s="1251"/>
      <c r="AEG101" s="1251"/>
      <c r="AEH101" s="1251"/>
      <c r="AEI101" s="1251"/>
      <c r="AEJ101" s="1251"/>
      <c r="AEK101" s="1251"/>
      <c r="AEL101" s="1251"/>
      <c r="AEM101" s="1251"/>
      <c r="AEN101" s="1251"/>
      <c r="AEO101" s="1251"/>
      <c r="AEP101" s="1251"/>
      <c r="AEQ101" s="1251"/>
      <c r="AER101" s="1251"/>
      <c r="AES101" s="1251"/>
      <c r="AET101" s="1251"/>
      <c r="AEU101" s="1251"/>
      <c r="AEV101" s="1251"/>
      <c r="AEW101" s="1251"/>
      <c r="AEX101" s="1251"/>
      <c r="AEY101" s="1251"/>
      <c r="AEZ101" s="1251"/>
      <c r="AFA101" s="1251"/>
      <c r="AFB101" s="1251"/>
      <c r="AFC101" s="1251"/>
      <c r="AFD101" s="1251"/>
      <c r="AFE101" s="1251"/>
      <c r="AFF101" s="1251"/>
      <c r="AFG101" s="1251"/>
      <c r="AFH101" s="1251"/>
      <c r="AFI101" s="1251"/>
      <c r="AFJ101" s="1251"/>
      <c r="AFK101" s="1251"/>
      <c r="AFL101" s="1251"/>
      <c r="AFM101" s="1251"/>
      <c r="AFN101" s="1251"/>
      <c r="AFO101" s="1251"/>
      <c r="AFP101" s="1251"/>
      <c r="AFQ101" s="1251"/>
      <c r="AFR101" s="1251"/>
      <c r="AFS101" s="1251"/>
      <c r="AFT101" s="1251"/>
      <c r="AFU101" s="1251"/>
      <c r="AFV101" s="1251"/>
      <c r="AFW101" s="1251"/>
      <c r="AFX101" s="1251"/>
      <c r="AFY101" s="1251"/>
      <c r="AFZ101" s="1251"/>
      <c r="AGA101" s="1251"/>
      <c r="AGB101" s="1251"/>
      <c r="AGC101" s="1251"/>
      <c r="AGD101" s="1251"/>
      <c r="AGE101" s="1251"/>
      <c r="AGF101" s="1251"/>
      <c r="AGG101" s="1251"/>
      <c r="AGH101" s="1251"/>
      <c r="AGI101" s="1251"/>
      <c r="AGJ101" s="1251"/>
      <c r="AGK101" s="1251"/>
      <c r="AGL101" s="1251"/>
      <c r="AGM101" s="1251"/>
      <c r="AGN101" s="1251"/>
      <c r="AGO101" s="1251"/>
      <c r="AGP101" s="1251"/>
      <c r="AGQ101" s="1251"/>
      <c r="AGR101" s="1251"/>
      <c r="AGS101" s="1251"/>
      <c r="AGT101" s="1251"/>
      <c r="AGU101" s="1251"/>
      <c r="AGV101" s="1251"/>
      <c r="AGW101" s="1251"/>
      <c r="AGX101" s="1251"/>
      <c r="AGY101" s="1251"/>
      <c r="AGZ101" s="1251"/>
      <c r="AHA101" s="1251"/>
      <c r="AHB101" s="1251"/>
      <c r="AHC101" s="1251"/>
      <c r="AHD101" s="1251"/>
      <c r="AHE101" s="1251"/>
      <c r="AHF101" s="1251"/>
      <c r="AHG101" s="1251"/>
      <c r="AHH101" s="1251"/>
      <c r="AHI101" s="1251"/>
      <c r="AHJ101" s="1251"/>
      <c r="AHK101" s="1251"/>
      <c r="AHL101" s="1251"/>
      <c r="AHM101" s="1251"/>
      <c r="AHN101" s="1251"/>
      <c r="AHO101" s="1251"/>
      <c r="AHP101" s="1251"/>
      <c r="AHQ101" s="1251"/>
      <c r="AHR101" s="1251"/>
      <c r="AHS101" s="1251"/>
      <c r="AHT101" s="1251"/>
      <c r="AHU101" s="1251"/>
      <c r="AHV101" s="1251"/>
      <c r="AHW101" s="1251"/>
      <c r="AHX101" s="1251"/>
      <c r="AHY101" s="1251"/>
      <c r="AHZ101" s="1251"/>
      <c r="AIA101" s="1251"/>
      <c r="AIB101" s="1251"/>
      <c r="AIC101" s="1251"/>
      <c r="AID101" s="1251"/>
      <c r="AIE101" s="1251"/>
      <c r="AIF101" s="1251"/>
      <c r="AIG101" s="1251"/>
      <c r="AIH101" s="1251"/>
      <c r="AII101" s="1251"/>
      <c r="AIJ101" s="1251"/>
      <c r="AIK101" s="1251"/>
      <c r="AIL101" s="1251"/>
      <c r="AIM101" s="1251"/>
      <c r="AIN101" s="1251"/>
      <c r="AIO101" s="1251"/>
      <c r="AIP101" s="1251"/>
      <c r="AIQ101" s="1251"/>
      <c r="AIR101" s="1251"/>
      <c r="AIS101" s="1251"/>
      <c r="AIT101" s="1251"/>
      <c r="AIU101" s="1251"/>
      <c r="AIV101" s="1251"/>
      <c r="AIW101" s="1251"/>
      <c r="AIX101" s="1251"/>
      <c r="AIY101" s="1251"/>
      <c r="AIZ101" s="1251"/>
      <c r="AJA101" s="1251"/>
      <c r="AJB101" s="1251"/>
      <c r="AJC101" s="1251"/>
      <c r="AJD101" s="1251"/>
      <c r="AJE101" s="1251"/>
      <c r="AJF101" s="1251"/>
      <c r="AJG101" s="1251"/>
      <c r="AJH101" s="1251"/>
      <c r="AJI101" s="1251"/>
      <c r="AJJ101" s="1251"/>
      <c r="AJK101" s="1251"/>
      <c r="AJL101" s="1251"/>
      <c r="AJM101" s="1251"/>
      <c r="AJN101" s="1251"/>
      <c r="AJO101" s="1251"/>
      <c r="AJP101" s="1251"/>
      <c r="AJQ101" s="1251"/>
      <c r="AJR101" s="1251"/>
      <c r="AJS101" s="1251"/>
      <c r="AJT101" s="1251"/>
      <c r="AJU101" s="1251"/>
      <c r="AJV101" s="1251"/>
      <c r="AJW101" s="1251"/>
      <c r="AJX101" s="1251"/>
      <c r="AJY101" s="1251"/>
      <c r="AJZ101" s="1251"/>
      <c r="AKA101" s="1251"/>
      <c r="AKB101" s="1251"/>
      <c r="AKC101" s="1251"/>
      <c r="AKD101" s="1251"/>
      <c r="AKE101" s="1251"/>
      <c r="AKF101" s="1251"/>
      <c r="AKG101" s="1251"/>
      <c r="AKH101" s="1251"/>
      <c r="AKI101" s="1251"/>
      <c r="AKJ101" s="1251"/>
      <c r="AKK101" s="1251"/>
      <c r="AKL101" s="1251"/>
      <c r="AKM101" s="1251"/>
      <c r="AKN101" s="1251"/>
      <c r="AKO101" s="1251"/>
      <c r="AKP101" s="1251"/>
      <c r="AKQ101" s="1251"/>
      <c r="AKR101" s="1251"/>
      <c r="AKS101" s="1251"/>
      <c r="AKT101" s="1251"/>
      <c r="AKU101" s="1251"/>
      <c r="AKV101" s="1251"/>
      <c r="AKW101" s="1251"/>
      <c r="AKX101" s="1251"/>
      <c r="AKY101" s="1251"/>
      <c r="AKZ101" s="1251"/>
      <c r="ALA101" s="1251"/>
      <c r="ALB101" s="1251"/>
      <c r="ALC101" s="1251"/>
      <c r="ALD101" s="1251"/>
      <c r="ALE101" s="1251"/>
      <c r="ALF101" s="1251"/>
      <c r="ALG101" s="1251"/>
      <c r="ALH101" s="1251"/>
      <c r="ALI101" s="1251"/>
      <c r="ALJ101" s="1251"/>
      <c r="ALK101" s="1251"/>
      <c r="ALL101" s="1251"/>
      <c r="ALM101" s="1251"/>
      <c r="ALN101" s="1251"/>
      <c r="ALO101" s="1251"/>
      <c r="ALP101" s="1251"/>
      <c r="ALQ101" s="1251"/>
      <c r="ALR101" s="1251"/>
      <c r="ALS101" s="1251"/>
      <c r="ALT101" s="1251"/>
      <c r="ALU101" s="1251"/>
      <c r="ALV101" s="1251"/>
      <c r="ALW101" s="1251"/>
      <c r="ALX101" s="1251"/>
      <c r="ALY101" s="1251"/>
      <c r="ALZ101" s="1251"/>
      <c r="AMA101" s="1251"/>
      <c r="AMB101" s="1251"/>
      <c r="AMC101" s="1251"/>
      <c r="AMD101" s="1251"/>
      <c r="AME101" s="1251"/>
      <c r="AMF101" s="1251"/>
      <c r="AMG101" s="1251"/>
      <c r="AMH101" s="1251"/>
      <c r="AMI101" s="1251"/>
      <c r="AMJ101" s="1251"/>
      <c r="AMK101" s="1251"/>
      <c r="AML101" s="1251"/>
      <c r="AMM101" s="1251"/>
      <c r="AMN101" s="1251"/>
      <c r="AMO101" s="1251"/>
      <c r="AMP101" s="1251"/>
      <c r="AMQ101" s="1251"/>
      <c r="AMR101" s="1251"/>
      <c r="AMS101" s="1251"/>
      <c r="AMT101" s="1251"/>
      <c r="AMU101" s="1251"/>
      <c r="AMV101" s="1251"/>
      <c r="AMW101" s="1251"/>
      <c r="AMX101" s="1251"/>
      <c r="AMY101" s="1251"/>
      <c r="AMZ101" s="1251"/>
      <c r="ANA101" s="1251"/>
      <c r="ANB101" s="1251"/>
      <c r="ANC101" s="1251"/>
      <c r="AND101" s="1251"/>
      <c r="ANE101" s="1251"/>
      <c r="ANF101" s="1251"/>
      <c r="ANG101" s="1251"/>
      <c r="ANH101" s="1251"/>
      <c r="ANI101" s="1251"/>
      <c r="ANJ101" s="1251"/>
      <c r="ANK101" s="1251"/>
      <c r="ANL101" s="1251"/>
      <c r="ANM101" s="1251"/>
      <c r="ANN101" s="1251"/>
      <c r="ANO101" s="1251"/>
      <c r="ANP101" s="1251"/>
      <c r="ANQ101" s="1251"/>
      <c r="ANR101" s="1251"/>
      <c r="ANS101" s="1251"/>
      <c r="ANT101" s="1251"/>
      <c r="ANU101" s="1251"/>
      <c r="ANV101" s="1251"/>
      <c r="ANW101" s="1251"/>
      <c r="ANX101" s="1251"/>
      <c r="ANY101" s="1251"/>
      <c r="ANZ101" s="1251"/>
      <c r="AOA101" s="1251"/>
      <c r="AOB101" s="1251"/>
      <c r="AOC101" s="1251"/>
      <c r="AOD101" s="1251"/>
      <c r="AOE101" s="1251"/>
      <c r="AOF101" s="1251"/>
      <c r="AOG101" s="1251"/>
      <c r="AOH101" s="1251"/>
      <c r="AOI101" s="1251"/>
      <c r="AOJ101" s="1251"/>
      <c r="AOK101" s="1251"/>
      <c r="AOL101" s="1251"/>
      <c r="AOM101" s="1251"/>
      <c r="AON101" s="1251"/>
      <c r="AOO101" s="1251"/>
      <c r="AOP101" s="1251"/>
      <c r="AOQ101" s="1251"/>
      <c r="AOR101" s="1251"/>
      <c r="AOS101" s="1251"/>
      <c r="AOT101" s="1251"/>
      <c r="AOU101" s="1251"/>
      <c r="AOV101" s="1251"/>
      <c r="AOW101" s="1251"/>
      <c r="AOX101" s="1251"/>
      <c r="AOY101" s="1251"/>
      <c r="AOZ101" s="1251"/>
      <c r="APA101" s="1251"/>
      <c r="APB101" s="1251"/>
      <c r="APC101" s="1251"/>
      <c r="APD101" s="1251"/>
      <c r="APE101" s="1251"/>
      <c r="APF101" s="1251"/>
      <c r="APG101" s="1251"/>
      <c r="APH101" s="1251"/>
      <c r="API101" s="1251"/>
      <c r="APJ101" s="1251"/>
      <c r="APK101" s="1251"/>
      <c r="APL101" s="1251"/>
      <c r="APM101" s="1251"/>
      <c r="APN101" s="1251"/>
      <c r="APO101" s="1251"/>
      <c r="APP101" s="1251"/>
      <c r="APQ101" s="1251"/>
      <c r="APR101" s="1251"/>
      <c r="APS101" s="1251"/>
      <c r="APT101" s="1251"/>
      <c r="APU101" s="1251"/>
      <c r="APV101" s="1251"/>
      <c r="APW101" s="1251"/>
      <c r="APX101" s="1251"/>
      <c r="APY101" s="1251"/>
      <c r="APZ101" s="1251"/>
      <c r="AQA101" s="1251"/>
      <c r="AQB101" s="1251"/>
      <c r="AQC101" s="1251"/>
      <c r="AQD101" s="1251"/>
      <c r="AQE101" s="1251"/>
      <c r="AQF101" s="1251"/>
      <c r="AQG101" s="1251"/>
      <c r="AQH101" s="1251"/>
      <c r="AQI101" s="1251"/>
      <c r="AQJ101" s="1251"/>
      <c r="AQK101" s="1251"/>
      <c r="AQL101" s="1251"/>
      <c r="AQM101" s="1251"/>
      <c r="AQN101" s="1251"/>
      <c r="AQO101" s="1251"/>
      <c r="AQP101" s="1251"/>
      <c r="AQQ101" s="1251"/>
      <c r="AQR101" s="1251"/>
      <c r="AQS101" s="1251"/>
      <c r="AQT101" s="1251"/>
      <c r="AQU101" s="1251"/>
      <c r="AQV101" s="1251"/>
      <c r="AQW101" s="1251"/>
      <c r="AQX101" s="1251"/>
      <c r="AQY101" s="1251"/>
      <c r="AQZ101" s="1251"/>
      <c r="ARA101" s="1251"/>
      <c r="ARB101" s="1251"/>
      <c r="ARC101" s="1251"/>
      <c r="ARD101" s="1251"/>
      <c r="ARE101" s="1251"/>
      <c r="ARF101" s="1251"/>
      <c r="ARG101" s="1251"/>
      <c r="ARH101" s="1251"/>
      <c r="ARI101" s="1251"/>
      <c r="ARJ101" s="1251"/>
      <c r="ARK101" s="1251"/>
      <c r="ARL101" s="1251"/>
      <c r="ARM101" s="1251"/>
      <c r="ARN101" s="1251"/>
      <c r="ARO101" s="1251"/>
      <c r="ARP101" s="1251"/>
      <c r="ARQ101" s="1251"/>
      <c r="ARR101" s="1251"/>
      <c r="ARS101" s="1251"/>
      <c r="ART101" s="1251"/>
      <c r="ARU101" s="1251"/>
      <c r="ARV101" s="1251"/>
      <c r="ARW101" s="1251"/>
      <c r="ARX101" s="1251"/>
      <c r="ARY101" s="1251"/>
      <c r="ARZ101" s="1251"/>
      <c r="ASA101" s="1251"/>
      <c r="ASB101" s="1251"/>
      <c r="ASC101" s="1251"/>
      <c r="ASD101" s="1251"/>
      <c r="ASE101" s="1251"/>
      <c r="ASF101" s="1251"/>
      <c r="ASG101" s="1251"/>
      <c r="ASH101" s="1251"/>
      <c r="ASI101" s="1251"/>
      <c r="ASJ101" s="1251"/>
      <c r="ASK101" s="1251"/>
      <c r="ASL101" s="1251"/>
      <c r="ASM101" s="1251"/>
      <c r="ASN101" s="1251"/>
      <c r="ASO101" s="1251"/>
      <c r="ASP101" s="1251"/>
      <c r="ASQ101" s="1251"/>
      <c r="ASR101" s="1251"/>
      <c r="ASS101" s="1251"/>
      <c r="AST101" s="1251"/>
      <c r="ASU101" s="1251"/>
      <c r="ASV101" s="1251"/>
      <c r="ASW101" s="1251"/>
      <c r="ASX101" s="1251"/>
      <c r="ASY101" s="1251"/>
      <c r="ASZ101" s="1251"/>
      <c r="ATA101" s="1251"/>
      <c r="ATB101" s="1251"/>
      <c r="ATC101" s="1251"/>
      <c r="ATD101" s="1251"/>
      <c r="ATE101" s="1251"/>
      <c r="ATF101" s="1251"/>
      <c r="ATG101" s="1251"/>
      <c r="ATH101" s="1251"/>
      <c r="ATI101" s="1251"/>
      <c r="ATJ101" s="1251"/>
      <c r="ATK101" s="1251"/>
      <c r="ATL101" s="1251"/>
      <c r="ATM101" s="1251"/>
      <c r="ATN101" s="1251"/>
      <c r="ATO101" s="1251"/>
      <c r="ATP101" s="1251"/>
      <c r="ATQ101" s="1251"/>
      <c r="ATR101" s="1251"/>
      <c r="ATS101" s="1251"/>
      <c r="ATT101" s="1251"/>
      <c r="ATU101" s="1251"/>
      <c r="ATV101" s="1251"/>
      <c r="ATW101" s="1251"/>
      <c r="ATX101" s="1251"/>
      <c r="ATY101" s="1251"/>
      <c r="ATZ101" s="1251"/>
      <c r="AUA101" s="1251"/>
      <c r="AUB101" s="1251"/>
      <c r="AUC101" s="1251"/>
      <c r="AUD101" s="1251"/>
      <c r="AUE101" s="1251"/>
      <c r="AUF101" s="1251"/>
      <c r="AUG101" s="1251"/>
      <c r="AUH101" s="1251"/>
      <c r="AUI101" s="1251"/>
      <c r="AUJ101" s="1251"/>
      <c r="AUK101" s="1251"/>
      <c r="AUL101" s="1251"/>
      <c r="AUM101" s="1251"/>
      <c r="AUN101" s="1251"/>
      <c r="AUO101" s="1251"/>
      <c r="AUP101" s="1251"/>
      <c r="AUQ101" s="1251"/>
      <c r="AUR101" s="1251"/>
      <c r="AUS101" s="1251"/>
      <c r="AUT101" s="1251"/>
      <c r="AUU101" s="1251"/>
      <c r="AUV101" s="1251"/>
      <c r="AUW101" s="1251"/>
      <c r="AUX101" s="1251"/>
      <c r="AUY101" s="1251"/>
      <c r="AUZ101" s="1251"/>
      <c r="AVA101" s="1251"/>
      <c r="AVB101" s="1251"/>
      <c r="AVC101" s="1251"/>
      <c r="AVD101" s="1251"/>
      <c r="AVE101" s="1251"/>
      <c r="AVF101" s="1251"/>
      <c r="AVG101" s="1251"/>
      <c r="AVH101" s="1251"/>
      <c r="AVI101" s="1251"/>
      <c r="AVJ101" s="1251"/>
      <c r="AVK101" s="1251"/>
      <c r="AVL101" s="1251"/>
      <c r="AVM101" s="1251"/>
      <c r="AVN101" s="1251"/>
      <c r="AVO101" s="1251"/>
      <c r="AVP101" s="1251"/>
      <c r="AVQ101" s="1251"/>
      <c r="AVR101" s="1251"/>
      <c r="AVS101" s="1251"/>
      <c r="AVT101" s="1251"/>
      <c r="AVU101" s="1251"/>
      <c r="AVV101" s="1251"/>
      <c r="AVW101" s="1251"/>
      <c r="AVX101" s="1251"/>
      <c r="AVY101" s="1251"/>
      <c r="AVZ101" s="1251"/>
      <c r="AWA101" s="1251"/>
      <c r="AWB101" s="1251"/>
      <c r="AWC101" s="1251"/>
      <c r="AWD101" s="1251"/>
      <c r="AWE101" s="1251"/>
      <c r="AWF101" s="1251"/>
      <c r="AWG101" s="1251"/>
      <c r="AWH101" s="1251"/>
      <c r="AWI101" s="1251"/>
      <c r="AWJ101" s="1251"/>
      <c r="AWK101" s="1251"/>
      <c r="AWL101" s="1251"/>
      <c r="AWM101" s="1251"/>
      <c r="AWN101" s="1251"/>
      <c r="AWO101" s="1251"/>
      <c r="AWP101" s="1251"/>
      <c r="AWQ101" s="1251"/>
      <c r="AWR101" s="1251"/>
      <c r="AWS101" s="1251"/>
      <c r="AWT101" s="1251"/>
      <c r="AWU101" s="1251"/>
      <c r="AWV101" s="1251"/>
      <c r="AWW101" s="1251"/>
      <c r="AWX101" s="1251"/>
      <c r="AWY101" s="1251"/>
      <c r="AWZ101" s="1251"/>
      <c r="AXA101" s="1251"/>
      <c r="AXB101" s="1251"/>
      <c r="AXC101" s="1251"/>
      <c r="AXD101" s="1251"/>
      <c r="AXE101" s="1251"/>
      <c r="AXF101" s="1251"/>
      <c r="AXG101" s="1251"/>
      <c r="AXH101" s="1251"/>
      <c r="AXI101" s="1251"/>
      <c r="AXJ101" s="1251"/>
      <c r="AXK101" s="1251"/>
      <c r="AXL101" s="1251"/>
      <c r="AXM101" s="1251"/>
      <c r="AXN101" s="1251"/>
      <c r="AXO101" s="1251"/>
      <c r="AXP101" s="1251"/>
      <c r="AXQ101" s="1251"/>
      <c r="AXR101" s="1251"/>
      <c r="AXS101" s="1251"/>
      <c r="AXT101" s="1251"/>
      <c r="AXU101" s="1251"/>
      <c r="AXV101" s="1251"/>
      <c r="AXW101" s="1251"/>
      <c r="AXX101" s="1251"/>
      <c r="AXY101" s="1251"/>
      <c r="AXZ101" s="1251"/>
      <c r="AYA101" s="1251"/>
      <c r="AYB101" s="1251"/>
      <c r="AYC101" s="1251"/>
      <c r="AYD101" s="1251"/>
      <c r="AYE101" s="1251"/>
      <c r="AYF101" s="1251"/>
      <c r="AYG101" s="1251"/>
      <c r="AYH101" s="1251"/>
      <c r="AYI101" s="1251"/>
      <c r="AYJ101" s="1251"/>
      <c r="AYK101" s="1251"/>
      <c r="AYL101" s="1251"/>
      <c r="AYM101" s="1251"/>
      <c r="AYN101" s="1251"/>
      <c r="AYO101" s="1251"/>
      <c r="AYP101" s="1251"/>
      <c r="AYQ101" s="1251"/>
      <c r="AYR101" s="1251"/>
      <c r="AYS101" s="1251"/>
      <c r="AYT101" s="1251"/>
      <c r="AYU101" s="1251"/>
      <c r="AYV101" s="1251"/>
      <c r="AYW101" s="1251"/>
      <c r="AYX101" s="1251"/>
      <c r="AYY101" s="1251"/>
      <c r="AYZ101" s="1251"/>
      <c r="AZA101" s="1251"/>
      <c r="AZB101" s="1251"/>
      <c r="AZC101" s="1251"/>
      <c r="AZD101" s="1251"/>
      <c r="AZE101" s="1251"/>
      <c r="AZF101" s="1251"/>
      <c r="AZG101" s="1251"/>
      <c r="AZH101" s="1251"/>
      <c r="AZI101" s="1251"/>
      <c r="AZJ101" s="1251"/>
      <c r="AZK101" s="1251"/>
      <c r="AZL101" s="1251"/>
      <c r="AZM101" s="1251"/>
      <c r="AZN101" s="1251"/>
      <c r="AZO101" s="1251"/>
      <c r="AZP101" s="1251"/>
      <c r="AZQ101" s="1251"/>
      <c r="AZR101" s="1251"/>
      <c r="AZS101" s="1251"/>
      <c r="AZT101" s="1251"/>
      <c r="AZU101" s="1251"/>
      <c r="AZV101" s="1251"/>
      <c r="AZW101" s="1251"/>
      <c r="AZX101" s="1251"/>
      <c r="AZY101" s="1251"/>
      <c r="AZZ101" s="1251"/>
      <c r="BAA101" s="1251"/>
      <c r="BAB101" s="1251"/>
      <c r="BAC101" s="1251"/>
      <c r="BAD101" s="1251"/>
      <c r="BAE101" s="1251"/>
      <c r="BAF101" s="1251"/>
      <c r="BAG101" s="1251"/>
      <c r="BAH101" s="1251"/>
      <c r="BAI101" s="1251"/>
      <c r="BAJ101" s="1251"/>
      <c r="BAK101" s="1251"/>
      <c r="BAL101" s="1251"/>
      <c r="BAM101" s="1251"/>
      <c r="BAN101" s="1251"/>
      <c r="BAO101" s="1251"/>
      <c r="BAP101" s="1251"/>
      <c r="BAQ101" s="1251"/>
      <c r="BAR101" s="1251"/>
      <c r="BAS101" s="1251"/>
      <c r="BAT101" s="1251"/>
      <c r="BAU101" s="1251"/>
      <c r="BAV101" s="1251"/>
      <c r="BAW101" s="1251"/>
      <c r="BAX101" s="1251"/>
      <c r="BAY101" s="1251"/>
      <c r="BAZ101" s="1251"/>
      <c r="BBA101" s="1251"/>
      <c r="BBB101" s="1251"/>
      <c r="BBC101" s="1251"/>
      <c r="BBD101" s="1251"/>
      <c r="BBE101" s="1251"/>
      <c r="BBF101" s="1251"/>
      <c r="BBG101" s="1251"/>
      <c r="BBH101" s="1251"/>
      <c r="BBI101" s="1251"/>
      <c r="BBJ101" s="1251"/>
      <c r="BBK101" s="1251"/>
      <c r="BBL101" s="1251"/>
      <c r="BBM101" s="1251"/>
      <c r="BBN101" s="1251"/>
      <c r="BBO101" s="1251"/>
      <c r="BBP101" s="1251"/>
      <c r="BBQ101" s="1251"/>
      <c r="BBR101" s="1251"/>
      <c r="BBS101" s="1251"/>
      <c r="BBT101" s="1251"/>
      <c r="BBU101" s="1251"/>
      <c r="BBV101" s="1251"/>
      <c r="BBW101" s="1251"/>
      <c r="BBX101" s="1251"/>
      <c r="BBY101" s="1251"/>
      <c r="BBZ101" s="1251"/>
      <c r="BCA101" s="1251"/>
      <c r="BCB101" s="1251"/>
      <c r="BCC101" s="1251"/>
      <c r="BCD101" s="1251"/>
      <c r="BCE101" s="1251"/>
      <c r="BCF101" s="1251"/>
      <c r="BCG101" s="1251"/>
      <c r="BCH101" s="1251"/>
      <c r="BCI101" s="1251"/>
      <c r="BCJ101" s="1251"/>
      <c r="BCK101" s="1251"/>
      <c r="BCL101" s="1251"/>
      <c r="BCM101" s="1251"/>
      <c r="BCN101" s="1251"/>
      <c r="BCO101" s="1251"/>
      <c r="BCP101" s="1251"/>
      <c r="BCQ101" s="1251"/>
      <c r="BCR101" s="1251"/>
      <c r="BCS101" s="1251"/>
      <c r="BCT101" s="1251"/>
      <c r="BCU101" s="1251"/>
      <c r="BCV101" s="1251"/>
      <c r="BCW101" s="1251"/>
      <c r="BCX101" s="1251"/>
      <c r="BCY101" s="1251"/>
      <c r="BCZ101" s="1251"/>
      <c r="BDA101" s="1251"/>
      <c r="BDB101" s="1251"/>
      <c r="BDC101" s="1251"/>
      <c r="BDD101" s="1251"/>
      <c r="BDE101" s="1251"/>
      <c r="BDF101" s="1251"/>
      <c r="BDG101" s="1251"/>
      <c r="BDH101" s="1251"/>
      <c r="BDI101" s="1251"/>
      <c r="BDJ101" s="1251"/>
      <c r="BDK101" s="1251"/>
      <c r="BDL101" s="1251"/>
      <c r="BDM101" s="1251"/>
      <c r="BDN101" s="1251"/>
      <c r="BDO101" s="1251"/>
      <c r="BDP101" s="1251"/>
      <c r="BDQ101" s="1251"/>
      <c r="BDR101" s="1251"/>
      <c r="BDS101" s="1251"/>
      <c r="BDT101" s="1251"/>
      <c r="BDU101" s="1251"/>
      <c r="BDV101" s="1251"/>
      <c r="BDW101" s="1251"/>
      <c r="BDX101" s="1251"/>
      <c r="BDY101" s="1251"/>
      <c r="BDZ101" s="1251"/>
      <c r="BEA101" s="1251"/>
      <c r="BEB101" s="1251"/>
      <c r="BEC101" s="1251"/>
      <c r="BED101" s="1251"/>
      <c r="BEE101" s="1251"/>
      <c r="BEF101" s="1251"/>
      <c r="BEG101" s="1251"/>
      <c r="BEH101" s="1251"/>
      <c r="BEI101" s="1251"/>
      <c r="BEJ101" s="1251"/>
      <c r="BEK101" s="1251"/>
      <c r="BEL101" s="1251"/>
      <c r="BEM101" s="1251"/>
      <c r="BEN101" s="1251"/>
      <c r="BEO101" s="1251"/>
      <c r="BEP101" s="1251"/>
      <c r="BEQ101" s="1251"/>
      <c r="BER101" s="1251"/>
      <c r="BES101" s="1251"/>
      <c r="BET101" s="1251"/>
      <c r="BEU101" s="1251"/>
      <c r="BEV101" s="1251"/>
      <c r="BEW101" s="1251"/>
      <c r="BEX101" s="1251"/>
      <c r="BEY101" s="1251"/>
      <c r="BEZ101" s="1251"/>
      <c r="BFA101" s="1251"/>
      <c r="BFB101" s="1251"/>
      <c r="BFC101" s="1251"/>
      <c r="BFD101" s="1251"/>
      <c r="BFE101" s="1251"/>
      <c r="BFF101" s="1251"/>
      <c r="BFG101" s="1251"/>
      <c r="BFH101" s="1251"/>
      <c r="BFI101" s="1251"/>
      <c r="BFJ101" s="1251"/>
      <c r="BFK101" s="1251"/>
      <c r="BFL101" s="1251"/>
      <c r="BFM101" s="1251"/>
      <c r="BFN101" s="1251"/>
      <c r="BFO101" s="1251"/>
      <c r="BFP101" s="1251"/>
      <c r="BFQ101" s="1251"/>
      <c r="BFR101" s="1251"/>
      <c r="BFS101" s="1251"/>
      <c r="BFT101" s="1251"/>
      <c r="BFU101" s="1251"/>
      <c r="BFV101" s="1251"/>
      <c r="BFW101" s="1251"/>
      <c r="BFX101" s="1251"/>
      <c r="BFY101" s="1251"/>
      <c r="BFZ101" s="1251"/>
      <c r="BGA101" s="1251"/>
      <c r="BGB101" s="1251"/>
      <c r="BGC101" s="1251"/>
      <c r="BGD101" s="1251"/>
      <c r="BGE101" s="1251"/>
      <c r="BGF101" s="1251"/>
      <c r="BGG101" s="1251"/>
      <c r="BGH101" s="1251"/>
      <c r="BGI101" s="1251"/>
      <c r="BGJ101" s="1251"/>
      <c r="BGK101" s="1251"/>
      <c r="BGL101" s="1251"/>
      <c r="BGM101" s="1251"/>
      <c r="BGN101" s="1251"/>
      <c r="BGO101" s="1251"/>
      <c r="BGP101" s="1251"/>
      <c r="BGQ101" s="1251"/>
      <c r="BGR101" s="1251"/>
      <c r="BGS101" s="1251"/>
      <c r="BGT101" s="1251"/>
      <c r="BGU101" s="1251"/>
      <c r="BGV101" s="1251"/>
      <c r="BGW101" s="1251"/>
      <c r="BGX101" s="1251"/>
      <c r="BGY101" s="1251"/>
      <c r="BGZ101" s="1251"/>
      <c r="BHA101" s="1251"/>
      <c r="BHB101" s="1251"/>
      <c r="BHC101" s="1251"/>
      <c r="BHD101" s="1251"/>
      <c r="BHE101" s="1251"/>
      <c r="BHF101" s="1251"/>
      <c r="BHG101" s="1251"/>
      <c r="BHH101" s="1251"/>
      <c r="BHI101" s="1251"/>
      <c r="BHJ101" s="1251"/>
      <c r="BHK101" s="1251"/>
      <c r="BHL101" s="1251"/>
      <c r="BHM101" s="1251"/>
      <c r="BHN101" s="1251"/>
      <c r="BHO101" s="1251"/>
      <c r="BHP101" s="1251"/>
      <c r="BHQ101" s="1251"/>
      <c r="BHR101" s="1251"/>
      <c r="BHS101" s="1251"/>
      <c r="BHT101" s="1251"/>
      <c r="BHU101" s="1251"/>
      <c r="BHV101" s="1251"/>
      <c r="BHW101" s="1251"/>
      <c r="BHX101" s="1251"/>
      <c r="BHY101" s="1251"/>
      <c r="BHZ101" s="1251"/>
      <c r="BIA101" s="1251"/>
      <c r="BIB101" s="1251"/>
      <c r="BIC101" s="1251"/>
      <c r="BID101" s="1251"/>
      <c r="BIE101" s="1251"/>
      <c r="BIF101" s="1251"/>
      <c r="BIG101" s="1251"/>
      <c r="BIH101" s="1251"/>
      <c r="BII101" s="1251"/>
      <c r="BIJ101" s="1251"/>
      <c r="BIK101" s="1251"/>
      <c r="BIL101" s="1251"/>
      <c r="BIM101" s="1251"/>
      <c r="BIN101" s="1251"/>
      <c r="BIO101" s="1251"/>
      <c r="BIP101" s="1251"/>
      <c r="BIQ101" s="1251"/>
      <c r="BIR101" s="1251"/>
      <c r="BIS101" s="1251"/>
      <c r="BIT101" s="1251"/>
      <c r="BIU101" s="1251"/>
      <c r="BIV101" s="1251"/>
      <c r="BIW101" s="1251"/>
      <c r="BIX101" s="1251"/>
      <c r="BIY101" s="1251"/>
      <c r="BIZ101" s="1251"/>
      <c r="BJA101" s="1251"/>
      <c r="BJB101" s="1251"/>
      <c r="BJC101" s="1251"/>
      <c r="BJD101" s="1251"/>
      <c r="BJE101" s="1251"/>
      <c r="BJF101" s="1251"/>
      <c r="BJG101" s="1251"/>
      <c r="BJH101" s="1251"/>
      <c r="BJI101" s="1251"/>
      <c r="BJJ101" s="1251"/>
      <c r="BJK101" s="1251"/>
      <c r="BJL101" s="1251"/>
      <c r="BJM101" s="1251"/>
      <c r="BJN101" s="1251"/>
      <c r="BJO101" s="1251"/>
      <c r="BJP101" s="1251"/>
      <c r="BJQ101" s="1251"/>
      <c r="BJR101" s="1251"/>
      <c r="BJS101" s="1251"/>
      <c r="BJT101" s="1251"/>
      <c r="BJU101" s="1251"/>
      <c r="BJV101" s="1251"/>
      <c r="BJW101" s="1251"/>
      <c r="BJX101" s="1251"/>
      <c r="BJY101" s="1251"/>
      <c r="BJZ101" s="1251"/>
      <c r="BKA101" s="1251"/>
      <c r="BKB101" s="1251"/>
      <c r="BKC101" s="1251"/>
      <c r="BKD101" s="1251"/>
      <c r="BKE101" s="1251"/>
      <c r="BKF101" s="1251"/>
      <c r="BKG101" s="1251"/>
      <c r="BKH101" s="1251"/>
      <c r="BKI101" s="1251"/>
      <c r="BKJ101" s="1251"/>
      <c r="BKK101" s="1251"/>
      <c r="BKL101" s="1251"/>
      <c r="BKM101" s="1251"/>
      <c r="BKN101" s="1251"/>
      <c r="BKO101" s="1251"/>
      <c r="BKP101" s="1251"/>
      <c r="BKQ101" s="1251"/>
      <c r="BKR101" s="1251"/>
      <c r="BKS101" s="1251"/>
      <c r="BKT101" s="1251"/>
      <c r="BKU101" s="1251"/>
      <c r="BKV101" s="1251"/>
      <c r="BKW101" s="1251"/>
      <c r="BKX101" s="1251"/>
      <c r="BKY101" s="1251"/>
      <c r="BKZ101" s="1251"/>
      <c r="BLA101" s="1251"/>
      <c r="BLB101" s="1251"/>
      <c r="BLC101" s="1251"/>
      <c r="BLD101" s="1251"/>
      <c r="BLE101" s="1251"/>
      <c r="BLF101" s="1251"/>
      <c r="BLG101" s="1251"/>
      <c r="BLH101" s="1251"/>
      <c r="BLI101" s="1251"/>
      <c r="BLJ101" s="1251"/>
      <c r="BLK101" s="1251"/>
      <c r="BLL101" s="1251"/>
      <c r="BLM101" s="1251"/>
      <c r="BLN101" s="1251"/>
      <c r="BLO101" s="1251"/>
      <c r="BLP101" s="1251"/>
      <c r="BLQ101" s="1251"/>
      <c r="BLR101" s="1251"/>
      <c r="BLS101" s="1251"/>
      <c r="BLT101" s="1251"/>
      <c r="BLU101" s="1251"/>
      <c r="BLV101" s="1251"/>
      <c r="BLW101" s="1251"/>
      <c r="BLX101" s="1251"/>
      <c r="BLY101" s="1251"/>
      <c r="BLZ101" s="1251"/>
      <c r="BMA101" s="1251"/>
      <c r="BMB101" s="1251"/>
      <c r="BMC101" s="1251"/>
      <c r="BMD101" s="1251"/>
      <c r="BME101" s="1251"/>
      <c r="BMF101" s="1251"/>
      <c r="BMG101" s="1251"/>
      <c r="BMH101" s="1251"/>
      <c r="BMI101" s="1251"/>
      <c r="BMJ101" s="1251"/>
      <c r="BMK101" s="1251"/>
      <c r="BML101" s="1251"/>
      <c r="BMM101" s="1251"/>
      <c r="BMN101" s="1251"/>
      <c r="BMO101" s="1251"/>
      <c r="BMP101" s="1251"/>
      <c r="BMQ101" s="1251"/>
      <c r="BMR101" s="1251"/>
      <c r="BMS101" s="1251"/>
      <c r="BMT101" s="1251"/>
      <c r="BMU101" s="1251"/>
      <c r="BMV101" s="1251"/>
      <c r="BMW101" s="1251"/>
      <c r="BMX101" s="1251"/>
      <c r="BMY101" s="1251"/>
      <c r="BMZ101" s="1251"/>
      <c r="BNA101" s="1251"/>
      <c r="BNB101" s="1251"/>
      <c r="BNC101" s="1251"/>
      <c r="BND101" s="1251"/>
      <c r="BNE101" s="1251"/>
      <c r="BNF101" s="1251"/>
      <c r="BNG101" s="1251"/>
      <c r="BNH101" s="1251"/>
      <c r="BNI101" s="1251"/>
      <c r="BNJ101" s="1251"/>
      <c r="BNK101" s="1251"/>
      <c r="BNL101" s="1251"/>
      <c r="BNM101" s="1251"/>
      <c r="BNN101" s="1251"/>
      <c r="BNO101" s="1251"/>
      <c r="BNP101" s="1251"/>
      <c r="BNQ101" s="1251"/>
      <c r="BNR101" s="1251"/>
      <c r="BNS101" s="1251"/>
      <c r="BNT101" s="1251"/>
      <c r="BNU101" s="1251"/>
      <c r="BNV101" s="1251"/>
      <c r="BNW101" s="1251"/>
      <c r="BNX101" s="1251"/>
      <c r="BNY101" s="1251"/>
      <c r="BNZ101" s="1251"/>
      <c r="BOA101" s="1251"/>
      <c r="BOB101" s="1251"/>
      <c r="BOC101" s="1251"/>
      <c r="BOD101" s="1251"/>
      <c r="BOE101" s="1251"/>
      <c r="BOF101" s="1251"/>
      <c r="BOG101" s="1251"/>
      <c r="BOH101" s="1251"/>
      <c r="BOI101" s="1251"/>
      <c r="BOJ101" s="1251"/>
      <c r="BOK101" s="1251"/>
      <c r="BOL101" s="1251"/>
      <c r="BOM101" s="1251"/>
      <c r="BON101" s="1251"/>
      <c r="BOO101" s="1251"/>
      <c r="BOP101" s="1251"/>
      <c r="BOQ101" s="1251"/>
      <c r="BOR101" s="1251"/>
      <c r="BOS101" s="1251"/>
      <c r="BOT101" s="1251"/>
      <c r="BOU101" s="1251"/>
      <c r="BOV101" s="1251"/>
      <c r="BOW101" s="1251"/>
      <c r="BOX101" s="1251"/>
      <c r="BOY101" s="1251"/>
      <c r="BOZ101" s="1251"/>
      <c r="BPA101" s="1251"/>
      <c r="BPB101" s="1251"/>
      <c r="BPC101" s="1251"/>
      <c r="BPD101" s="1251"/>
      <c r="BPE101" s="1251"/>
      <c r="BPF101" s="1251"/>
      <c r="BPG101" s="1251"/>
      <c r="BPH101" s="1251"/>
      <c r="BPI101" s="1251"/>
      <c r="BPJ101" s="1251"/>
      <c r="BPK101" s="1251"/>
      <c r="BPL101" s="1251"/>
      <c r="BPM101" s="1251"/>
      <c r="BPN101" s="1251"/>
      <c r="BPO101" s="1251"/>
      <c r="BPP101" s="1251"/>
      <c r="BPQ101" s="1251"/>
      <c r="BPR101" s="1251"/>
      <c r="BPS101" s="1251"/>
      <c r="BPT101" s="1251"/>
      <c r="BPU101" s="1251"/>
      <c r="BPV101" s="1251"/>
      <c r="BPW101" s="1251"/>
      <c r="BPX101" s="1251"/>
      <c r="BPY101" s="1251"/>
      <c r="BPZ101" s="1251"/>
      <c r="BQA101" s="1251"/>
      <c r="BQB101" s="1251"/>
      <c r="BQC101" s="1251"/>
      <c r="BQD101" s="1251"/>
      <c r="BQE101" s="1251"/>
      <c r="BQF101" s="1251"/>
      <c r="BQG101" s="1251"/>
      <c r="BQH101" s="1251"/>
      <c r="BQI101" s="1251"/>
      <c r="BQJ101" s="1251"/>
      <c r="BQK101" s="1251"/>
      <c r="BQL101" s="1251"/>
      <c r="BQM101" s="1251"/>
      <c r="BQN101" s="1251"/>
      <c r="BQO101" s="1251"/>
      <c r="BQP101" s="1251"/>
      <c r="BQQ101" s="1251"/>
      <c r="BQR101" s="1251"/>
      <c r="BQS101" s="1251"/>
      <c r="BQT101" s="1251"/>
      <c r="BQU101" s="1251"/>
      <c r="BQV101" s="1251"/>
      <c r="BQW101" s="1251"/>
      <c r="BQX101" s="1251"/>
      <c r="BQY101" s="1251"/>
      <c r="BQZ101" s="1251"/>
      <c r="BRA101" s="1251"/>
      <c r="BRB101" s="1251"/>
      <c r="BRC101" s="1251"/>
      <c r="BRD101" s="1251"/>
      <c r="BRE101" s="1251"/>
      <c r="BRF101" s="1251"/>
      <c r="BRG101" s="1251"/>
      <c r="BRH101" s="1251"/>
      <c r="BRI101" s="1251"/>
      <c r="BRJ101" s="1251"/>
      <c r="BRK101" s="1251"/>
      <c r="BRL101" s="1251"/>
      <c r="BRM101" s="1251"/>
      <c r="BRN101" s="1251"/>
      <c r="BRO101" s="1251"/>
      <c r="BRP101" s="1251"/>
      <c r="BRQ101" s="1251"/>
      <c r="BRR101" s="1251"/>
      <c r="BRS101" s="1251"/>
      <c r="BRT101" s="1251"/>
      <c r="BRU101" s="1251"/>
      <c r="BRV101" s="1251"/>
      <c r="BRW101" s="1251"/>
      <c r="BRX101" s="1251"/>
      <c r="BRY101" s="1251"/>
      <c r="BRZ101" s="1251"/>
      <c r="BSA101" s="1251"/>
      <c r="BSB101" s="1251"/>
      <c r="BSC101" s="1251"/>
      <c r="BSD101" s="1251"/>
      <c r="BSE101" s="1251"/>
      <c r="BSF101" s="1251"/>
      <c r="BSG101" s="1251"/>
      <c r="BSH101" s="1251"/>
      <c r="BSI101" s="1251"/>
      <c r="BSJ101" s="1251"/>
      <c r="BSK101" s="1251"/>
      <c r="BSL101" s="1251"/>
      <c r="BSM101" s="1251"/>
      <c r="BSN101" s="1251"/>
      <c r="BSO101" s="1251"/>
      <c r="BSP101" s="1251"/>
      <c r="BSQ101" s="1251"/>
      <c r="BSR101" s="1251"/>
      <c r="BSS101" s="1251"/>
      <c r="BST101" s="1251"/>
      <c r="BSU101" s="1251"/>
      <c r="BSV101" s="1251"/>
      <c r="BSW101" s="1251"/>
      <c r="BSX101" s="1251"/>
      <c r="BSY101" s="1251"/>
      <c r="BSZ101" s="1251"/>
      <c r="BTA101" s="1251"/>
      <c r="BTB101" s="1251"/>
      <c r="BTC101" s="1251"/>
      <c r="BTD101" s="1251"/>
      <c r="BTE101" s="1251"/>
      <c r="BTF101" s="1251"/>
      <c r="BTG101" s="1251"/>
      <c r="BTH101" s="1251"/>
      <c r="BTI101" s="1251"/>
    </row>
    <row r="102" spans="1:1881" s="1261" customFormat="1" ht="30.75" hidden="1" customHeight="1" thickBot="1" x14ac:dyDescent="0.35">
      <c r="A102" s="1248"/>
      <c r="B102" s="828" t="s">
        <v>1262</v>
      </c>
      <c r="C102" s="827"/>
      <c r="D102" s="827"/>
      <c r="E102" s="827"/>
      <c r="F102" s="827"/>
      <c r="G102" s="827"/>
      <c r="H102" s="17"/>
      <c r="I102" s="760"/>
      <c r="J102" s="1252"/>
      <c r="K102" s="1251"/>
      <c r="L102" s="701"/>
      <c r="M102" s="1251"/>
      <c r="N102" s="1253"/>
      <c r="O102" s="1251"/>
      <c r="P102" s="1251"/>
      <c r="Q102" s="1251"/>
      <c r="R102" s="1251"/>
      <c r="S102" s="1251"/>
      <c r="T102" s="1251"/>
      <c r="U102" s="1251"/>
      <c r="V102" s="1251"/>
      <c r="W102" s="1251"/>
      <c r="X102" s="1251"/>
      <c r="Y102" s="1251"/>
      <c r="Z102" s="1248"/>
      <c r="AA102" s="1248"/>
      <c r="AB102" s="1248"/>
      <c r="AC102" s="1248"/>
      <c r="AD102" s="1248"/>
      <c r="AE102" s="1248"/>
      <c r="AF102" s="1248"/>
      <c r="AG102" s="1248"/>
      <c r="AH102" s="1248"/>
      <c r="AI102" s="1248"/>
      <c r="AJ102" s="1248"/>
      <c r="AK102" s="1248"/>
      <c r="AL102" s="1248"/>
      <c r="AM102" s="1248"/>
      <c r="AN102" s="1248"/>
      <c r="AO102" s="1248"/>
      <c r="AP102" s="1248"/>
      <c r="AQ102" s="1248"/>
      <c r="AR102" s="1248"/>
      <c r="AS102" s="1251"/>
      <c r="AT102" s="1251"/>
      <c r="AU102" s="1251"/>
      <c r="AV102" s="1251"/>
      <c r="AW102" s="1251"/>
      <c r="AX102" s="1251"/>
      <c r="AY102" s="1251"/>
      <c r="AZ102" s="1251"/>
      <c r="BA102" s="1251"/>
      <c r="BB102" s="1251"/>
      <c r="BC102" s="1251"/>
      <c r="BD102" s="1251"/>
      <c r="BE102" s="1251"/>
      <c r="BF102" s="1251"/>
      <c r="BG102" s="1251"/>
      <c r="BH102" s="1251"/>
      <c r="BI102" s="1251"/>
      <c r="BJ102" s="1251"/>
      <c r="BK102" s="1251"/>
      <c r="BL102" s="1251"/>
      <c r="BM102" s="1251"/>
      <c r="BN102" s="1251"/>
      <c r="BO102" s="1251"/>
      <c r="BP102" s="1251"/>
      <c r="BQ102" s="1251"/>
      <c r="BR102" s="1251"/>
      <c r="BS102" s="1251"/>
      <c r="BT102" s="1251"/>
      <c r="BU102" s="1251"/>
      <c r="BV102" s="1251"/>
      <c r="BW102" s="1251"/>
      <c r="BX102" s="1251"/>
      <c r="BY102" s="1251"/>
      <c r="BZ102" s="1251"/>
      <c r="CA102" s="1251"/>
      <c r="CB102" s="1251"/>
      <c r="CC102" s="1251"/>
      <c r="CD102" s="1251"/>
      <c r="CE102" s="1251"/>
      <c r="CF102" s="1251"/>
      <c r="CG102" s="1251"/>
      <c r="CH102" s="1251"/>
      <c r="CI102" s="1251"/>
      <c r="CJ102" s="1251"/>
      <c r="CK102" s="1251"/>
      <c r="CL102" s="1251"/>
      <c r="CM102" s="1251"/>
      <c r="CN102" s="1251"/>
      <c r="CO102" s="1251"/>
      <c r="CP102" s="1251"/>
      <c r="CQ102" s="1251"/>
      <c r="CR102" s="1251"/>
      <c r="CS102" s="1251"/>
      <c r="CT102" s="1251"/>
      <c r="CU102" s="1251"/>
      <c r="CV102" s="1251"/>
      <c r="CW102" s="1251"/>
      <c r="CX102" s="1251"/>
      <c r="CY102" s="1251"/>
      <c r="CZ102" s="1251"/>
      <c r="DA102" s="1251"/>
      <c r="DB102" s="1251"/>
      <c r="DC102" s="1251"/>
      <c r="DD102" s="1251"/>
      <c r="DE102" s="1251"/>
      <c r="DF102" s="1251"/>
      <c r="DG102" s="1251"/>
      <c r="DH102" s="1251"/>
      <c r="DI102" s="1251"/>
      <c r="DJ102" s="1251"/>
      <c r="DK102" s="1251"/>
      <c r="DL102" s="1251"/>
      <c r="DM102" s="1251"/>
      <c r="DN102" s="1251"/>
      <c r="DO102" s="1251"/>
      <c r="DP102" s="1251"/>
      <c r="DQ102" s="1251"/>
      <c r="DR102" s="1251"/>
      <c r="DS102" s="1251"/>
      <c r="DT102" s="1251"/>
      <c r="DU102" s="1251"/>
      <c r="DV102" s="1251"/>
      <c r="DW102" s="1251"/>
      <c r="DX102" s="1251"/>
      <c r="DY102" s="1251"/>
      <c r="DZ102" s="1251"/>
      <c r="EA102" s="1251"/>
      <c r="EB102" s="1251"/>
      <c r="EC102" s="1251"/>
      <c r="ED102" s="1251"/>
      <c r="EE102" s="1251"/>
      <c r="EF102" s="1251"/>
      <c r="EG102" s="1251"/>
      <c r="EH102" s="1251"/>
      <c r="EI102" s="1251"/>
      <c r="EJ102" s="1251"/>
      <c r="EK102" s="1251"/>
      <c r="EL102" s="1251"/>
      <c r="EM102" s="1251"/>
      <c r="EN102" s="1251"/>
      <c r="EO102" s="1251"/>
      <c r="EP102" s="1251"/>
      <c r="EQ102" s="1251"/>
      <c r="ER102" s="1251"/>
      <c r="ES102" s="1251"/>
      <c r="ET102" s="1251"/>
      <c r="EU102" s="1251"/>
      <c r="EV102" s="1251"/>
      <c r="EW102" s="1251"/>
      <c r="EX102" s="1251"/>
      <c r="EY102" s="1251"/>
      <c r="EZ102" s="1251"/>
      <c r="FA102" s="1251"/>
      <c r="FB102" s="1251"/>
      <c r="FC102" s="1251"/>
      <c r="FD102" s="1251"/>
      <c r="FE102" s="1251"/>
      <c r="FF102" s="1251"/>
      <c r="FG102" s="1251"/>
      <c r="FH102" s="1251"/>
      <c r="FI102" s="1251"/>
      <c r="FJ102" s="1251"/>
      <c r="FK102" s="1251"/>
      <c r="FL102" s="1251"/>
      <c r="FM102" s="1251"/>
      <c r="FN102" s="1251"/>
      <c r="FO102" s="1251"/>
      <c r="FP102" s="1251"/>
      <c r="FQ102" s="1251"/>
      <c r="FR102" s="1251"/>
      <c r="FS102" s="1251"/>
      <c r="FT102" s="1251"/>
      <c r="FU102" s="1251"/>
      <c r="FV102" s="1251"/>
      <c r="FW102" s="1251"/>
      <c r="FX102" s="1251"/>
      <c r="FY102" s="1251"/>
      <c r="FZ102" s="1251"/>
      <c r="GA102" s="1251"/>
      <c r="GB102" s="1251"/>
      <c r="GC102" s="1251"/>
      <c r="GD102" s="1251"/>
      <c r="GE102" s="1251"/>
      <c r="GF102" s="1251"/>
      <c r="GG102" s="1251"/>
      <c r="GH102" s="1251"/>
      <c r="GI102" s="1251"/>
      <c r="GJ102" s="1251"/>
      <c r="GK102" s="1251"/>
      <c r="GL102" s="1251"/>
      <c r="GM102" s="1251"/>
      <c r="GN102" s="1251"/>
      <c r="GO102" s="1251"/>
      <c r="GP102" s="1251"/>
      <c r="GQ102" s="1251"/>
      <c r="GR102" s="1251"/>
      <c r="GS102" s="1251"/>
      <c r="GT102" s="1251"/>
      <c r="GU102" s="1251"/>
      <c r="GV102" s="1251"/>
      <c r="GW102" s="1251"/>
      <c r="GX102" s="1251"/>
      <c r="GY102" s="1251"/>
      <c r="GZ102" s="1251"/>
      <c r="HA102" s="1251"/>
      <c r="HB102" s="1251"/>
      <c r="HC102" s="1251"/>
      <c r="HD102" s="1251"/>
      <c r="HE102" s="1251"/>
      <c r="HF102" s="1251"/>
      <c r="HG102" s="1251"/>
      <c r="HH102" s="1251"/>
      <c r="HI102" s="1251"/>
      <c r="HJ102" s="1251"/>
      <c r="HK102" s="1251"/>
      <c r="HL102" s="1251"/>
      <c r="HM102" s="1251"/>
      <c r="HN102" s="1251"/>
      <c r="HO102" s="1251"/>
      <c r="HP102" s="1251"/>
      <c r="HQ102" s="1251"/>
      <c r="HR102" s="1251"/>
      <c r="HS102" s="1251"/>
      <c r="HT102" s="1251"/>
      <c r="HU102" s="1251"/>
      <c r="HV102" s="1251"/>
      <c r="HW102" s="1251"/>
      <c r="HX102" s="1251"/>
      <c r="HY102" s="1251"/>
      <c r="HZ102" s="1251"/>
      <c r="IA102" s="1251"/>
      <c r="IB102" s="1251"/>
      <c r="IC102" s="1251"/>
      <c r="ID102" s="1251"/>
      <c r="IE102" s="1251"/>
      <c r="IF102" s="1251"/>
      <c r="IG102" s="1251"/>
      <c r="IH102" s="1251"/>
      <c r="II102" s="1251"/>
      <c r="IJ102" s="1251"/>
      <c r="IK102" s="1251"/>
      <c r="IL102" s="1251"/>
      <c r="IM102" s="1251"/>
      <c r="IN102" s="1251"/>
      <c r="IO102" s="1251"/>
      <c r="IP102" s="1251"/>
      <c r="IQ102" s="1251"/>
      <c r="IR102" s="1251"/>
      <c r="IS102" s="1251"/>
      <c r="IT102" s="1251"/>
      <c r="IU102" s="1251"/>
      <c r="IV102" s="1251"/>
      <c r="IW102" s="1251"/>
      <c r="IX102" s="1251"/>
      <c r="IY102" s="1251"/>
      <c r="IZ102" s="1251"/>
      <c r="JA102" s="1251"/>
      <c r="JB102" s="1251"/>
      <c r="JC102" s="1251"/>
      <c r="JD102" s="1251"/>
      <c r="JE102" s="1251"/>
      <c r="JF102" s="1251"/>
      <c r="JG102" s="1251"/>
      <c r="JH102" s="1251"/>
      <c r="JI102" s="1251"/>
      <c r="JJ102" s="1251"/>
      <c r="JK102" s="1251"/>
      <c r="JL102" s="1251"/>
      <c r="JM102" s="1251"/>
      <c r="JN102" s="1251"/>
      <c r="JO102" s="1251"/>
      <c r="JP102" s="1251"/>
      <c r="JQ102" s="1251"/>
      <c r="JR102" s="1251"/>
      <c r="JS102" s="1251"/>
      <c r="JT102" s="1251"/>
      <c r="JU102" s="1251"/>
      <c r="JV102" s="1251"/>
      <c r="JW102" s="1251"/>
      <c r="JX102" s="1251"/>
      <c r="JY102" s="1251"/>
      <c r="JZ102" s="1251"/>
      <c r="KA102" s="1251"/>
      <c r="KB102" s="1251"/>
      <c r="KC102" s="1251"/>
      <c r="KD102" s="1251"/>
      <c r="KE102" s="1251"/>
      <c r="KF102" s="1251"/>
      <c r="KG102" s="1251"/>
      <c r="KH102" s="1251"/>
      <c r="KI102" s="1251"/>
      <c r="KJ102" s="1251"/>
      <c r="KK102" s="1251"/>
      <c r="KL102" s="1251"/>
      <c r="KM102" s="1251"/>
      <c r="KN102" s="1251"/>
      <c r="KO102" s="1251"/>
      <c r="KP102" s="1251"/>
      <c r="KQ102" s="1251"/>
      <c r="KR102" s="1251"/>
      <c r="KS102" s="1251"/>
      <c r="KT102" s="1251"/>
      <c r="KU102" s="1251"/>
      <c r="KV102" s="1251"/>
      <c r="KW102" s="1251"/>
      <c r="KX102" s="1251"/>
      <c r="KY102" s="1251"/>
      <c r="KZ102" s="1251"/>
      <c r="LA102" s="1251"/>
      <c r="LB102" s="1251"/>
      <c r="LC102" s="1251"/>
      <c r="LD102" s="1251"/>
      <c r="LE102" s="1251"/>
      <c r="LF102" s="1251"/>
      <c r="LG102" s="1251"/>
      <c r="LH102" s="1251"/>
      <c r="LI102" s="1251"/>
      <c r="LJ102" s="1251"/>
      <c r="LK102" s="1251"/>
      <c r="LL102" s="1251"/>
      <c r="LM102" s="1251"/>
      <c r="LN102" s="1251"/>
      <c r="LO102" s="1251"/>
      <c r="LP102" s="1251"/>
      <c r="LQ102" s="1251"/>
      <c r="LR102" s="1251"/>
      <c r="LS102" s="1251"/>
      <c r="LT102" s="1251"/>
      <c r="LU102" s="1251"/>
      <c r="LV102" s="1251"/>
      <c r="LW102" s="1251"/>
      <c r="LX102" s="1251"/>
      <c r="LY102" s="1251"/>
      <c r="LZ102" s="1251"/>
      <c r="MA102" s="1251"/>
      <c r="MB102" s="1251"/>
      <c r="MC102" s="1251"/>
      <c r="MD102" s="1251"/>
      <c r="ME102" s="1251"/>
      <c r="MF102" s="1251"/>
      <c r="MG102" s="1251"/>
      <c r="MH102" s="1251"/>
      <c r="MI102" s="1251"/>
      <c r="MJ102" s="1251"/>
      <c r="MK102" s="1251"/>
      <c r="ML102" s="1251"/>
      <c r="MM102" s="1251"/>
      <c r="MN102" s="1251"/>
      <c r="MO102" s="1251"/>
      <c r="MP102" s="1251"/>
      <c r="MQ102" s="1251"/>
      <c r="MR102" s="1251"/>
      <c r="MS102" s="1251"/>
      <c r="MT102" s="1251"/>
      <c r="MU102" s="1251"/>
      <c r="MV102" s="1251"/>
      <c r="MW102" s="1251"/>
      <c r="MX102" s="1251"/>
      <c r="MY102" s="1251"/>
      <c r="MZ102" s="1251"/>
      <c r="NA102" s="1251"/>
      <c r="NB102" s="1251"/>
      <c r="NC102" s="1251"/>
      <c r="ND102" s="1251"/>
      <c r="NE102" s="1251"/>
      <c r="NF102" s="1251"/>
      <c r="NG102" s="1251"/>
      <c r="NH102" s="1251"/>
      <c r="NI102" s="1251"/>
      <c r="NJ102" s="1251"/>
      <c r="NK102" s="1251"/>
      <c r="NL102" s="1251"/>
      <c r="NM102" s="1251"/>
      <c r="NN102" s="1251"/>
      <c r="NO102" s="1251"/>
      <c r="NP102" s="1251"/>
      <c r="NQ102" s="1251"/>
      <c r="NR102" s="1251"/>
      <c r="NS102" s="1251"/>
      <c r="NT102" s="1251"/>
      <c r="NU102" s="1251"/>
      <c r="NV102" s="1251"/>
      <c r="NW102" s="1251"/>
      <c r="NX102" s="1251"/>
      <c r="NY102" s="1251"/>
      <c r="NZ102" s="1251"/>
      <c r="OA102" s="1251"/>
      <c r="OB102" s="1251"/>
      <c r="OC102" s="1251"/>
      <c r="OD102" s="1251"/>
      <c r="OE102" s="1251"/>
      <c r="OF102" s="1251"/>
      <c r="OG102" s="1251"/>
      <c r="OH102" s="1251"/>
      <c r="OI102" s="1251"/>
      <c r="OJ102" s="1251"/>
      <c r="OK102" s="1251"/>
      <c r="OL102" s="1251"/>
      <c r="OM102" s="1251"/>
      <c r="ON102" s="1251"/>
      <c r="OO102" s="1251"/>
      <c r="OP102" s="1251"/>
      <c r="OQ102" s="1251"/>
      <c r="OR102" s="1251"/>
      <c r="OS102" s="1251"/>
      <c r="OT102" s="1251"/>
      <c r="OU102" s="1251"/>
      <c r="OV102" s="1251"/>
      <c r="OW102" s="1251"/>
      <c r="OX102" s="1251"/>
      <c r="OY102" s="1251"/>
      <c r="OZ102" s="1251"/>
      <c r="PA102" s="1251"/>
      <c r="PB102" s="1251"/>
      <c r="PC102" s="1251"/>
      <c r="PD102" s="1251"/>
      <c r="PE102" s="1251"/>
      <c r="PF102" s="1251"/>
      <c r="PG102" s="1251"/>
      <c r="PH102" s="1251"/>
      <c r="PI102" s="1251"/>
      <c r="PJ102" s="1251"/>
      <c r="PK102" s="1251"/>
      <c r="PL102" s="1251"/>
      <c r="PM102" s="1251"/>
      <c r="PN102" s="1251"/>
      <c r="PO102" s="1251"/>
      <c r="PP102" s="1251"/>
      <c r="PQ102" s="1251"/>
      <c r="PR102" s="1251"/>
      <c r="PS102" s="1251"/>
      <c r="PT102" s="1251"/>
      <c r="PU102" s="1251"/>
      <c r="PV102" s="1251"/>
      <c r="PW102" s="1251"/>
      <c r="PX102" s="1251"/>
      <c r="PY102" s="1251"/>
      <c r="PZ102" s="1251"/>
      <c r="QA102" s="1251"/>
      <c r="QB102" s="1251"/>
      <c r="QC102" s="1251"/>
      <c r="QD102" s="1251"/>
      <c r="QE102" s="1251"/>
      <c r="QF102" s="1251"/>
      <c r="QG102" s="1251"/>
      <c r="QH102" s="1251"/>
      <c r="QI102" s="1251"/>
      <c r="QJ102" s="1251"/>
      <c r="QK102" s="1251"/>
      <c r="QL102" s="1251"/>
      <c r="QM102" s="1251"/>
      <c r="QN102" s="1251"/>
      <c r="QO102" s="1251"/>
      <c r="QP102" s="1251"/>
      <c r="QQ102" s="1251"/>
      <c r="QR102" s="1251"/>
      <c r="QS102" s="1251"/>
      <c r="QT102" s="1251"/>
      <c r="QU102" s="1251"/>
      <c r="QV102" s="1251"/>
      <c r="QW102" s="1251"/>
      <c r="QX102" s="1251"/>
      <c r="QY102" s="1251"/>
      <c r="QZ102" s="1251"/>
      <c r="RA102" s="1251"/>
      <c r="RB102" s="1251"/>
      <c r="RC102" s="1251"/>
      <c r="RD102" s="1251"/>
      <c r="RE102" s="1251"/>
      <c r="RF102" s="1251"/>
      <c r="RG102" s="1251"/>
      <c r="RH102" s="1251"/>
      <c r="RI102" s="1251"/>
      <c r="RJ102" s="1251"/>
      <c r="RK102" s="1251"/>
      <c r="RL102" s="1251"/>
      <c r="RM102" s="1251"/>
      <c r="RN102" s="1251"/>
      <c r="RO102" s="1251"/>
      <c r="RP102" s="1251"/>
      <c r="RQ102" s="1251"/>
      <c r="RR102" s="1251"/>
      <c r="RS102" s="1251"/>
      <c r="RT102" s="1251"/>
      <c r="RU102" s="1251"/>
      <c r="RV102" s="1251"/>
      <c r="RW102" s="1251"/>
      <c r="RX102" s="1251"/>
      <c r="RY102" s="1251"/>
      <c r="RZ102" s="1251"/>
      <c r="SA102" s="1251"/>
      <c r="SB102" s="1251"/>
      <c r="SC102" s="1251"/>
      <c r="SD102" s="1251"/>
      <c r="SE102" s="1251"/>
      <c r="SF102" s="1251"/>
      <c r="SG102" s="1251"/>
      <c r="SH102" s="1251"/>
      <c r="SI102" s="1251"/>
      <c r="SJ102" s="1251"/>
      <c r="SK102" s="1251"/>
      <c r="SL102" s="1251"/>
      <c r="SM102" s="1251"/>
      <c r="SN102" s="1251"/>
      <c r="SO102" s="1251"/>
      <c r="SP102" s="1251"/>
      <c r="SQ102" s="1251"/>
      <c r="SR102" s="1251"/>
      <c r="SS102" s="1251"/>
      <c r="ST102" s="1251"/>
      <c r="SU102" s="1251"/>
      <c r="SV102" s="1251"/>
      <c r="SW102" s="1251"/>
      <c r="SX102" s="1251"/>
      <c r="SY102" s="1251"/>
      <c r="SZ102" s="1251"/>
      <c r="TA102" s="1251"/>
      <c r="TB102" s="1251"/>
      <c r="TC102" s="1251"/>
      <c r="TD102" s="1251"/>
      <c r="TE102" s="1251"/>
      <c r="TF102" s="1251"/>
      <c r="TG102" s="1251"/>
      <c r="TH102" s="1251"/>
      <c r="TI102" s="1251"/>
      <c r="TJ102" s="1251"/>
      <c r="TK102" s="1251"/>
      <c r="TL102" s="1251"/>
      <c r="TM102" s="1251"/>
      <c r="TN102" s="1251"/>
      <c r="TO102" s="1251"/>
      <c r="TP102" s="1251"/>
      <c r="TQ102" s="1251"/>
      <c r="TR102" s="1251"/>
      <c r="TS102" s="1251"/>
      <c r="TT102" s="1251"/>
      <c r="TU102" s="1251"/>
      <c r="TV102" s="1251"/>
      <c r="TW102" s="1251"/>
      <c r="TX102" s="1251"/>
      <c r="TY102" s="1251"/>
      <c r="TZ102" s="1251"/>
      <c r="UA102" s="1251"/>
      <c r="UB102" s="1251"/>
      <c r="UC102" s="1251"/>
      <c r="UD102" s="1251"/>
      <c r="UE102" s="1251"/>
      <c r="UF102" s="1251"/>
      <c r="UG102" s="1251"/>
      <c r="UH102" s="1251"/>
      <c r="UI102" s="1251"/>
      <c r="UJ102" s="1251"/>
      <c r="UK102" s="1251"/>
      <c r="UL102" s="1251"/>
      <c r="UM102" s="1251"/>
      <c r="UN102" s="1251"/>
      <c r="UO102" s="1251"/>
      <c r="UP102" s="1251"/>
      <c r="UQ102" s="1251"/>
      <c r="UR102" s="1251"/>
      <c r="US102" s="1251"/>
      <c r="UT102" s="1251"/>
      <c r="UU102" s="1251"/>
      <c r="UV102" s="1251"/>
      <c r="UW102" s="1251"/>
      <c r="UX102" s="1251"/>
      <c r="UY102" s="1251"/>
      <c r="UZ102" s="1251"/>
      <c r="VA102" s="1251"/>
      <c r="VB102" s="1251"/>
      <c r="VC102" s="1251"/>
      <c r="VD102" s="1251"/>
      <c r="VE102" s="1251"/>
      <c r="VF102" s="1251"/>
      <c r="VG102" s="1251"/>
      <c r="VH102" s="1251"/>
      <c r="VI102" s="1251"/>
      <c r="VJ102" s="1251"/>
      <c r="VK102" s="1251"/>
      <c r="VL102" s="1251"/>
      <c r="VM102" s="1251"/>
      <c r="VN102" s="1251"/>
      <c r="VO102" s="1251"/>
      <c r="VP102" s="1251"/>
      <c r="VQ102" s="1251"/>
      <c r="VR102" s="1251"/>
      <c r="VS102" s="1251"/>
      <c r="VT102" s="1251"/>
      <c r="VU102" s="1251"/>
      <c r="VV102" s="1251"/>
      <c r="VW102" s="1251"/>
      <c r="VX102" s="1251"/>
      <c r="VY102" s="1251"/>
      <c r="VZ102" s="1251"/>
      <c r="WA102" s="1251"/>
      <c r="WB102" s="1251"/>
      <c r="WC102" s="1251"/>
      <c r="WD102" s="1251"/>
      <c r="WE102" s="1251"/>
      <c r="WF102" s="1251"/>
      <c r="WG102" s="1251"/>
      <c r="WH102" s="1251"/>
      <c r="WI102" s="1251"/>
      <c r="WJ102" s="1251"/>
      <c r="WK102" s="1251"/>
      <c r="WL102" s="1251"/>
      <c r="WM102" s="1251"/>
      <c r="WN102" s="1251"/>
      <c r="WO102" s="1251"/>
      <c r="WP102" s="1251"/>
      <c r="WQ102" s="1251"/>
      <c r="WR102" s="1251"/>
      <c r="WS102" s="1251"/>
      <c r="WT102" s="1251"/>
      <c r="WU102" s="1251"/>
      <c r="WV102" s="1251"/>
      <c r="WW102" s="1251"/>
      <c r="WX102" s="1251"/>
      <c r="WY102" s="1251"/>
      <c r="WZ102" s="1251"/>
      <c r="XA102" s="1251"/>
      <c r="XB102" s="1251"/>
      <c r="XC102" s="1251"/>
      <c r="XD102" s="1251"/>
      <c r="XE102" s="1251"/>
      <c r="XF102" s="1251"/>
      <c r="XG102" s="1251"/>
      <c r="XH102" s="1251"/>
      <c r="XI102" s="1251"/>
      <c r="XJ102" s="1251"/>
      <c r="XK102" s="1251"/>
      <c r="XL102" s="1251"/>
      <c r="XM102" s="1251"/>
      <c r="XN102" s="1251"/>
      <c r="XO102" s="1251"/>
      <c r="XP102" s="1251"/>
      <c r="XQ102" s="1251"/>
      <c r="XR102" s="1251"/>
      <c r="XS102" s="1251"/>
      <c r="XT102" s="1251"/>
      <c r="XU102" s="1251"/>
      <c r="XV102" s="1251"/>
      <c r="XW102" s="1251"/>
      <c r="XX102" s="1251"/>
      <c r="XY102" s="1251"/>
      <c r="XZ102" s="1251"/>
      <c r="YA102" s="1251"/>
      <c r="YB102" s="1251"/>
      <c r="YC102" s="1251"/>
      <c r="YD102" s="1251"/>
      <c r="YE102" s="1251"/>
      <c r="YF102" s="1251"/>
      <c r="YG102" s="1251"/>
      <c r="YH102" s="1251"/>
      <c r="YI102" s="1251"/>
      <c r="YJ102" s="1251"/>
      <c r="YK102" s="1251"/>
      <c r="YL102" s="1251"/>
      <c r="YM102" s="1251"/>
      <c r="YN102" s="1251"/>
      <c r="YO102" s="1251"/>
      <c r="YP102" s="1251"/>
      <c r="YQ102" s="1251"/>
      <c r="YR102" s="1251"/>
      <c r="YS102" s="1251"/>
      <c r="YT102" s="1251"/>
      <c r="YU102" s="1251"/>
      <c r="YV102" s="1251"/>
      <c r="YW102" s="1251"/>
      <c r="YX102" s="1251"/>
      <c r="YY102" s="1251"/>
      <c r="YZ102" s="1251"/>
      <c r="ZA102" s="1251"/>
      <c r="ZB102" s="1251"/>
      <c r="ZC102" s="1251"/>
      <c r="ZD102" s="1251"/>
      <c r="ZE102" s="1251"/>
      <c r="ZF102" s="1251"/>
      <c r="ZG102" s="1251"/>
      <c r="ZH102" s="1251"/>
      <c r="ZI102" s="1251"/>
      <c r="ZJ102" s="1251"/>
      <c r="ZK102" s="1251"/>
      <c r="ZL102" s="1251"/>
      <c r="ZM102" s="1251"/>
      <c r="ZN102" s="1251"/>
      <c r="ZO102" s="1251"/>
      <c r="ZP102" s="1251"/>
      <c r="ZQ102" s="1251"/>
      <c r="ZR102" s="1251"/>
      <c r="ZS102" s="1251"/>
      <c r="ZT102" s="1251"/>
      <c r="ZU102" s="1251"/>
      <c r="ZV102" s="1251"/>
      <c r="ZW102" s="1251"/>
      <c r="ZX102" s="1251"/>
      <c r="ZY102" s="1251"/>
      <c r="ZZ102" s="1251"/>
      <c r="AAA102" s="1251"/>
      <c r="AAB102" s="1251"/>
      <c r="AAC102" s="1251"/>
      <c r="AAD102" s="1251"/>
      <c r="AAE102" s="1251"/>
      <c r="AAF102" s="1251"/>
      <c r="AAG102" s="1251"/>
      <c r="AAH102" s="1251"/>
      <c r="AAI102" s="1251"/>
      <c r="AAJ102" s="1251"/>
      <c r="AAK102" s="1251"/>
      <c r="AAL102" s="1251"/>
      <c r="AAM102" s="1251"/>
      <c r="AAN102" s="1251"/>
      <c r="AAO102" s="1251"/>
      <c r="AAP102" s="1251"/>
      <c r="AAQ102" s="1251"/>
      <c r="AAR102" s="1251"/>
      <c r="AAS102" s="1251"/>
      <c r="AAT102" s="1251"/>
      <c r="AAU102" s="1251"/>
      <c r="AAV102" s="1251"/>
      <c r="AAW102" s="1251"/>
      <c r="AAX102" s="1251"/>
      <c r="AAY102" s="1251"/>
      <c r="AAZ102" s="1251"/>
      <c r="ABA102" s="1251"/>
      <c r="ABB102" s="1251"/>
      <c r="ABC102" s="1251"/>
      <c r="ABD102" s="1251"/>
      <c r="ABE102" s="1251"/>
      <c r="ABF102" s="1251"/>
      <c r="ABG102" s="1251"/>
      <c r="ABH102" s="1251"/>
      <c r="ABI102" s="1251"/>
      <c r="ABJ102" s="1251"/>
      <c r="ABK102" s="1251"/>
      <c r="ABL102" s="1251"/>
      <c r="ABM102" s="1251"/>
      <c r="ABN102" s="1251"/>
      <c r="ABO102" s="1251"/>
      <c r="ABP102" s="1251"/>
      <c r="ABQ102" s="1251"/>
      <c r="ABR102" s="1251"/>
      <c r="ABS102" s="1251"/>
      <c r="ABT102" s="1251"/>
      <c r="ABU102" s="1251"/>
      <c r="ABV102" s="1251"/>
      <c r="ABW102" s="1251"/>
      <c r="ABX102" s="1251"/>
      <c r="ABY102" s="1251"/>
      <c r="ABZ102" s="1251"/>
      <c r="ACA102" s="1251"/>
      <c r="ACB102" s="1251"/>
      <c r="ACC102" s="1251"/>
      <c r="ACD102" s="1251"/>
      <c r="ACE102" s="1251"/>
      <c r="ACF102" s="1251"/>
      <c r="ACG102" s="1251"/>
      <c r="ACH102" s="1251"/>
      <c r="ACI102" s="1251"/>
      <c r="ACJ102" s="1251"/>
      <c r="ACK102" s="1251"/>
      <c r="ACL102" s="1251"/>
      <c r="ACM102" s="1251"/>
      <c r="ACN102" s="1251"/>
      <c r="ACO102" s="1251"/>
      <c r="ACP102" s="1251"/>
      <c r="ACQ102" s="1251"/>
      <c r="ACR102" s="1251"/>
      <c r="ACS102" s="1251"/>
      <c r="ACT102" s="1251"/>
      <c r="ACU102" s="1251"/>
      <c r="ACV102" s="1251"/>
      <c r="ACW102" s="1251"/>
      <c r="ACX102" s="1251"/>
      <c r="ACY102" s="1251"/>
      <c r="ACZ102" s="1251"/>
      <c r="ADA102" s="1251"/>
      <c r="ADB102" s="1251"/>
      <c r="ADC102" s="1251"/>
      <c r="ADD102" s="1251"/>
      <c r="ADE102" s="1251"/>
      <c r="ADF102" s="1251"/>
      <c r="ADG102" s="1251"/>
      <c r="ADH102" s="1251"/>
      <c r="ADI102" s="1251"/>
      <c r="ADJ102" s="1251"/>
      <c r="ADK102" s="1251"/>
      <c r="ADL102" s="1251"/>
      <c r="ADM102" s="1251"/>
      <c r="ADN102" s="1251"/>
      <c r="ADO102" s="1251"/>
      <c r="ADP102" s="1251"/>
      <c r="ADQ102" s="1251"/>
      <c r="ADR102" s="1251"/>
      <c r="ADS102" s="1251"/>
      <c r="ADT102" s="1251"/>
      <c r="ADU102" s="1251"/>
      <c r="ADV102" s="1251"/>
      <c r="ADW102" s="1251"/>
      <c r="ADX102" s="1251"/>
      <c r="ADY102" s="1251"/>
      <c r="ADZ102" s="1251"/>
      <c r="AEA102" s="1251"/>
      <c r="AEB102" s="1251"/>
      <c r="AEC102" s="1251"/>
      <c r="AED102" s="1251"/>
      <c r="AEE102" s="1251"/>
      <c r="AEF102" s="1251"/>
      <c r="AEG102" s="1251"/>
      <c r="AEH102" s="1251"/>
      <c r="AEI102" s="1251"/>
      <c r="AEJ102" s="1251"/>
      <c r="AEK102" s="1251"/>
      <c r="AEL102" s="1251"/>
      <c r="AEM102" s="1251"/>
      <c r="AEN102" s="1251"/>
      <c r="AEO102" s="1251"/>
      <c r="AEP102" s="1251"/>
      <c r="AEQ102" s="1251"/>
      <c r="AER102" s="1251"/>
      <c r="AES102" s="1251"/>
      <c r="AET102" s="1251"/>
      <c r="AEU102" s="1251"/>
      <c r="AEV102" s="1251"/>
      <c r="AEW102" s="1251"/>
      <c r="AEX102" s="1251"/>
      <c r="AEY102" s="1251"/>
      <c r="AEZ102" s="1251"/>
      <c r="AFA102" s="1251"/>
      <c r="AFB102" s="1251"/>
      <c r="AFC102" s="1251"/>
      <c r="AFD102" s="1251"/>
      <c r="AFE102" s="1251"/>
      <c r="AFF102" s="1251"/>
      <c r="AFG102" s="1251"/>
      <c r="AFH102" s="1251"/>
      <c r="AFI102" s="1251"/>
      <c r="AFJ102" s="1251"/>
      <c r="AFK102" s="1251"/>
      <c r="AFL102" s="1251"/>
      <c r="AFM102" s="1251"/>
      <c r="AFN102" s="1251"/>
      <c r="AFO102" s="1251"/>
      <c r="AFP102" s="1251"/>
      <c r="AFQ102" s="1251"/>
      <c r="AFR102" s="1251"/>
      <c r="AFS102" s="1251"/>
      <c r="AFT102" s="1251"/>
      <c r="AFU102" s="1251"/>
      <c r="AFV102" s="1251"/>
      <c r="AFW102" s="1251"/>
      <c r="AFX102" s="1251"/>
      <c r="AFY102" s="1251"/>
      <c r="AFZ102" s="1251"/>
      <c r="AGA102" s="1251"/>
      <c r="AGB102" s="1251"/>
      <c r="AGC102" s="1251"/>
      <c r="AGD102" s="1251"/>
      <c r="AGE102" s="1251"/>
      <c r="AGF102" s="1251"/>
      <c r="AGG102" s="1251"/>
      <c r="AGH102" s="1251"/>
      <c r="AGI102" s="1251"/>
      <c r="AGJ102" s="1251"/>
      <c r="AGK102" s="1251"/>
      <c r="AGL102" s="1251"/>
      <c r="AGM102" s="1251"/>
      <c r="AGN102" s="1251"/>
      <c r="AGO102" s="1251"/>
      <c r="AGP102" s="1251"/>
      <c r="AGQ102" s="1251"/>
      <c r="AGR102" s="1251"/>
      <c r="AGS102" s="1251"/>
      <c r="AGT102" s="1251"/>
      <c r="AGU102" s="1251"/>
      <c r="AGV102" s="1251"/>
      <c r="AGW102" s="1251"/>
      <c r="AGX102" s="1251"/>
      <c r="AGY102" s="1251"/>
      <c r="AGZ102" s="1251"/>
      <c r="AHA102" s="1251"/>
      <c r="AHB102" s="1251"/>
      <c r="AHC102" s="1251"/>
      <c r="AHD102" s="1251"/>
      <c r="AHE102" s="1251"/>
      <c r="AHF102" s="1251"/>
      <c r="AHG102" s="1251"/>
      <c r="AHH102" s="1251"/>
      <c r="AHI102" s="1251"/>
      <c r="AHJ102" s="1251"/>
      <c r="AHK102" s="1251"/>
      <c r="AHL102" s="1251"/>
      <c r="AHM102" s="1251"/>
      <c r="AHN102" s="1251"/>
      <c r="AHO102" s="1251"/>
      <c r="AHP102" s="1251"/>
      <c r="AHQ102" s="1251"/>
      <c r="AHR102" s="1251"/>
      <c r="AHS102" s="1251"/>
      <c r="AHT102" s="1251"/>
      <c r="AHU102" s="1251"/>
      <c r="AHV102" s="1251"/>
      <c r="AHW102" s="1251"/>
      <c r="AHX102" s="1251"/>
      <c r="AHY102" s="1251"/>
      <c r="AHZ102" s="1251"/>
      <c r="AIA102" s="1251"/>
      <c r="AIB102" s="1251"/>
      <c r="AIC102" s="1251"/>
      <c r="AID102" s="1251"/>
      <c r="AIE102" s="1251"/>
      <c r="AIF102" s="1251"/>
      <c r="AIG102" s="1251"/>
      <c r="AIH102" s="1251"/>
      <c r="AII102" s="1251"/>
      <c r="AIJ102" s="1251"/>
      <c r="AIK102" s="1251"/>
      <c r="AIL102" s="1251"/>
      <c r="AIM102" s="1251"/>
      <c r="AIN102" s="1251"/>
      <c r="AIO102" s="1251"/>
      <c r="AIP102" s="1251"/>
      <c r="AIQ102" s="1251"/>
      <c r="AIR102" s="1251"/>
      <c r="AIS102" s="1251"/>
      <c r="AIT102" s="1251"/>
      <c r="AIU102" s="1251"/>
      <c r="AIV102" s="1251"/>
      <c r="AIW102" s="1251"/>
      <c r="AIX102" s="1251"/>
      <c r="AIY102" s="1251"/>
      <c r="AIZ102" s="1251"/>
      <c r="AJA102" s="1251"/>
      <c r="AJB102" s="1251"/>
      <c r="AJC102" s="1251"/>
      <c r="AJD102" s="1251"/>
      <c r="AJE102" s="1251"/>
      <c r="AJF102" s="1251"/>
      <c r="AJG102" s="1251"/>
      <c r="AJH102" s="1251"/>
      <c r="AJI102" s="1251"/>
      <c r="AJJ102" s="1251"/>
      <c r="AJK102" s="1251"/>
      <c r="AJL102" s="1251"/>
      <c r="AJM102" s="1251"/>
      <c r="AJN102" s="1251"/>
      <c r="AJO102" s="1251"/>
      <c r="AJP102" s="1251"/>
      <c r="AJQ102" s="1251"/>
      <c r="AJR102" s="1251"/>
      <c r="AJS102" s="1251"/>
      <c r="AJT102" s="1251"/>
      <c r="AJU102" s="1251"/>
      <c r="AJV102" s="1251"/>
      <c r="AJW102" s="1251"/>
      <c r="AJX102" s="1251"/>
      <c r="AJY102" s="1251"/>
      <c r="AJZ102" s="1251"/>
      <c r="AKA102" s="1251"/>
      <c r="AKB102" s="1251"/>
      <c r="AKC102" s="1251"/>
      <c r="AKD102" s="1251"/>
      <c r="AKE102" s="1251"/>
      <c r="AKF102" s="1251"/>
      <c r="AKG102" s="1251"/>
      <c r="AKH102" s="1251"/>
      <c r="AKI102" s="1251"/>
      <c r="AKJ102" s="1251"/>
      <c r="AKK102" s="1251"/>
      <c r="AKL102" s="1251"/>
      <c r="AKM102" s="1251"/>
      <c r="AKN102" s="1251"/>
      <c r="AKO102" s="1251"/>
      <c r="AKP102" s="1251"/>
      <c r="AKQ102" s="1251"/>
      <c r="AKR102" s="1251"/>
      <c r="AKS102" s="1251"/>
      <c r="AKT102" s="1251"/>
      <c r="AKU102" s="1251"/>
      <c r="AKV102" s="1251"/>
      <c r="AKW102" s="1251"/>
      <c r="AKX102" s="1251"/>
      <c r="AKY102" s="1251"/>
      <c r="AKZ102" s="1251"/>
      <c r="ALA102" s="1251"/>
      <c r="ALB102" s="1251"/>
      <c r="ALC102" s="1251"/>
      <c r="ALD102" s="1251"/>
      <c r="ALE102" s="1251"/>
      <c r="ALF102" s="1251"/>
      <c r="ALG102" s="1251"/>
      <c r="ALH102" s="1251"/>
      <c r="ALI102" s="1251"/>
      <c r="ALJ102" s="1251"/>
      <c r="ALK102" s="1251"/>
      <c r="ALL102" s="1251"/>
      <c r="ALM102" s="1251"/>
      <c r="ALN102" s="1251"/>
      <c r="ALO102" s="1251"/>
      <c r="ALP102" s="1251"/>
      <c r="ALQ102" s="1251"/>
      <c r="ALR102" s="1251"/>
      <c r="ALS102" s="1251"/>
      <c r="ALT102" s="1251"/>
      <c r="ALU102" s="1251"/>
      <c r="ALV102" s="1251"/>
      <c r="ALW102" s="1251"/>
      <c r="ALX102" s="1251"/>
      <c r="ALY102" s="1251"/>
      <c r="ALZ102" s="1251"/>
      <c r="AMA102" s="1251"/>
      <c r="AMB102" s="1251"/>
      <c r="AMC102" s="1251"/>
      <c r="AMD102" s="1251"/>
      <c r="AME102" s="1251"/>
      <c r="AMF102" s="1251"/>
      <c r="AMG102" s="1251"/>
      <c r="AMH102" s="1251"/>
      <c r="AMI102" s="1251"/>
      <c r="AMJ102" s="1251"/>
      <c r="AMK102" s="1251"/>
      <c r="AML102" s="1251"/>
      <c r="AMM102" s="1251"/>
      <c r="AMN102" s="1251"/>
      <c r="AMO102" s="1251"/>
      <c r="AMP102" s="1251"/>
      <c r="AMQ102" s="1251"/>
      <c r="AMR102" s="1251"/>
      <c r="AMS102" s="1251"/>
      <c r="AMT102" s="1251"/>
      <c r="AMU102" s="1251"/>
      <c r="AMV102" s="1251"/>
      <c r="AMW102" s="1251"/>
      <c r="AMX102" s="1251"/>
      <c r="AMY102" s="1251"/>
      <c r="AMZ102" s="1251"/>
      <c r="ANA102" s="1251"/>
      <c r="ANB102" s="1251"/>
      <c r="ANC102" s="1251"/>
      <c r="AND102" s="1251"/>
      <c r="ANE102" s="1251"/>
      <c r="ANF102" s="1251"/>
      <c r="ANG102" s="1251"/>
      <c r="ANH102" s="1251"/>
      <c r="ANI102" s="1251"/>
      <c r="ANJ102" s="1251"/>
      <c r="ANK102" s="1251"/>
      <c r="ANL102" s="1251"/>
      <c r="ANM102" s="1251"/>
      <c r="ANN102" s="1251"/>
      <c r="ANO102" s="1251"/>
      <c r="ANP102" s="1251"/>
      <c r="ANQ102" s="1251"/>
      <c r="ANR102" s="1251"/>
      <c r="ANS102" s="1251"/>
      <c r="ANT102" s="1251"/>
      <c r="ANU102" s="1251"/>
      <c r="ANV102" s="1251"/>
      <c r="ANW102" s="1251"/>
      <c r="ANX102" s="1251"/>
      <c r="ANY102" s="1251"/>
      <c r="ANZ102" s="1251"/>
      <c r="AOA102" s="1251"/>
      <c r="AOB102" s="1251"/>
      <c r="AOC102" s="1251"/>
      <c r="AOD102" s="1251"/>
      <c r="AOE102" s="1251"/>
      <c r="AOF102" s="1251"/>
      <c r="AOG102" s="1251"/>
      <c r="AOH102" s="1251"/>
      <c r="AOI102" s="1251"/>
      <c r="AOJ102" s="1251"/>
      <c r="AOK102" s="1251"/>
      <c r="AOL102" s="1251"/>
      <c r="AOM102" s="1251"/>
      <c r="AON102" s="1251"/>
      <c r="AOO102" s="1251"/>
      <c r="AOP102" s="1251"/>
      <c r="AOQ102" s="1251"/>
      <c r="AOR102" s="1251"/>
      <c r="AOS102" s="1251"/>
      <c r="AOT102" s="1251"/>
      <c r="AOU102" s="1251"/>
      <c r="AOV102" s="1251"/>
      <c r="AOW102" s="1251"/>
      <c r="AOX102" s="1251"/>
      <c r="AOY102" s="1251"/>
      <c r="AOZ102" s="1251"/>
      <c r="APA102" s="1251"/>
      <c r="APB102" s="1251"/>
      <c r="APC102" s="1251"/>
      <c r="APD102" s="1251"/>
      <c r="APE102" s="1251"/>
      <c r="APF102" s="1251"/>
      <c r="APG102" s="1251"/>
      <c r="APH102" s="1251"/>
      <c r="API102" s="1251"/>
      <c r="APJ102" s="1251"/>
      <c r="APK102" s="1251"/>
      <c r="APL102" s="1251"/>
      <c r="APM102" s="1251"/>
      <c r="APN102" s="1251"/>
      <c r="APO102" s="1251"/>
      <c r="APP102" s="1251"/>
      <c r="APQ102" s="1251"/>
      <c r="APR102" s="1251"/>
      <c r="APS102" s="1251"/>
      <c r="APT102" s="1251"/>
      <c r="APU102" s="1251"/>
      <c r="APV102" s="1251"/>
      <c r="APW102" s="1251"/>
      <c r="APX102" s="1251"/>
      <c r="APY102" s="1251"/>
      <c r="APZ102" s="1251"/>
      <c r="AQA102" s="1251"/>
      <c r="AQB102" s="1251"/>
      <c r="AQC102" s="1251"/>
      <c r="AQD102" s="1251"/>
      <c r="AQE102" s="1251"/>
      <c r="AQF102" s="1251"/>
      <c r="AQG102" s="1251"/>
      <c r="AQH102" s="1251"/>
      <c r="AQI102" s="1251"/>
      <c r="AQJ102" s="1251"/>
      <c r="AQK102" s="1251"/>
      <c r="AQL102" s="1251"/>
      <c r="AQM102" s="1251"/>
      <c r="AQN102" s="1251"/>
      <c r="AQO102" s="1251"/>
      <c r="AQP102" s="1251"/>
      <c r="AQQ102" s="1251"/>
      <c r="AQR102" s="1251"/>
      <c r="AQS102" s="1251"/>
      <c r="AQT102" s="1251"/>
      <c r="AQU102" s="1251"/>
      <c r="AQV102" s="1251"/>
      <c r="AQW102" s="1251"/>
      <c r="AQX102" s="1251"/>
      <c r="AQY102" s="1251"/>
      <c r="AQZ102" s="1251"/>
      <c r="ARA102" s="1251"/>
      <c r="ARB102" s="1251"/>
      <c r="ARC102" s="1251"/>
      <c r="ARD102" s="1251"/>
      <c r="ARE102" s="1251"/>
      <c r="ARF102" s="1251"/>
      <c r="ARG102" s="1251"/>
      <c r="ARH102" s="1251"/>
      <c r="ARI102" s="1251"/>
      <c r="ARJ102" s="1251"/>
      <c r="ARK102" s="1251"/>
      <c r="ARL102" s="1251"/>
      <c r="ARM102" s="1251"/>
      <c r="ARN102" s="1251"/>
      <c r="ARO102" s="1251"/>
      <c r="ARP102" s="1251"/>
      <c r="ARQ102" s="1251"/>
      <c r="ARR102" s="1251"/>
      <c r="ARS102" s="1251"/>
      <c r="ART102" s="1251"/>
      <c r="ARU102" s="1251"/>
      <c r="ARV102" s="1251"/>
      <c r="ARW102" s="1251"/>
      <c r="ARX102" s="1251"/>
      <c r="ARY102" s="1251"/>
      <c r="ARZ102" s="1251"/>
      <c r="ASA102" s="1251"/>
      <c r="ASB102" s="1251"/>
      <c r="ASC102" s="1251"/>
      <c r="ASD102" s="1251"/>
      <c r="ASE102" s="1251"/>
      <c r="ASF102" s="1251"/>
      <c r="ASG102" s="1251"/>
      <c r="ASH102" s="1251"/>
      <c r="ASI102" s="1251"/>
      <c r="ASJ102" s="1251"/>
      <c r="ASK102" s="1251"/>
      <c r="ASL102" s="1251"/>
      <c r="ASM102" s="1251"/>
      <c r="ASN102" s="1251"/>
      <c r="ASO102" s="1251"/>
      <c r="ASP102" s="1251"/>
      <c r="ASQ102" s="1251"/>
      <c r="ASR102" s="1251"/>
      <c r="ASS102" s="1251"/>
      <c r="AST102" s="1251"/>
      <c r="ASU102" s="1251"/>
      <c r="ASV102" s="1251"/>
      <c r="ASW102" s="1251"/>
      <c r="ASX102" s="1251"/>
      <c r="ASY102" s="1251"/>
      <c r="ASZ102" s="1251"/>
      <c r="ATA102" s="1251"/>
      <c r="ATB102" s="1251"/>
      <c r="ATC102" s="1251"/>
      <c r="ATD102" s="1251"/>
      <c r="ATE102" s="1251"/>
      <c r="ATF102" s="1251"/>
      <c r="ATG102" s="1251"/>
      <c r="ATH102" s="1251"/>
      <c r="ATI102" s="1251"/>
      <c r="ATJ102" s="1251"/>
      <c r="ATK102" s="1251"/>
      <c r="ATL102" s="1251"/>
      <c r="ATM102" s="1251"/>
      <c r="ATN102" s="1251"/>
      <c r="ATO102" s="1251"/>
      <c r="ATP102" s="1251"/>
      <c r="ATQ102" s="1251"/>
      <c r="ATR102" s="1251"/>
      <c r="ATS102" s="1251"/>
      <c r="ATT102" s="1251"/>
      <c r="ATU102" s="1251"/>
      <c r="ATV102" s="1251"/>
      <c r="ATW102" s="1251"/>
      <c r="ATX102" s="1251"/>
      <c r="ATY102" s="1251"/>
      <c r="ATZ102" s="1251"/>
      <c r="AUA102" s="1251"/>
      <c r="AUB102" s="1251"/>
      <c r="AUC102" s="1251"/>
      <c r="AUD102" s="1251"/>
      <c r="AUE102" s="1251"/>
      <c r="AUF102" s="1251"/>
      <c r="AUG102" s="1251"/>
      <c r="AUH102" s="1251"/>
      <c r="AUI102" s="1251"/>
      <c r="AUJ102" s="1251"/>
      <c r="AUK102" s="1251"/>
      <c r="AUL102" s="1251"/>
      <c r="AUM102" s="1251"/>
      <c r="AUN102" s="1251"/>
      <c r="AUO102" s="1251"/>
      <c r="AUP102" s="1251"/>
      <c r="AUQ102" s="1251"/>
      <c r="AUR102" s="1251"/>
      <c r="AUS102" s="1251"/>
      <c r="AUT102" s="1251"/>
      <c r="AUU102" s="1251"/>
      <c r="AUV102" s="1251"/>
      <c r="AUW102" s="1251"/>
      <c r="AUX102" s="1251"/>
      <c r="AUY102" s="1251"/>
      <c r="AUZ102" s="1251"/>
      <c r="AVA102" s="1251"/>
      <c r="AVB102" s="1251"/>
      <c r="AVC102" s="1251"/>
      <c r="AVD102" s="1251"/>
      <c r="AVE102" s="1251"/>
      <c r="AVF102" s="1251"/>
      <c r="AVG102" s="1251"/>
      <c r="AVH102" s="1251"/>
      <c r="AVI102" s="1251"/>
      <c r="AVJ102" s="1251"/>
      <c r="AVK102" s="1251"/>
      <c r="AVL102" s="1251"/>
      <c r="AVM102" s="1251"/>
      <c r="AVN102" s="1251"/>
      <c r="AVO102" s="1251"/>
      <c r="AVP102" s="1251"/>
      <c r="AVQ102" s="1251"/>
      <c r="AVR102" s="1251"/>
      <c r="AVS102" s="1251"/>
      <c r="AVT102" s="1251"/>
      <c r="AVU102" s="1251"/>
      <c r="AVV102" s="1251"/>
      <c r="AVW102" s="1251"/>
      <c r="AVX102" s="1251"/>
      <c r="AVY102" s="1251"/>
      <c r="AVZ102" s="1251"/>
      <c r="AWA102" s="1251"/>
      <c r="AWB102" s="1251"/>
      <c r="AWC102" s="1251"/>
      <c r="AWD102" s="1251"/>
      <c r="AWE102" s="1251"/>
      <c r="AWF102" s="1251"/>
      <c r="AWG102" s="1251"/>
      <c r="AWH102" s="1251"/>
      <c r="AWI102" s="1251"/>
      <c r="AWJ102" s="1251"/>
      <c r="AWK102" s="1251"/>
      <c r="AWL102" s="1251"/>
      <c r="AWM102" s="1251"/>
      <c r="AWN102" s="1251"/>
      <c r="AWO102" s="1251"/>
      <c r="AWP102" s="1251"/>
      <c r="AWQ102" s="1251"/>
      <c r="AWR102" s="1251"/>
      <c r="AWS102" s="1251"/>
      <c r="AWT102" s="1251"/>
      <c r="AWU102" s="1251"/>
      <c r="AWV102" s="1251"/>
      <c r="AWW102" s="1251"/>
      <c r="AWX102" s="1251"/>
      <c r="AWY102" s="1251"/>
      <c r="AWZ102" s="1251"/>
      <c r="AXA102" s="1251"/>
      <c r="AXB102" s="1251"/>
      <c r="AXC102" s="1251"/>
      <c r="AXD102" s="1251"/>
      <c r="AXE102" s="1251"/>
      <c r="AXF102" s="1251"/>
      <c r="AXG102" s="1251"/>
      <c r="AXH102" s="1251"/>
      <c r="AXI102" s="1251"/>
      <c r="AXJ102" s="1251"/>
      <c r="AXK102" s="1251"/>
      <c r="AXL102" s="1251"/>
      <c r="AXM102" s="1251"/>
      <c r="AXN102" s="1251"/>
      <c r="AXO102" s="1251"/>
      <c r="AXP102" s="1251"/>
      <c r="AXQ102" s="1251"/>
      <c r="AXR102" s="1251"/>
      <c r="AXS102" s="1251"/>
      <c r="AXT102" s="1251"/>
      <c r="AXU102" s="1251"/>
      <c r="AXV102" s="1251"/>
      <c r="AXW102" s="1251"/>
      <c r="AXX102" s="1251"/>
      <c r="AXY102" s="1251"/>
      <c r="AXZ102" s="1251"/>
      <c r="AYA102" s="1251"/>
      <c r="AYB102" s="1251"/>
      <c r="AYC102" s="1251"/>
      <c r="AYD102" s="1251"/>
      <c r="AYE102" s="1251"/>
      <c r="AYF102" s="1251"/>
      <c r="AYG102" s="1251"/>
      <c r="AYH102" s="1251"/>
      <c r="AYI102" s="1251"/>
      <c r="AYJ102" s="1251"/>
      <c r="AYK102" s="1251"/>
      <c r="AYL102" s="1251"/>
      <c r="AYM102" s="1251"/>
      <c r="AYN102" s="1251"/>
      <c r="AYO102" s="1251"/>
      <c r="AYP102" s="1251"/>
      <c r="AYQ102" s="1251"/>
      <c r="AYR102" s="1251"/>
      <c r="AYS102" s="1251"/>
      <c r="AYT102" s="1251"/>
      <c r="AYU102" s="1251"/>
      <c r="AYV102" s="1251"/>
      <c r="AYW102" s="1251"/>
      <c r="AYX102" s="1251"/>
      <c r="AYY102" s="1251"/>
      <c r="AYZ102" s="1251"/>
      <c r="AZA102" s="1251"/>
      <c r="AZB102" s="1251"/>
      <c r="AZC102" s="1251"/>
      <c r="AZD102" s="1251"/>
      <c r="AZE102" s="1251"/>
      <c r="AZF102" s="1251"/>
      <c r="AZG102" s="1251"/>
      <c r="AZH102" s="1251"/>
      <c r="AZI102" s="1251"/>
      <c r="AZJ102" s="1251"/>
      <c r="AZK102" s="1251"/>
      <c r="AZL102" s="1251"/>
      <c r="AZM102" s="1251"/>
      <c r="AZN102" s="1251"/>
      <c r="AZO102" s="1251"/>
      <c r="AZP102" s="1251"/>
      <c r="AZQ102" s="1251"/>
      <c r="AZR102" s="1251"/>
      <c r="AZS102" s="1251"/>
      <c r="AZT102" s="1251"/>
      <c r="AZU102" s="1251"/>
      <c r="AZV102" s="1251"/>
      <c r="AZW102" s="1251"/>
      <c r="AZX102" s="1251"/>
      <c r="AZY102" s="1251"/>
      <c r="AZZ102" s="1251"/>
      <c r="BAA102" s="1251"/>
      <c r="BAB102" s="1251"/>
      <c r="BAC102" s="1251"/>
      <c r="BAD102" s="1251"/>
      <c r="BAE102" s="1251"/>
      <c r="BAF102" s="1251"/>
      <c r="BAG102" s="1251"/>
      <c r="BAH102" s="1251"/>
      <c r="BAI102" s="1251"/>
      <c r="BAJ102" s="1251"/>
      <c r="BAK102" s="1251"/>
      <c r="BAL102" s="1251"/>
      <c r="BAM102" s="1251"/>
      <c r="BAN102" s="1251"/>
      <c r="BAO102" s="1251"/>
      <c r="BAP102" s="1251"/>
      <c r="BAQ102" s="1251"/>
      <c r="BAR102" s="1251"/>
      <c r="BAS102" s="1251"/>
      <c r="BAT102" s="1251"/>
      <c r="BAU102" s="1251"/>
      <c r="BAV102" s="1251"/>
      <c r="BAW102" s="1251"/>
      <c r="BAX102" s="1251"/>
      <c r="BAY102" s="1251"/>
      <c r="BAZ102" s="1251"/>
      <c r="BBA102" s="1251"/>
      <c r="BBB102" s="1251"/>
      <c r="BBC102" s="1251"/>
      <c r="BBD102" s="1251"/>
      <c r="BBE102" s="1251"/>
      <c r="BBF102" s="1251"/>
      <c r="BBG102" s="1251"/>
      <c r="BBH102" s="1251"/>
      <c r="BBI102" s="1251"/>
      <c r="BBJ102" s="1251"/>
      <c r="BBK102" s="1251"/>
      <c r="BBL102" s="1251"/>
      <c r="BBM102" s="1251"/>
      <c r="BBN102" s="1251"/>
      <c r="BBO102" s="1251"/>
      <c r="BBP102" s="1251"/>
      <c r="BBQ102" s="1251"/>
      <c r="BBR102" s="1251"/>
      <c r="BBS102" s="1251"/>
      <c r="BBT102" s="1251"/>
      <c r="BBU102" s="1251"/>
      <c r="BBV102" s="1251"/>
      <c r="BBW102" s="1251"/>
      <c r="BBX102" s="1251"/>
      <c r="BBY102" s="1251"/>
      <c r="BBZ102" s="1251"/>
      <c r="BCA102" s="1251"/>
      <c r="BCB102" s="1251"/>
      <c r="BCC102" s="1251"/>
      <c r="BCD102" s="1251"/>
      <c r="BCE102" s="1251"/>
      <c r="BCF102" s="1251"/>
      <c r="BCG102" s="1251"/>
      <c r="BCH102" s="1251"/>
      <c r="BCI102" s="1251"/>
      <c r="BCJ102" s="1251"/>
      <c r="BCK102" s="1251"/>
      <c r="BCL102" s="1251"/>
      <c r="BCM102" s="1251"/>
      <c r="BCN102" s="1251"/>
      <c r="BCO102" s="1251"/>
      <c r="BCP102" s="1251"/>
      <c r="BCQ102" s="1251"/>
      <c r="BCR102" s="1251"/>
      <c r="BCS102" s="1251"/>
      <c r="BCT102" s="1251"/>
      <c r="BCU102" s="1251"/>
      <c r="BCV102" s="1251"/>
      <c r="BCW102" s="1251"/>
      <c r="BCX102" s="1251"/>
      <c r="BCY102" s="1251"/>
      <c r="BCZ102" s="1251"/>
      <c r="BDA102" s="1251"/>
      <c r="BDB102" s="1251"/>
      <c r="BDC102" s="1251"/>
      <c r="BDD102" s="1251"/>
      <c r="BDE102" s="1251"/>
      <c r="BDF102" s="1251"/>
      <c r="BDG102" s="1251"/>
      <c r="BDH102" s="1251"/>
      <c r="BDI102" s="1251"/>
      <c r="BDJ102" s="1251"/>
      <c r="BDK102" s="1251"/>
      <c r="BDL102" s="1251"/>
      <c r="BDM102" s="1251"/>
      <c r="BDN102" s="1251"/>
      <c r="BDO102" s="1251"/>
      <c r="BDP102" s="1251"/>
      <c r="BDQ102" s="1251"/>
      <c r="BDR102" s="1251"/>
      <c r="BDS102" s="1251"/>
      <c r="BDT102" s="1251"/>
      <c r="BDU102" s="1251"/>
      <c r="BDV102" s="1251"/>
      <c r="BDW102" s="1251"/>
      <c r="BDX102" s="1251"/>
      <c r="BDY102" s="1251"/>
      <c r="BDZ102" s="1251"/>
      <c r="BEA102" s="1251"/>
      <c r="BEB102" s="1251"/>
      <c r="BEC102" s="1251"/>
      <c r="BED102" s="1251"/>
      <c r="BEE102" s="1251"/>
      <c r="BEF102" s="1251"/>
      <c r="BEG102" s="1251"/>
      <c r="BEH102" s="1251"/>
      <c r="BEI102" s="1251"/>
      <c r="BEJ102" s="1251"/>
      <c r="BEK102" s="1251"/>
      <c r="BEL102" s="1251"/>
      <c r="BEM102" s="1251"/>
      <c r="BEN102" s="1251"/>
      <c r="BEO102" s="1251"/>
      <c r="BEP102" s="1251"/>
      <c r="BEQ102" s="1251"/>
      <c r="BER102" s="1251"/>
      <c r="BES102" s="1251"/>
      <c r="BET102" s="1251"/>
      <c r="BEU102" s="1251"/>
      <c r="BEV102" s="1251"/>
      <c r="BEW102" s="1251"/>
      <c r="BEX102" s="1251"/>
      <c r="BEY102" s="1251"/>
      <c r="BEZ102" s="1251"/>
      <c r="BFA102" s="1251"/>
      <c r="BFB102" s="1251"/>
      <c r="BFC102" s="1251"/>
      <c r="BFD102" s="1251"/>
      <c r="BFE102" s="1251"/>
      <c r="BFF102" s="1251"/>
      <c r="BFG102" s="1251"/>
      <c r="BFH102" s="1251"/>
      <c r="BFI102" s="1251"/>
      <c r="BFJ102" s="1251"/>
      <c r="BFK102" s="1251"/>
      <c r="BFL102" s="1251"/>
      <c r="BFM102" s="1251"/>
      <c r="BFN102" s="1251"/>
      <c r="BFO102" s="1251"/>
      <c r="BFP102" s="1251"/>
      <c r="BFQ102" s="1251"/>
      <c r="BFR102" s="1251"/>
      <c r="BFS102" s="1251"/>
      <c r="BFT102" s="1251"/>
      <c r="BFU102" s="1251"/>
      <c r="BFV102" s="1251"/>
      <c r="BFW102" s="1251"/>
      <c r="BFX102" s="1251"/>
      <c r="BFY102" s="1251"/>
      <c r="BFZ102" s="1251"/>
      <c r="BGA102" s="1251"/>
      <c r="BGB102" s="1251"/>
      <c r="BGC102" s="1251"/>
      <c r="BGD102" s="1251"/>
      <c r="BGE102" s="1251"/>
      <c r="BGF102" s="1251"/>
      <c r="BGG102" s="1251"/>
      <c r="BGH102" s="1251"/>
      <c r="BGI102" s="1251"/>
      <c r="BGJ102" s="1251"/>
      <c r="BGK102" s="1251"/>
      <c r="BGL102" s="1251"/>
      <c r="BGM102" s="1251"/>
      <c r="BGN102" s="1251"/>
      <c r="BGO102" s="1251"/>
      <c r="BGP102" s="1251"/>
      <c r="BGQ102" s="1251"/>
      <c r="BGR102" s="1251"/>
      <c r="BGS102" s="1251"/>
      <c r="BGT102" s="1251"/>
      <c r="BGU102" s="1251"/>
      <c r="BGV102" s="1251"/>
      <c r="BGW102" s="1251"/>
      <c r="BGX102" s="1251"/>
      <c r="BGY102" s="1251"/>
      <c r="BGZ102" s="1251"/>
      <c r="BHA102" s="1251"/>
      <c r="BHB102" s="1251"/>
      <c r="BHC102" s="1251"/>
      <c r="BHD102" s="1251"/>
      <c r="BHE102" s="1251"/>
      <c r="BHF102" s="1251"/>
      <c r="BHG102" s="1251"/>
      <c r="BHH102" s="1251"/>
      <c r="BHI102" s="1251"/>
      <c r="BHJ102" s="1251"/>
      <c r="BHK102" s="1251"/>
      <c r="BHL102" s="1251"/>
      <c r="BHM102" s="1251"/>
      <c r="BHN102" s="1251"/>
      <c r="BHO102" s="1251"/>
      <c r="BHP102" s="1251"/>
      <c r="BHQ102" s="1251"/>
      <c r="BHR102" s="1251"/>
      <c r="BHS102" s="1251"/>
      <c r="BHT102" s="1251"/>
      <c r="BHU102" s="1251"/>
      <c r="BHV102" s="1251"/>
      <c r="BHW102" s="1251"/>
      <c r="BHX102" s="1251"/>
      <c r="BHY102" s="1251"/>
      <c r="BHZ102" s="1251"/>
      <c r="BIA102" s="1251"/>
      <c r="BIB102" s="1251"/>
      <c r="BIC102" s="1251"/>
      <c r="BID102" s="1251"/>
      <c r="BIE102" s="1251"/>
      <c r="BIF102" s="1251"/>
      <c r="BIG102" s="1251"/>
      <c r="BIH102" s="1251"/>
      <c r="BII102" s="1251"/>
      <c r="BIJ102" s="1251"/>
      <c r="BIK102" s="1251"/>
      <c r="BIL102" s="1251"/>
      <c r="BIM102" s="1251"/>
      <c r="BIN102" s="1251"/>
      <c r="BIO102" s="1251"/>
      <c r="BIP102" s="1251"/>
      <c r="BIQ102" s="1251"/>
      <c r="BIR102" s="1251"/>
      <c r="BIS102" s="1251"/>
      <c r="BIT102" s="1251"/>
      <c r="BIU102" s="1251"/>
      <c r="BIV102" s="1251"/>
      <c r="BIW102" s="1251"/>
      <c r="BIX102" s="1251"/>
      <c r="BIY102" s="1251"/>
      <c r="BIZ102" s="1251"/>
      <c r="BJA102" s="1251"/>
      <c r="BJB102" s="1251"/>
      <c r="BJC102" s="1251"/>
      <c r="BJD102" s="1251"/>
      <c r="BJE102" s="1251"/>
      <c r="BJF102" s="1251"/>
      <c r="BJG102" s="1251"/>
      <c r="BJH102" s="1251"/>
      <c r="BJI102" s="1251"/>
      <c r="BJJ102" s="1251"/>
      <c r="BJK102" s="1251"/>
      <c r="BJL102" s="1251"/>
      <c r="BJM102" s="1251"/>
      <c r="BJN102" s="1251"/>
      <c r="BJO102" s="1251"/>
      <c r="BJP102" s="1251"/>
      <c r="BJQ102" s="1251"/>
      <c r="BJR102" s="1251"/>
      <c r="BJS102" s="1251"/>
      <c r="BJT102" s="1251"/>
      <c r="BJU102" s="1251"/>
      <c r="BJV102" s="1251"/>
      <c r="BJW102" s="1251"/>
      <c r="BJX102" s="1251"/>
      <c r="BJY102" s="1251"/>
      <c r="BJZ102" s="1251"/>
      <c r="BKA102" s="1251"/>
      <c r="BKB102" s="1251"/>
      <c r="BKC102" s="1251"/>
      <c r="BKD102" s="1251"/>
      <c r="BKE102" s="1251"/>
      <c r="BKF102" s="1251"/>
      <c r="BKG102" s="1251"/>
      <c r="BKH102" s="1251"/>
      <c r="BKI102" s="1251"/>
      <c r="BKJ102" s="1251"/>
      <c r="BKK102" s="1251"/>
      <c r="BKL102" s="1251"/>
      <c r="BKM102" s="1251"/>
      <c r="BKN102" s="1251"/>
      <c r="BKO102" s="1251"/>
      <c r="BKP102" s="1251"/>
      <c r="BKQ102" s="1251"/>
      <c r="BKR102" s="1251"/>
      <c r="BKS102" s="1251"/>
      <c r="BKT102" s="1251"/>
      <c r="BKU102" s="1251"/>
      <c r="BKV102" s="1251"/>
      <c r="BKW102" s="1251"/>
      <c r="BKX102" s="1251"/>
      <c r="BKY102" s="1251"/>
      <c r="BKZ102" s="1251"/>
      <c r="BLA102" s="1251"/>
      <c r="BLB102" s="1251"/>
      <c r="BLC102" s="1251"/>
      <c r="BLD102" s="1251"/>
      <c r="BLE102" s="1251"/>
      <c r="BLF102" s="1251"/>
      <c r="BLG102" s="1251"/>
      <c r="BLH102" s="1251"/>
      <c r="BLI102" s="1251"/>
      <c r="BLJ102" s="1251"/>
      <c r="BLK102" s="1251"/>
      <c r="BLL102" s="1251"/>
      <c r="BLM102" s="1251"/>
      <c r="BLN102" s="1251"/>
      <c r="BLO102" s="1251"/>
      <c r="BLP102" s="1251"/>
      <c r="BLQ102" s="1251"/>
      <c r="BLR102" s="1251"/>
      <c r="BLS102" s="1251"/>
      <c r="BLT102" s="1251"/>
      <c r="BLU102" s="1251"/>
      <c r="BLV102" s="1251"/>
      <c r="BLW102" s="1251"/>
      <c r="BLX102" s="1251"/>
      <c r="BLY102" s="1251"/>
      <c r="BLZ102" s="1251"/>
      <c r="BMA102" s="1251"/>
      <c r="BMB102" s="1251"/>
      <c r="BMC102" s="1251"/>
      <c r="BMD102" s="1251"/>
      <c r="BME102" s="1251"/>
      <c r="BMF102" s="1251"/>
      <c r="BMG102" s="1251"/>
      <c r="BMH102" s="1251"/>
      <c r="BMI102" s="1251"/>
      <c r="BMJ102" s="1251"/>
      <c r="BMK102" s="1251"/>
      <c r="BML102" s="1251"/>
      <c r="BMM102" s="1251"/>
      <c r="BMN102" s="1251"/>
      <c r="BMO102" s="1251"/>
      <c r="BMP102" s="1251"/>
      <c r="BMQ102" s="1251"/>
      <c r="BMR102" s="1251"/>
      <c r="BMS102" s="1251"/>
      <c r="BMT102" s="1251"/>
      <c r="BMU102" s="1251"/>
      <c r="BMV102" s="1251"/>
      <c r="BMW102" s="1251"/>
      <c r="BMX102" s="1251"/>
      <c r="BMY102" s="1251"/>
      <c r="BMZ102" s="1251"/>
      <c r="BNA102" s="1251"/>
      <c r="BNB102" s="1251"/>
      <c r="BNC102" s="1251"/>
      <c r="BND102" s="1251"/>
      <c r="BNE102" s="1251"/>
      <c r="BNF102" s="1251"/>
      <c r="BNG102" s="1251"/>
      <c r="BNH102" s="1251"/>
      <c r="BNI102" s="1251"/>
      <c r="BNJ102" s="1251"/>
      <c r="BNK102" s="1251"/>
      <c r="BNL102" s="1251"/>
      <c r="BNM102" s="1251"/>
      <c r="BNN102" s="1251"/>
      <c r="BNO102" s="1251"/>
      <c r="BNP102" s="1251"/>
      <c r="BNQ102" s="1251"/>
      <c r="BNR102" s="1251"/>
      <c r="BNS102" s="1251"/>
      <c r="BNT102" s="1251"/>
      <c r="BNU102" s="1251"/>
      <c r="BNV102" s="1251"/>
      <c r="BNW102" s="1251"/>
      <c r="BNX102" s="1251"/>
      <c r="BNY102" s="1251"/>
      <c r="BNZ102" s="1251"/>
      <c r="BOA102" s="1251"/>
      <c r="BOB102" s="1251"/>
      <c r="BOC102" s="1251"/>
      <c r="BOD102" s="1251"/>
      <c r="BOE102" s="1251"/>
      <c r="BOF102" s="1251"/>
      <c r="BOG102" s="1251"/>
      <c r="BOH102" s="1251"/>
      <c r="BOI102" s="1251"/>
      <c r="BOJ102" s="1251"/>
      <c r="BOK102" s="1251"/>
      <c r="BOL102" s="1251"/>
      <c r="BOM102" s="1251"/>
      <c r="BON102" s="1251"/>
      <c r="BOO102" s="1251"/>
      <c r="BOP102" s="1251"/>
      <c r="BOQ102" s="1251"/>
      <c r="BOR102" s="1251"/>
      <c r="BOS102" s="1251"/>
      <c r="BOT102" s="1251"/>
      <c r="BOU102" s="1251"/>
      <c r="BOV102" s="1251"/>
      <c r="BOW102" s="1251"/>
      <c r="BOX102" s="1251"/>
      <c r="BOY102" s="1251"/>
      <c r="BOZ102" s="1251"/>
      <c r="BPA102" s="1251"/>
      <c r="BPB102" s="1251"/>
      <c r="BPC102" s="1251"/>
      <c r="BPD102" s="1251"/>
      <c r="BPE102" s="1251"/>
      <c r="BPF102" s="1251"/>
      <c r="BPG102" s="1251"/>
      <c r="BPH102" s="1251"/>
      <c r="BPI102" s="1251"/>
      <c r="BPJ102" s="1251"/>
      <c r="BPK102" s="1251"/>
      <c r="BPL102" s="1251"/>
      <c r="BPM102" s="1251"/>
      <c r="BPN102" s="1251"/>
      <c r="BPO102" s="1251"/>
      <c r="BPP102" s="1251"/>
      <c r="BPQ102" s="1251"/>
      <c r="BPR102" s="1251"/>
      <c r="BPS102" s="1251"/>
      <c r="BPT102" s="1251"/>
      <c r="BPU102" s="1251"/>
      <c r="BPV102" s="1251"/>
      <c r="BPW102" s="1251"/>
      <c r="BPX102" s="1251"/>
      <c r="BPY102" s="1251"/>
      <c r="BPZ102" s="1251"/>
      <c r="BQA102" s="1251"/>
      <c r="BQB102" s="1251"/>
      <c r="BQC102" s="1251"/>
      <c r="BQD102" s="1251"/>
      <c r="BQE102" s="1251"/>
      <c r="BQF102" s="1251"/>
      <c r="BQG102" s="1251"/>
      <c r="BQH102" s="1251"/>
      <c r="BQI102" s="1251"/>
      <c r="BQJ102" s="1251"/>
      <c r="BQK102" s="1251"/>
      <c r="BQL102" s="1251"/>
      <c r="BQM102" s="1251"/>
      <c r="BQN102" s="1251"/>
      <c r="BQO102" s="1251"/>
      <c r="BQP102" s="1251"/>
      <c r="BQQ102" s="1251"/>
      <c r="BQR102" s="1251"/>
      <c r="BQS102" s="1251"/>
      <c r="BQT102" s="1251"/>
      <c r="BQU102" s="1251"/>
      <c r="BQV102" s="1251"/>
      <c r="BQW102" s="1251"/>
      <c r="BQX102" s="1251"/>
      <c r="BQY102" s="1251"/>
      <c r="BQZ102" s="1251"/>
      <c r="BRA102" s="1251"/>
      <c r="BRB102" s="1251"/>
      <c r="BRC102" s="1251"/>
      <c r="BRD102" s="1251"/>
      <c r="BRE102" s="1251"/>
      <c r="BRF102" s="1251"/>
      <c r="BRG102" s="1251"/>
      <c r="BRH102" s="1251"/>
      <c r="BRI102" s="1251"/>
      <c r="BRJ102" s="1251"/>
      <c r="BRK102" s="1251"/>
      <c r="BRL102" s="1251"/>
      <c r="BRM102" s="1251"/>
      <c r="BRN102" s="1251"/>
      <c r="BRO102" s="1251"/>
      <c r="BRP102" s="1251"/>
      <c r="BRQ102" s="1251"/>
      <c r="BRR102" s="1251"/>
      <c r="BRS102" s="1251"/>
      <c r="BRT102" s="1251"/>
      <c r="BRU102" s="1251"/>
      <c r="BRV102" s="1251"/>
      <c r="BRW102" s="1251"/>
      <c r="BRX102" s="1251"/>
      <c r="BRY102" s="1251"/>
      <c r="BRZ102" s="1251"/>
      <c r="BSA102" s="1251"/>
      <c r="BSB102" s="1251"/>
      <c r="BSC102" s="1251"/>
      <c r="BSD102" s="1251"/>
      <c r="BSE102" s="1251"/>
      <c r="BSF102" s="1251"/>
      <c r="BSG102" s="1251"/>
      <c r="BSH102" s="1251"/>
      <c r="BSI102" s="1251"/>
      <c r="BSJ102" s="1251"/>
      <c r="BSK102" s="1251"/>
      <c r="BSL102" s="1251"/>
      <c r="BSM102" s="1251"/>
      <c r="BSN102" s="1251"/>
      <c r="BSO102" s="1251"/>
      <c r="BSP102" s="1251"/>
      <c r="BSQ102" s="1251"/>
      <c r="BSR102" s="1251"/>
      <c r="BSS102" s="1251"/>
      <c r="BST102" s="1251"/>
      <c r="BSU102" s="1251"/>
      <c r="BSV102" s="1251"/>
      <c r="BSW102" s="1251"/>
      <c r="BSX102" s="1251"/>
      <c r="BSY102" s="1251"/>
      <c r="BSZ102" s="1251"/>
      <c r="BTA102" s="1251"/>
      <c r="BTB102" s="1251"/>
      <c r="BTC102" s="1251"/>
      <c r="BTD102" s="1251"/>
      <c r="BTE102" s="1251"/>
      <c r="BTF102" s="1251"/>
      <c r="BTG102" s="1251"/>
      <c r="BTH102" s="1251"/>
      <c r="BTI102" s="1251"/>
    </row>
    <row r="103" spans="1:1881" s="1261" customFormat="1" ht="48.75" hidden="1" customHeight="1" thickBot="1" x14ac:dyDescent="0.35">
      <c r="A103" s="1248">
        <v>36</v>
      </c>
      <c r="B103" s="1272" t="s">
        <v>652</v>
      </c>
      <c r="C103" s="668" t="s">
        <v>1276</v>
      </c>
      <c r="D103" s="668" t="s">
        <v>1299</v>
      </c>
      <c r="E103" s="1249" t="e">
        <f>HLOOKUP($D$2,'2020 Data(H)'!$C$1:$CZ$426,24,FALSE)</f>
        <v>#N/A</v>
      </c>
      <c r="F103" s="1263">
        <v>0</v>
      </c>
      <c r="G103" s="1273"/>
      <c r="H103" s="17"/>
      <c r="I103" s="760"/>
      <c r="J103" s="1252"/>
      <c r="K103" s="1251"/>
      <c r="L103" s="701"/>
      <c r="M103" s="1251"/>
      <c r="N103" s="1253"/>
      <c r="O103" s="1251"/>
      <c r="P103" s="1251"/>
      <c r="Q103" s="1251"/>
      <c r="R103" s="1251"/>
      <c r="S103" s="1251"/>
      <c r="T103" s="1251"/>
      <c r="U103" s="1251"/>
      <c r="V103" s="1251"/>
      <c r="W103" s="1251"/>
      <c r="X103" s="1251"/>
      <c r="Y103" s="1251"/>
      <c r="Z103" s="1248"/>
      <c r="AA103" s="1248"/>
      <c r="AB103" s="1248"/>
      <c r="AC103" s="1248"/>
      <c r="AD103" s="1248"/>
      <c r="AE103" s="1248"/>
      <c r="AF103" s="1248"/>
      <c r="AG103" s="1248"/>
      <c r="AH103" s="1248"/>
      <c r="AI103" s="1248"/>
      <c r="AJ103" s="1248"/>
      <c r="AK103" s="1248"/>
      <c r="AL103" s="1248"/>
      <c r="AM103" s="1248"/>
      <c r="AN103" s="1248"/>
      <c r="AO103" s="1248"/>
      <c r="AP103" s="1248"/>
      <c r="AQ103" s="1248"/>
      <c r="AR103" s="1248"/>
      <c r="AS103" s="1251"/>
      <c r="AT103" s="1251"/>
      <c r="AU103" s="1251"/>
      <c r="AV103" s="1251"/>
      <c r="AW103" s="1251"/>
      <c r="AX103" s="1251"/>
      <c r="AY103" s="1251"/>
      <c r="AZ103" s="1251"/>
      <c r="BA103" s="1251"/>
      <c r="BB103" s="1251"/>
      <c r="BC103" s="1251"/>
      <c r="BD103" s="1251"/>
      <c r="BE103" s="1251"/>
      <c r="BF103" s="1251"/>
      <c r="BG103" s="1251"/>
      <c r="BH103" s="1251"/>
      <c r="BI103" s="1251"/>
      <c r="BJ103" s="1251"/>
      <c r="BK103" s="1251"/>
      <c r="BL103" s="1251"/>
      <c r="BM103" s="1251"/>
      <c r="BN103" s="1251"/>
      <c r="BO103" s="1251"/>
      <c r="BP103" s="1251"/>
      <c r="BQ103" s="1251"/>
      <c r="BR103" s="1251"/>
      <c r="BS103" s="1251"/>
      <c r="BT103" s="1251"/>
      <c r="BU103" s="1251"/>
      <c r="BV103" s="1251"/>
      <c r="BW103" s="1251"/>
      <c r="BX103" s="1251"/>
      <c r="BY103" s="1251"/>
      <c r="BZ103" s="1251"/>
      <c r="CA103" s="1251"/>
      <c r="CB103" s="1251"/>
      <c r="CC103" s="1251"/>
      <c r="CD103" s="1251"/>
      <c r="CE103" s="1251"/>
      <c r="CF103" s="1251"/>
      <c r="CG103" s="1251"/>
      <c r="CH103" s="1251"/>
      <c r="CI103" s="1251"/>
      <c r="CJ103" s="1251"/>
      <c r="CK103" s="1251"/>
      <c r="CL103" s="1251"/>
      <c r="CM103" s="1251"/>
      <c r="CN103" s="1251"/>
      <c r="CO103" s="1251"/>
      <c r="CP103" s="1251"/>
      <c r="CQ103" s="1251"/>
      <c r="CR103" s="1251"/>
      <c r="CS103" s="1251"/>
      <c r="CT103" s="1251"/>
      <c r="CU103" s="1251"/>
      <c r="CV103" s="1251"/>
      <c r="CW103" s="1251"/>
      <c r="CX103" s="1251"/>
      <c r="CY103" s="1251"/>
      <c r="CZ103" s="1251"/>
      <c r="DA103" s="1251"/>
      <c r="DB103" s="1251"/>
      <c r="DC103" s="1251"/>
      <c r="DD103" s="1251"/>
      <c r="DE103" s="1251"/>
      <c r="DF103" s="1251"/>
      <c r="DG103" s="1251"/>
      <c r="DH103" s="1251"/>
      <c r="DI103" s="1251"/>
      <c r="DJ103" s="1251"/>
      <c r="DK103" s="1251"/>
      <c r="DL103" s="1251"/>
      <c r="DM103" s="1251"/>
      <c r="DN103" s="1251"/>
      <c r="DO103" s="1251"/>
      <c r="DP103" s="1251"/>
      <c r="DQ103" s="1251"/>
      <c r="DR103" s="1251"/>
      <c r="DS103" s="1251"/>
      <c r="DT103" s="1251"/>
      <c r="DU103" s="1251"/>
      <c r="DV103" s="1251"/>
      <c r="DW103" s="1251"/>
      <c r="DX103" s="1251"/>
      <c r="DY103" s="1251"/>
      <c r="DZ103" s="1251"/>
      <c r="EA103" s="1251"/>
      <c r="EB103" s="1251"/>
      <c r="EC103" s="1251"/>
      <c r="ED103" s="1251"/>
      <c r="EE103" s="1251"/>
      <c r="EF103" s="1251"/>
      <c r="EG103" s="1251"/>
      <c r="EH103" s="1251"/>
      <c r="EI103" s="1251"/>
      <c r="EJ103" s="1251"/>
      <c r="EK103" s="1251"/>
      <c r="EL103" s="1251"/>
      <c r="EM103" s="1251"/>
      <c r="EN103" s="1251"/>
      <c r="EO103" s="1251"/>
      <c r="EP103" s="1251"/>
      <c r="EQ103" s="1251"/>
      <c r="ER103" s="1251"/>
      <c r="ES103" s="1251"/>
      <c r="ET103" s="1251"/>
      <c r="EU103" s="1251"/>
      <c r="EV103" s="1251"/>
      <c r="EW103" s="1251"/>
      <c r="EX103" s="1251"/>
      <c r="EY103" s="1251"/>
      <c r="EZ103" s="1251"/>
      <c r="FA103" s="1251"/>
      <c r="FB103" s="1251"/>
      <c r="FC103" s="1251"/>
      <c r="FD103" s="1251"/>
      <c r="FE103" s="1251"/>
      <c r="FF103" s="1251"/>
      <c r="FG103" s="1251"/>
      <c r="FH103" s="1251"/>
      <c r="FI103" s="1251"/>
      <c r="FJ103" s="1251"/>
      <c r="FK103" s="1251"/>
      <c r="FL103" s="1251"/>
      <c r="FM103" s="1251"/>
      <c r="FN103" s="1251"/>
      <c r="FO103" s="1251"/>
      <c r="FP103" s="1251"/>
      <c r="FQ103" s="1251"/>
      <c r="FR103" s="1251"/>
      <c r="FS103" s="1251"/>
      <c r="FT103" s="1251"/>
      <c r="FU103" s="1251"/>
      <c r="FV103" s="1251"/>
      <c r="FW103" s="1251"/>
      <c r="FX103" s="1251"/>
      <c r="FY103" s="1251"/>
      <c r="FZ103" s="1251"/>
      <c r="GA103" s="1251"/>
      <c r="GB103" s="1251"/>
      <c r="GC103" s="1251"/>
      <c r="GD103" s="1251"/>
      <c r="GE103" s="1251"/>
      <c r="GF103" s="1251"/>
      <c r="GG103" s="1251"/>
      <c r="GH103" s="1251"/>
      <c r="GI103" s="1251"/>
      <c r="GJ103" s="1251"/>
      <c r="GK103" s="1251"/>
      <c r="GL103" s="1251"/>
      <c r="GM103" s="1251"/>
      <c r="GN103" s="1251"/>
      <c r="GO103" s="1251"/>
      <c r="GP103" s="1251"/>
      <c r="GQ103" s="1251"/>
      <c r="GR103" s="1251"/>
      <c r="GS103" s="1251"/>
      <c r="GT103" s="1251"/>
      <c r="GU103" s="1251"/>
      <c r="GV103" s="1251"/>
      <c r="GW103" s="1251"/>
      <c r="GX103" s="1251"/>
      <c r="GY103" s="1251"/>
      <c r="GZ103" s="1251"/>
      <c r="HA103" s="1251"/>
      <c r="HB103" s="1251"/>
      <c r="HC103" s="1251"/>
      <c r="HD103" s="1251"/>
      <c r="HE103" s="1251"/>
      <c r="HF103" s="1251"/>
      <c r="HG103" s="1251"/>
      <c r="HH103" s="1251"/>
      <c r="HI103" s="1251"/>
      <c r="HJ103" s="1251"/>
      <c r="HK103" s="1251"/>
      <c r="HL103" s="1251"/>
      <c r="HM103" s="1251"/>
      <c r="HN103" s="1251"/>
      <c r="HO103" s="1251"/>
      <c r="HP103" s="1251"/>
      <c r="HQ103" s="1251"/>
      <c r="HR103" s="1251"/>
      <c r="HS103" s="1251"/>
      <c r="HT103" s="1251"/>
      <c r="HU103" s="1251"/>
      <c r="HV103" s="1251"/>
      <c r="HW103" s="1251"/>
      <c r="HX103" s="1251"/>
      <c r="HY103" s="1251"/>
      <c r="HZ103" s="1251"/>
      <c r="IA103" s="1251"/>
      <c r="IB103" s="1251"/>
      <c r="IC103" s="1251"/>
      <c r="ID103" s="1251"/>
      <c r="IE103" s="1251"/>
      <c r="IF103" s="1251"/>
      <c r="IG103" s="1251"/>
      <c r="IH103" s="1251"/>
      <c r="II103" s="1251"/>
      <c r="IJ103" s="1251"/>
      <c r="IK103" s="1251"/>
      <c r="IL103" s="1251"/>
      <c r="IM103" s="1251"/>
      <c r="IN103" s="1251"/>
      <c r="IO103" s="1251"/>
      <c r="IP103" s="1251"/>
      <c r="IQ103" s="1251"/>
      <c r="IR103" s="1251"/>
      <c r="IS103" s="1251"/>
      <c r="IT103" s="1251"/>
      <c r="IU103" s="1251"/>
      <c r="IV103" s="1251"/>
      <c r="IW103" s="1251"/>
      <c r="IX103" s="1251"/>
      <c r="IY103" s="1251"/>
      <c r="IZ103" s="1251"/>
      <c r="JA103" s="1251"/>
      <c r="JB103" s="1251"/>
      <c r="JC103" s="1251"/>
      <c r="JD103" s="1251"/>
      <c r="JE103" s="1251"/>
      <c r="JF103" s="1251"/>
      <c r="JG103" s="1251"/>
      <c r="JH103" s="1251"/>
      <c r="JI103" s="1251"/>
      <c r="JJ103" s="1251"/>
      <c r="JK103" s="1251"/>
      <c r="JL103" s="1251"/>
      <c r="JM103" s="1251"/>
      <c r="JN103" s="1251"/>
      <c r="JO103" s="1251"/>
      <c r="JP103" s="1251"/>
      <c r="JQ103" s="1251"/>
      <c r="JR103" s="1251"/>
      <c r="JS103" s="1251"/>
      <c r="JT103" s="1251"/>
      <c r="JU103" s="1251"/>
      <c r="JV103" s="1251"/>
      <c r="JW103" s="1251"/>
      <c r="JX103" s="1251"/>
      <c r="JY103" s="1251"/>
      <c r="JZ103" s="1251"/>
      <c r="KA103" s="1251"/>
      <c r="KB103" s="1251"/>
      <c r="KC103" s="1251"/>
      <c r="KD103" s="1251"/>
      <c r="KE103" s="1251"/>
      <c r="KF103" s="1251"/>
      <c r="KG103" s="1251"/>
      <c r="KH103" s="1251"/>
      <c r="KI103" s="1251"/>
      <c r="KJ103" s="1251"/>
      <c r="KK103" s="1251"/>
      <c r="KL103" s="1251"/>
      <c r="KM103" s="1251"/>
      <c r="KN103" s="1251"/>
      <c r="KO103" s="1251"/>
      <c r="KP103" s="1251"/>
      <c r="KQ103" s="1251"/>
      <c r="KR103" s="1251"/>
      <c r="KS103" s="1251"/>
      <c r="KT103" s="1251"/>
      <c r="KU103" s="1251"/>
      <c r="KV103" s="1251"/>
      <c r="KW103" s="1251"/>
      <c r="KX103" s="1251"/>
      <c r="KY103" s="1251"/>
      <c r="KZ103" s="1251"/>
      <c r="LA103" s="1251"/>
      <c r="LB103" s="1251"/>
      <c r="LC103" s="1251"/>
      <c r="LD103" s="1251"/>
      <c r="LE103" s="1251"/>
      <c r="LF103" s="1251"/>
      <c r="LG103" s="1251"/>
      <c r="LH103" s="1251"/>
      <c r="LI103" s="1251"/>
      <c r="LJ103" s="1251"/>
      <c r="LK103" s="1251"/>
      <c r="LL103" s="1251"/>
      <c r="LM103" s="1251"/>
      <c r="LN103" s="1251"/>
      <c r="LO103" s="1251"/>
      <c r="LP103" s="1251"/>
      <c r="LQ103" s="1251"/>
      <c r="LR103" s="1251"/>
      <c r="LS103" s="1251"/>
      <c r="LT103" s="1251"/>
      <c r="LU103" s="1251"/>
      <c r="LV103" s="1251"/>
      <c r="LW103" s="1251"/>
      <c r="LX103" s="1251"/>
      <c r="LY103" s="1251"/>
      <c r="LZ103" s="1251"/>
      <c r="MA103" s="1251"/>
      <c r="MB103" s="1251"/>
      <c r="MC103" s="1251"/>
      <c r="MD103" s="1251"/>
      <c r="ME103" s="1251"/>
      <c r="MF103" s="1251"/>
      <c r="MG103" s="1251"/>
      <c r="MH103" s="1251"/>
      <c r="MI103" s="1251"/>
      <c r="MJ103" s="1251"/>
      <c r="MK103" s="1251"/>
      <c r="ML103" s="1251"/>
      <c r="MM103" s="1251"/>
      <c r="MN103" s="1251"/>
      <c r="MO103" s="1251"/>
      <c r="MP103" s="1251"/>
      <c r="MQ103" s="1251"/>
      <c r="MR103" s="1251"/>
      <c r="MS103" s="1251"/>
      <c r="MT103" s="1251"/>
      <c r="MU103" s="1251"/>
      <c r="MV103" s="1251"/>
      <c r="MW103" s="1251"/>
      <c r="MX103" s="1251"/>
      <c r="MY103" s="1251"/>
      <c r="MZ103" s="1251"/>
      <c r="NA103" s="1251"/>
      <c r="NB103" s="1251"/>
      <c r="NC103" s="1251"/>
      <c r="ND103" s="1251"/>
      <c r="NE103" s="1251"/>
      <c r="NF103" s="1251"/>
      <c r="NG103" s="1251"/>
      <c r="NH103" s="1251"/>
      <c r="NI103" s="1251"/>
      <c r="NJ103" s="1251"/>
      <c r="NK103" s="1251"/>
      <c r="NL103" s="1251"/>
      <c r="NM103" s="1251"/>
      <c r="NN103" s="1251"/>
      <c r="NO103" s="1251"/>
      <c r="NP103" s="1251"/>
      <c r="NQ103" s="1251"/>
      <c r="NR103" s="1251"/>
      <c r="NS103" s="1251"/>
      <c r="NT103" s="1251"/>
      <c r="NU103" s="1251"/>
      <c r="NV103" s="1251"/>
      <c r="NW103" s="1251"/>
      <c r="NX103" s="1251"/>
      <c r="NY103" s="1251"/>
      <c r="NZ103" s="1251"/>
      <c r="OA103" s="1251"/>
      <c r="OB103" s="1251"/>
      <c r="OC103" s="1251"/>
      <c r="OD103" s="1251"/>
      <c r="OE103" s="1251"/>
      <c r="OF103" s="1251"/>
      <c r="OG103" s="1251"/>
      <c r="OH103" s="1251"/>
      <c r="OI103" s="1251"/>
      <c r="OJ103" s="1251"/>
      <c r="OK103" s="1251"/>
      <c r="OL103" s="1251"/>
      <c r="OM103" s="1251"/>
      <c r="ON103" s="1251"/>
      <c r="OO103" s="1251"/>
      <c r="OP103" s="1251"/>
      <c r="OQ103" s="1251"/>
      <c r="OR103" s="1251"/>
      <c r="OS103" s="1251"/>
      <c r="OT103" s="1251"/>
      <c r="OU103" s="1251"/>
      <c r="OV103" s="1251"/>
      <c r="OW103" s="1251"/>
      <c r="OX103" s="1251"/>
      <c r="OY103" s="1251"/>
      <c r="OZ103" s="1251"/>
      <c r="PA103" s="1251"/>
      <c r="PB103" s="1251"/>
      <c r="PC103" s="1251"/>
      <c r="PD103" s="1251"/>
      <c r="PE103" s="1251"/>
      <c r="PF103" s="1251"/>
      <c r="PG103" s="1251"/>
      <c r="PH103" s="1251"/>
      <c r="PI103" s="1251"/>
      <c r="PJ103" s="1251"/>
      <c r="PK103" s="1251"/>
      <c r="PL103" s="1251"/>
      <c r="PM103" s="1251"/>
      <c r="PN103" s="1251"/>
      <c r="PO103" s="1251"/>
      <c r="PP103" s="1251"/>
      <c r="PQ103" s="1251"/>
      <c r="PR103" s="1251"/>
      <c r="PS103" s="1251"/>
      <c r="PT103" s="1251"/>
      <c r="PU103" s="1251"/>
      <c r="PV103" s="1251"/>
      <c r="PW103" s="1251"/>
      <c r="PX103" s="1251"/>
      <c r="PY103" s="1251"/>
      <c r="PZ103" s="1251"/>
      <c r="QA103" s="1251"/>
      <c r="QB103" s="1251"/>
      <c r="QC103" s="1251"/>
      <c r="QD103" s="1251"/>
      <c r="QE103" s="1251"/>
      <c r="QF103" s="1251"/>
      <c r="QG103" s="1251"/>
      <c r="QH103" s="1251"/>
      <c r="QI103" s="1251"/>
      <c r="QJ103" s="1251"/>
      <c r="QK103" s="1251"/>
      <c r="QL103" s="1251"/>
      <c r="QM103" s="1251"/>
      <c r="QN103" s="1251"/>
      <c r="QO103" s="1251"/>
      <c r="QP103" s="1251"/>
      <c r="QQ103" s="1251"/>
      <c r="QR103" s="1251"/>
      <c r="QS103" s="1251"/>
      <c r="QT103" s="1251"/>
      <c r="QU103" s="1251"/>
      <c r="QV103" s="1251"/>
      <c r="QW103" s="1251"/>
      <c r="QX103" s="1251"/>
      <c r="QY103" s="1251"/>
      <c r="QZ103" s="1251"/>
      <c r="RA103" s="1251"/>
      <c r="RB103" s="1251"/>
      <c r="RC103" s="1251"/>
      <c r="RD103" s="1251"/>
      <c r="RE103" s="1251"/>
      <c r="RF103" s="1251"/>
      <c r="RG103" s="1251"/>
      <c r="RH103" s="1251"/>
      <c r="RI103" s="1251"/>
      <c r="RJ103" s="1251"/>
      <c r="RK103" s="1251"/>
      <c r="RL103" s="1251"/>
      <c r="RM103" s="1251"/>
      <c r="RN103" s="1251"/>
      <c r="RO103" s="1251"/>
      <c r="RP103" s="1251"/>
      <c r="RQ103" s="1251"/>
      <c r="RR103" s="1251"/>
      <c r="RS103" s="1251"/>
      <c r="RT103" s="1251"/>
      <c r="RU103" s="1251"/>
      <c r="RV103" s="1251"/>
      <c r="RW103" s="1251"/>
      <c r="RX103" s="1251"/>
      <c r="RY103" s="1251"/>
      <c r="RZ103" s="1251"/>
      <c r="SA103" s="1251"/>
      <c r="SB103" s="1251"/>
      <c r="SC103" s="1251"/>
      <c r="SD103" s="1251"/>
      <c r="SE103" s="1251"/>
      <c r="SF103" s="1251"/>
      <c r="SG103" s="1251"/>
      <c r="SH103" s="1251"/>
      <c r="SI103" s="1251"/>
      <c r="SJ103" s="1251"/>
      <c r="SK103" s="1251"/>
      <c r="SL103" s="1251"/>
      <c r="SM103" s="1251"/>
      <c r="SN103" s="1251"/>
      <c r="SO103" s="1251"/>
      <c r="SP103" s="1251"/>
      <c r="SQ103" s="1251"/>
      <c r="SR103" s="1251"/>
      <c r="SS103" s="1251"/>
      <c r="ST103" s="1251"/>
      <c r="SU103" s="1251"/>
      <c r="SV103" s="1251"/>
      <c r="SW103" s="1251"/>
      <c r="SX103" s="1251"/>
      <c r="SY103" s="1251"/>
      <c r="SZ103" s="1251"/>
      <c r="TA103" s="1251"/>
      <c r="TB103" s="1251"/>
      <c r="TC103" s="1251"/>
      <c r="TD103" s="1251"/>
      <c r="TE103" s="1251"/>
      <c r="TF103" s="1251"/>
      <c r="TG103" s="1251"/>
      <c r="TH103" s="1251"/>
      <c r="TI103" s="1251"/>
      <c r="TJ103" s="1251"/>
      <c r="TK103" s="1251"/>
      <c r="TL103" s="1251"/>
      <c r="TM103" s="1251"/>
      <c r="TN103" s="1251"/>
      <c r="TO103" s="1251"/>
      <c r="TP103" s="1251"/>
      <c r="TQ103" s="1251"/>
      <c r="TR103" s="1251"/>
      <c r="TS103" s="1251"/>
      <c r="TT103" s="1251"/>
      <c r="TU103" s="1251"/>
      <c r="TV103" s="1251"/>
      <c r="TW103" s="1251"/>
      <c r="TX103" s="1251"/>
      <c r="TY103" s="1251"/>
      <c r="TZ103" s="1251"/>
      <c r="UA103" s="1251"/>
      <c r="UB103" s="1251"/>
      <c r="UC103" s="1251"/>
      <c r="UD103" s="1251"/>
      <c r="UE103" s="1251"/>
      <c r="UF103" s="1251"/>
      <c r="UG103" s="1251"/>
      <c r="UH103" s="1251"/>
      <c r="UI103" s="1251"/>
      <c r="UJ103" s="1251"/>
      <c r="UK103" s="1251"/>
      <c r="UL103" s="1251"/>
      <c r="UM103" s="1251"/>
      <c r="UN103" s="1251"/>
      <c r="UO103" s="1251"/>
      <c r="UP103" s="1251"/>
      <c r="UQ103" s="1251"/>
      <c r="UR103" s="1251"/>
      <c r="US103" s="1251"/>
      <c r="UT103" s="1251"/>
      <c r="UU103" s="1251"/>
      <c r="UV103" s="1251"/>
      <c r="UW103" s="1251"/>
      <c r="UX103" s="1251"/>
      <c r="UY103" s="1251"/>
      <c r="UZ103" s="1251"/>
      <c r="VA103" s="1251"/>
      <c r="VB103" s="1251"/>
      <c r="VC103" s="1251"/>
      <c r="VD103" s="1251"/>
      <c r="VE103" s="1251"/>
      <c r="VF103" s="1251"/>
      <c r="VG103" s="1251"/>
      <c r="VH103" s="1251"/>
      <c r="VI103" s="1251"/>
      <c r="VJ103" s="1251"/>
      <c r="VK103" s="1251"/>
      <c r="VL103" s="1251"/>
      <c r="VM103" s="1251"/>
      <c r="VN103" s="1251"/>
      <c r="VO103" s="1251"/>
      <c r="VP103" s="1251"/>
      <c r="VQ103" s="1251"/>
      <c r="VR103" s="1251"/>
      <c r="VS103" s="1251"/>
      <c r="VT103" s="1251"/>
      <c r="VU103" s="1251"/>
      <c r="VV103" s="1251"/>
      <c r="VW103" s="1251"/>
      <c r="VX103" s="1251"/>
      <c r="VY103" s="1251"/>
      <c r="VZ103" s="1251"/>
      <c r="WA103" s="1251"/>
      <c r="WB103" s="1251"/>
      <c r="WC103" s="1251"/>
      <c r="WD103" s="1251"/>
      <c r="WE103" s="1251"/>
      <c r="WF103" s="1251"/>
      <c r="WG103" s="1251"/>
      <c r="WH103" s="1251"/>
      <c r="WI103" s="1251"/>
      <c r="WJ103" s="1251"/>
      <c r="WK103" s="1251"/>
      <c r="WL103" s="1251"/>
      <c r="WM103" s="1251"/>
      <c r="WN103" s="1251"/>
      <c r="WO103" s="1251"/>
      <c r="WP103" s="1251"/>
      <c r="WQ103" s="1251"/>
      <c r="WR103" s="1251"/>
      <c r="WS103" s="1251"/>
      <c r="WT103" s="1251"/>
      <c r="WU103" s="1251"/>
      <c r="WV103" s="1251"/>
      <c r="WW103" s="1251"/>
      <c r="WX103" s="1251"/>
      <c r="WY103" s="1251"/>
      <c r="WZ103" s="1251"/>
      <c r="XA103" s="1251"/>
      <c r="XB103" s="1251"/>
      <c r="XC103" s="1251"/>
      <c r="XD103" s="1251"/>
      <c r="XE103" s="1251"/>
      <c r="XF103" s="1251"/>
      <c r="XG103" s="1251"/>
      <c r="XH103" s="1251"/>
      <c r="XI103" s="1251"/>
      <c r="XJ103" s="1251"/>
      <c r="XK103" s="1251"/>
      <c r="XL103" s="1251"/>
      <c r="XM103" s="1251"/>
      <c r="XN103" s="1251"/>
      <c r="XO103" s="1251"/>
      <c r="XP103" s="1251"/>
      <c r="XQ103" s="1251"/>
      <c r="XR103" s="1251"/>
      <c r="XS103" s="1251"/>
      <c r="XT103" s="1251"/>
      <c r="XU103" s="1251"/>
      <c r="XV103" s="1251"/>
      <c r="XW103" s="1251"/>
      <c r="XX103" s="1251"/>
      <c r="XY103" s="1251"/>
      <c r="XZ103" s="1251"/>
      <c r="YA103" s="1251"/>
      <c r="YB103" s="1251"/>
      <c r="YC103" s="1251"/>
      <c r="YD103" s="1251"/>
      <c r="YE103" s="1251"/>
      <c r="YF103" s="1251"/>
      <c r="YG103" s="1251"/>
      <c r="YH103" s="1251"/>
      <c r="YI103" s="1251"/>
      <c r="YJ103" s="1251"/>
      <c r="YK103" s="1251"/>
      <c r="YL103" s="1251"/>
      <c r="YM103" s="1251"/>
      <c r="YN103" s="1251"/>
      <c r="YO103" s="1251"/>
      <c r="YP103" s="1251"/>
      <c r="YQ103" s="1251"/>
      <c r="YR103" s="1251"/>
      <c r="YS103" s="1251"/>
      <c r="YT103" s="1251"/>
      <c r="YU103" s="1251"/>
      <c r="YV103" s="1251"/>
      <c r="YW103" s="1251"/>
      <c r="YX103" s="1251"/>
      <c r="YY103" s="1251"/>
      <c r="YZ103" s="1251"/>
      <c r="ZA103" s="1251"/>
      <c r="ZB103" s="1251"/>
      <c r="ZC103" s="1251"/>
      <c r="ZD103" s="1251"/>
      <c r="ZE103" s="1251"/>
      <c r="ZF103" s="1251"/>
      <c r="ZG103" s="1251"/>
      <c r="ZH103" s="1251"/>
      <c r="ZI103" s="1251"/>
      <c r="ZJ103" s="1251"/>
      <c r="ZK103" s="1251"/>
      <c r="ZL103" s="1251"/>
      <c r="ZM103" s="1251"/>
      <c r="ZN103" s="1251"/>
      <c r="ZO103" s="1251"/>
      <c r="ZP103" s="1251"/>
      <c r="ZQ103" s="1251"/>
      <c r="ZR103" s="1251"/>
      <c r="ZS103" s="1251"/>
      <c r="ZT103" s="1251"/>
      <c r="ZU103" s="1251"/>
      <c r="ZV103" s="1251"/>
      <c r="ZW103" s="1251"/>
      <c r="ZX103" s="1251"/>
      <c r="ZY103" s="1251"/>
      <c r="ZZ103" s="1251"/>
      <c r="AAA103" s="1251"/>
      <c r="AAB103" s="1251"/>
      <c r="AAC103" s="1251"/>
      <c r="AAD103" s="1251"/>
      <c r="AAE103" s="1251"/>
      <c r="AAF103" s="1251"/>
      <c r="AAG103" s="1251"/>
      <c r="AAH103" s="1251"/>
      <c r="AAI103" s="1251"/>
      <c r="AAJ103" s="1251"/>
      <c r="AAK103" s="1251"/>
      <c r="AAL103" s="1251"/>
      <c r="AAM103" s="1251"/>
      <c r="AAN103" s="1251"/>
      <c r="AAO103" s="1251"/>
      <c r="AAP103" s="1251"/>
      <c r="AAQ103" s="1251"/>
      <c r="AAR103" s="1251"/>
      <c r="AAS103" s="1251"/>
      <c r="AAT103" s="1251"/>
      <c r="AAU103" s="1251"/>
      <c r="AAV103" s="1251"/>
      <c r="AAW103" s="1251"/>
      <c r="AAX103" s="1251"/>
      <c r="AAY103" s="1251"/>
      <c r="AAZ103" s="1251"/>
      <c r="ABA103" s="1251"/>
      <c r="ABB103" s="1251"/>
      <c r="ABC103" s="1251"/>
      <c r="ABD103" s="1251"/>
      <c r="ABE103" s="1251"/>
      <c r="ABF103" s="1251"/>
      <c r="ABG103" s="1251"/>
      <c r="ABH103" s="1251"/>
      <c r="ABI103" s="1251"/>
      <c r="ABJ103" s="1251"/>
      <c r="ABK103" s="1251"/>
      <c r="ABL103" s="1251"/>
      <c r="ABM103" s="1251"/>
      <c r="ABN103" s="1251"/>
      <c r="ABO103" s="1251"/>
      <c r="ABP103" s="1251"/>
      <c r="ABQ103" s="1251"/>
      <c r="ABR103" s="1251"/>
      <c r="ABS103" s="1251"/>
      <c r="ABT103" s="1251"/>
      <c r="ABU103" s="1251"/>
      <c r="ABV103" s="1251"/>
      <c r="ABW103" s="1251"/>
      <c r="ABX103" s="1251"/>
      <c r="ABY103" s="1251"/>
      <c r="ABZ103" s="1251"/>
      <c r="ACA103" s="1251"/>
      <c r="ACB103" s="1251"/>
      <c r="ACC103" s="1251"/>
      <c r="ACD103" s="1251"/>
      <c r="ACE103" s="1251"/>
      <c r="ACF103" s="1251"/>
      <c r="ACG103" s="1251"/>
      <c r="ACH103" s="1251"/>
      <c r="ACI103" s="1251"/>
      <c r="ACJ103" s="1251"/>
      <c r="ACK103" s="1251"/>
      <c r="ACL103" s="1251"/>
      <c r="ACM103" s="1251"/>
      <c r="ACN103" s="1251"/>
      <c r="ACO103" s="1251"/>
      <c r="ACP103" s="1251"/>
      <c r="ACQ103" s="1251"/>
      <c r="ACR103" s="1251"/>
      <c r="ACS103" s="1251"/>
      <c r="ACT103" s="1251"/>
      <c r="ACU103" s="1251"/>
      <c r="ACV103" s="1251"/>
      <c r="ACW103" s="1251"/>
      <c r="ACX103" s="1251"/>
      <c r="ACY103" s="1251"/>
      <c r="ACZ103" s="1251"/>
      <c r="ADA103" s="1251"/>
      <c r="ADB103" s="1251"/>
      <c r="ADC103" s="1251"/>
      <c r="ADD103" s="1251"/>
      <c r="ADE103" s="1251"/>
      <c r="ADF103" s="1251"/>
      <c r="ADG103" s="1251"/>
      <c r="ADH103" s="1251"/>
      <c r="ADI103" s="1251"/>
      <c r="ADJ103" s="1251"/>
      <c r="ADK103" s="1251"/>
      <c r="ADL103" s="1251"/>
      <c r="ADM103" s="1251"/>
      <c r="ADN103" s="1251"/>
      <c r="ADO103" s="1251"/>
      <c r="ADP103" s="1251"/>
      <c r="ADQ103" s="1251"/>
      <c r="ADR103" s="1251"/>
      <c r="ADS103" s="1251"/>
      <c r="ADT103" s="1251"/>
      <c r="ADU103" s="1251"/>
      <c r="ADV103" s="1251"/>
      <c r="ADW103" s="1251"/>
      <c r="ADX103" s="1251"/>
      <c r="ADY103" s="1251"/>
      <c r="ADZ103" s="1251"/>
      <c r="AEA103" s="1251"/>
      <c r="AEB103" s="1251"/>
      <c r="AEC103" s="1251"/>
      <c r="AED103" s="1251"/>
      <c r="AEE103" s="1251"/>
      <c r="AEF103" s="1251"/>
      <c r="AEG103" s="1251"/>
      <c r="AEH103" s="1251"/>
      <c r="AEI103" s="1251"/>
      <c r="AEJ103" s="1251"/>
      <c r="AEK103" s="1251"/>
      <c r="AEL103" s="1251"/>
      <c r="AEM103" s="1251"/>
      <c r="AEN103" s="1251"/>
      <c r="AEO103" s="1251"/>
      <c r="AEP103" s="1251"/>
      <c r="AEQ103" s="1251"/>
      <c r="AER103" s="1251"/>
      <c r="AES103" s="1251"/>
      <c r="AET103" s="1251"/>
      <c r="AEU103" s="1251"/>
      <c r="AEV103" s="1251"/>
      <c r="AEW103" s="1251"/>
      <c r="AEX103" s="1251"/>
      <c r="AEY103" s="1251"/>
      <c r="AEZ103" s="1251"/>
      <c r="AFA103" s="1251"/>
      <c r="AFB103" s="1251"/>
      <c r="AFC103" s="1251"/>
      <c r="AFD103" s="1251"/>
      <c r="AFE103" s="1251"/>
      <c r="AFF103" s="1251"/>
      <c r="AFG103" s="1251"/>
      <c r="AFH103" s="1251"/>
      <c r="AFI103" s="1251"/>
      <c r="AFJ103" s="1251"/>
      <c r="AFK103" s="1251"/>
      <c r="AFL103" s="1251"/>
      <c r="AFM103" s="1251"/>
      <c r="AFN103" s="1251"/>
      <c r="AFO103" s="1251"/>
      <c r="AFP103" s="1251"/>
      <c r="AFQ103" s="1251"/>
      <c r="AFR103" s="1251"/>
      <c r="AFS103" s="1251"/>
      <c r="AFT103" s="1251"/>
      <c r="AFU103" s="1251"/>
      <c r="AFV103" s="1251"/>
      <c r="AFW103" s="1251"/>
      <c r="AFX103" s="1251"/>
      <c r="AFY103" s="1251"/>
      <c r="AFZ103" s="1251"/>
      <c r="AGA103" s="1251"/>
      <c r="AGB103" s="1251"/>
      <c r="AGC103" s="1251"/>
      <c r="AGD103" s="1251"/>
      <c r="AGE103" s="1251"/>
      <c r="AGF103" s="1251"/>
      <c r="AGG103" s="1251"/>
      <c r="AGH103" s="1251"/>
      <c r="AGI103" s="1251"/>
      <c r="AGJ103" s="1251"/>
      <c r="AGK103" s="1251"/>
      <c r="AGL103" s="1251"/>
      <c r="AGM103" s="1251"/>
      <c r="AGN103" s="1251"/>
      <c r="AGO103" s="1251"/>
      <c r="AGP103" s="1251"/>
      <c r="AGQ103" s="1251"/>
      <c r="AGR103" s="1251"/>
      <c r="AGS103" s="1251"/>
      <c r="AGT103" s="1251"/>
      <c r="AGU103" s="1251"/>
      <c r="AGV103" s="1251"/>
      <c r="AGW103" s="1251"/>
      <c r="AGX103" s="1251"/>
      <c r="AGY103" s="1251"/>
      <c r="AGZ103" s="1251"/>
      <c r="AHA103" s="1251"/>
      <c r="AHB103" s="1251"/>
      <c r="AHC103" s="1251"/>
      <c r="AHD103" s="1251"/>
      <c r="AHE103" s="1251"/>
      <c r="AHF103" s="1251"/>
      <c r="AHG103" s="1251"/>
      <c r="AHH103" s="1251"/>
      <c r="AHI103" s="1251"/>
      <c r="AHJ103" s="1251"/>
      <c r="AHK103" s="1251"/>
      <c r="AHL103" s="1251"/>
      <c r="AHM103" s="1251"/>
      <c r="AHN103" s="1251"/>
      <c r="AHO103" s="1251"/>
      <c r="AHP103" s="1251"/>
      <c r="AHQ103" s="1251"/>
      <c r="AHR103" s="1251"/>
      <c r="AHS103" s="1251"/>
      <c r="AHT103" s="1251"/>
      <c r="AHU103" s="1251"/>
      <c r="AHV103" s="1251"/>
      <c r="AHW103" s="1251"/>
      <c r="AHX103" s="1251"/>
      <c r="AHY103" s="1251"/>
      <c r="AHZ103" s="1251"/>
      <c r="AIA103" s="1251"/>
      <c r="AIB103" s="1251"/>
      <c r="AIC103" s="1251"/>
      <c r="AID103" s="1251"/>
      <c r="AIE103" s="1251"/>
      <c r="AIF103" s="1251"/>
      <c r="AIG103" s="1251"/>
      <c r="AIH103" s="1251"/>
      <c r="AII103" s="1251"/>
      <c r="AIJ103" s="1251"/>
      <c r="AIK103" s="1251"/>
      <c r="AIL103" s="1251"/>
      <c r="AIM103" s="1251"/>
      <c r="AIN103" s="1251"/>
      <c r="AIO103" s="1251"/>
      <c r="AIP103" s="1251"/>
      <c r="AIQ103" s="1251"/>
      <c r="AIR103" s="1251"/>
      <c r="AIS103" s="1251"/>
      <c r="AIT103" s="1251"/>
      <c r="AIU103" s="1251"/>
      <c r="AIV103" s="1251"/>
      <c r="AIW103" s="1251"/>
      <c r="AIX103" s="1251"/>
      <c r="AIY103" s="1251"/>
      <c r="AIZ103" s="1251"/>
      <c r="AJA103" s="1251"/>
      <c r="AJB103" s="1251"/>
      <c r="AJC103" s="1251"/>
      <c r="AJD103" s="1251"/>
      <c r="AJE103" s="1251"/>
      <c r="AJF103" s="1251"/>
      <c r="AJG103" s="1251"/>
      <c r="AJH103" s="1251"/>
      <c r="AJI103" s="1251"/>
      <c r="AJJ103" s="1251"/>
      <c r="AJK103" s="1251"/>
      <c r="AJL103" s="1251"/>
      <c r="AJM103" s="1251"/>
      <c r="AJN103" s="1251"/>
      <c r="AJO103" s="1251"/>
      <c r="AJP103" s="1251"/>
      <c r="AJQ103" s="1251"/>
      <c r="AJR103" s="1251"/>
      <c r="AJS103" s="1251"/>
      <c r="AJT103" s="1251"/>
      <c r="AJU103" s="1251"/>
      <c r="AJV103" s="1251"/>
      <c r="AJW103" s="1251"/>
      <c r="AJX103" s="1251"/>
      <c r="AJY103" s="1251"/>
      <c r="AJZ103" s="1251"/>
      <c r="AKA103" s="1251"/>
      <c r="AKB103" s="1251"/>
      <c r="AKC103" s="1251"/>
      <c r="AKD103" s="1251"/>
      <c r="AKE103" s="1251"/>
      <c r="AKF103" s="1251"/>
      <c r="AKG103" s="1251"/>
      <c r="AKH103" s="1251"/>
      <c r="AKI103" s="1251"/>
      <c r="AKJ103" s="1251"/>
      <c r="AKK103" s="1251"/>
      <c r="AKL103" s="1251"/>
      <c r="AKM103" s="1251"/>
      <c r="AKN103" s="1251"/>
      <c r="AKO103" s="1251"/>
      <c r="AKP103" s="1251"/>
      <c r="AKQ103" s="1251"/>
      <c r="AKR103" s="1251"/>
      <c r="AKS103" s="1251"/>
      <c r="AKT103" s="1251"/>
      <c r="AKU103" s="1251"/>
      <c r="AKV103" s="1251"/>
      <c r="AKW103" s="1251"/>
      <c r="AKX103" s="1251"/>
      <c r="AKY103" s="1251"/>
      <c r="AKZ103" s="1251"/>
      <c r="ALA103" s="1251"/>
      <c r="ALB103" s="1251"/>
      <c r="ALC103" s="1251"/>
      <c r="ALD103" s="1251"/>
      <c r="ALE103" s="1251"/>
      <c r="ALF103" s="1251"/>
      <c r="ALG103" s="1251"/>
      <c r="ALH103" s="1251"/>
      <c r="ALI103" s="1251"/>
      <c r="ALJ103" s="1251"/>
      <c r="ALK103" s="1251"/>
      <c r="ALL103" s="1251"/>
      <c r="ALM103" s="1251"/>
      <c r="ALN103" s="1251"/>
      <c r="ALO103" s="1251"/>
      <c r="ALP103" s="1251"/>
      <c r="ALQ103" s="1251"/>
      <c r="ALR103" s="1251"/>
      <c r="ALS103" s="1251"/>
      <c r="ALT103" s="1251"/>
      <c r="ALU103" s="1251"/>
      <c r="ALV103" s="1251"/>
      <c r="ALW103" s="1251"/>
      <c r="ALX103" s="1251"/>
      <c r="ALY103" s="1251"/>
      <c r="ALZ103" s="1251"/>
      <c r="AMA103" s="1251"/>
      <c r="AMB103" s="1251"/>
      <c r="AMC103" s="1251"/>
      <c r="AMD103" s="1251"/>
      <c r="AME103" s="1251"/>
      <c r="AMF103" s="1251"/>
      <c r="AMG103" s="1251"/>
      <c r="AMH103" s="1251"/>
      <c r="AMI103" s="1251"/>
      <c r="AMJ103" s="1251"/>
      <c r="AMK103" s="1251"/>
      <c r="AML103" s="1251"/>
      <c r="AMM103" s="1251"/>
      <c r="AMN103" s="1251"/>
      <c r="AMO103" s="1251"/>
      <c r="AMP103" s="1251"/>
      <c r="AMQ103" s="1251"/>
      <c r="AMR103" s="1251"/>
      <c r="AMS103" s="1251"/>
      <c r="AMT103" s="1251"/>
      <c r="AMU103" s="1251"/>
      <c r="AMV103" s="1251"/>
      <c r="AMW103" s="1251"/>
      <c r="AMX103" s="1251"/>
      <c r="AMY103" s="1251"/>
      <c r="AMZ103" s="1251"/>
      <c r="ANA103" s="1251"/>
      <c r="ANB103" s="1251"/>
      <c r="ANC103" s="1251"/>
      <c r="AND103" s="1251"/>
      <c r="ANE103" s="1251"/>
      <c r="ANF103" s="1251"/>
      <c r="ANG103" s="1251"/>
      <c r="ANH103" s="1251"/>
      <c r="ANI103" s="1251"/>
      <c r="ANJ103" s="1251"/>
      <c r="ANK103" s="1251"/>
      <c r="ANL103" s="1251"/>
      <c r="ANM103" s="1251"/>
      <c r="ANN103" s="1251"/>
      <c r="ANO103" s="1251"/>
      <c r="ANP103" s="1251"/>
      <c r="ANQ103" s="1251"/>
      <c r="ANR103" s="1251"/>
      <c r="ANS103" s="1251"/>
      <c r="ANT103" s="1251"/>
      <c r="ANU103" s="1251"/>
      <c r="ANV103" s="1251"/>
      <c r="ANW103" s="1251"/>
      <c r="ANX103" s="1251"/>
      <c r="ANY103" s="1251"/>
      <c r="ANZ103" s="1251"/>
      <c r="AOA103" s="1251"/>
      <c r="AOB103" s="1251"/>
      <c r="AOC103" s="1251"/>
      <c r="AOD103" s="1251"/>
      <c r="AOE103" s="1251"/>
      <c r="AOF103" s="1251"/>
      <c r="AOG103" s="1251"/>
      <c r="AOH103" s="1251"/>
      <c r="AOI103" s="1251"/>
      <c r="AOJ103" s="1251"/>
      <c r="AOK103" s="1251"/>
      <c r="AOL103" s="1251"/>
      <c r="AOM103" s="1251"/>
      <c r="AON103" s="1251"/>
      <c r="AOO103" s="1251"/>
      <c r="AOP103" s="1251"/>
      <c r="AOQ103" s="1251"/>
      <c r="AOR103" s="1251"/>
      <c r="AOS103" s="1251"/>
      <c r="AOT103" s="1251"/>
      <c r="AOU103" s="1251"/>
      <c r="AOV103" s="1251"/>
      <c r="AOW103" s="1251"/>
      <c r="AOX103" s="1251"/>
      <c r="AOY103" s="1251"/>
      <c r="AOZ103" s="1251"/>
      <c r="APA103" s="1251"/>
      <c r="APB103" s="1251"/>
      <c r="APC103" s="1251"/>
      <c r="APD103" s="1251"/>
      <c r="APE103" s="1251"/>
      <c r="APF103" s="1251"/>
      <c r="APG103" s="1251"/>
      <c r="APH103" s="1251"/>
      <c r="API103" s="1251"/>
      <c r="APJ103" s="1251"/>
      <c r="APK103" s="1251"/>
      <c r="APL103" s="1251"/>
      <c r="APM103" s="1251"/>
      <c r="APN103" s="1251"/>
      <c r="APO103" s="1251"/>
      <c r="APP103" s="1251"/>
      <c r="APQ103" s="1251"/>
      <c r="APR103" s="1251"/>
      <c r="APS103" s="1251"/>
      <c r="APT103" s="1251"/>
      <c r="APU103" s="1251"/>
      <c r="APV103" s="1251"/>
      <c r="APW103" s="1251"/>
      <c r="APX103" s="1251"/>
      <c r="APY103" s="1251"/>
      <c r="APZ103" s="1251"/>
      <c r="AQA103" s="1251"/>
      <c r="AQB103" s="1251"/>
      <c r="AQC103" s="1251"/>
      <c r="AQD103" s="1251"/>
      <c r="AQE103" s="1251"/>
      <c r="AQF103" s="1251"/>
      <c r="AQG103" s="1251"/>
      <c r="AQH103" s="1251"/>
      <c r="AQI103" s="1251"/>
      <c r="AQJ103" s="1251"/>
      <c r="AQK103" s="1251"/>
      <c r="AQL103" s="1251"/>
      <c r="AQM103" s="1251"/>
      <c r="AQN103" s="1251"/>
      <c r="AQO103" s="1251"/>
      <c r="AQP103" s="1251"/>
      <c r="AQQ103" s="1251"/>
      <c r="AQR103" s="1251"/>
      <c r="AQS103" s="1251"/>
      <c r="AQT103" s="1251"/>
      <c r="AQU103" s="1251"/>
      <c r="AQV103" s="1251"/>
      <c r="AQW103" s="1251"/>
      <c r="AQX103" s="1251"/>
      <c r="AQY103" s="1251"/>
      <c r="AQZ103" s="1251"/>
      <c r="ARA103" s="1251"/>
      <c r="ARB103" s="1251"/>
      <c r="ARC103" s="1251"/>
      <c r="ARD103" s="1251"/>
      <c r="ARE103" s="1251"/>
      <c r="ARF103" s="1251"/>
      <c r="ARG103" s="1251"/>
      <c r="ARH103" s="1251"/>
      <c r="ARI103" s="1251"/>
      <c r="ARJ103" s="1251"/>
      <c r="ARK103" s="1251"/>
      <c r="ARL103" s="1251"/>
      <c r="ARM103" s="1251"/>
      <c r="ARN103" s="1251"/>
      <c r="ARO103" s="1251"/>
      <c r="ARP103" s="1251"/>
      <c r="ARQ103" s="1251"/>
      <c r="ARR103" s="1251"/>
      <c r="ARS103" s="1251"/>
      <c r="ART103" s="1251"/>
      <c r="ARU103" s="1251"/>
      <c r="ARV103" s="1251"/>
      <c r="ARW103" s="1251"/>
      <c r="ARX103" s="1251"/>
      <c r="ARY103" s="1251"/>
      <c r="ARZ103" s="1251"/>
      <c r="ASA103" s="1251"/>
      <c r="ASB103" s="1251"/>
      <c r="ASC103" s="1251"/>
      <c r="ASD103" s="1251"/>
      <c r="ASE103" s="1251"/>
      <c r="ASF103" s="1251"/>
      <c r="ASG103" s="1251"/>
      <c r="ASH103" s="1251"/>
      <c r="ASI103" s="1251"/>
      <c r="ASJ103" s="1251"/>
      <c r="ASK103" s="1251"/>
      <c r="ASL103" s="1251"/>
      <c r="ASM103" s="1251"/>
      <c r="ASN103" s="1251"/>
      <c r="ASO103" s="1251"/>
      <c r="ASP103" s="1251"/>
      <c r="ASQ103" s="1251"/>
      <c r="ASR103" s="1251"/>
      <c r="ASS103" s="1251"/>
      <c r="AST103" s="1251"/>
      <c r="ASU103" s="1251"/>
      <c r="ASV103" s="1251"/>
      <c r="ASW103" s="1251"/>
      <c r="ASX103" s="1251"/>
      <c r="ASY103" s="1251"/>
      <c r="ASZ103" s="1251"/>
      <c r="ATA103" s="1251"/>
      <c r="ATB103" s="1251"/>
      <c r="ATC103" s="1251"/>
      <c r="ATD103" s="1251"/>
      <c r="ATE103" s="1251"/>
      <c r="ATF103" s="1251"/>
      <c r="ATG103" s="1251"/>
      <c r="ATH103" s="1251"/>
      <c r="ATI103" s="1251"/>
      <c r="ATJ103" s="1251"/>
      <c r="ATK103" s="1251"/>
      <c r="ATL103" s="1251"/>
      <c r="ATM103" s="1251"/>
      <c r="ATN103" s="1251"/>
      <c r="ATO103" s="1251"/>
      <c r="ATP103" s="1251"/>
      <c r="ATQ103" s="1251"/>
      <c r="ATR103" s="1251"/>
      <c r="ATS103" s="1251"/>
      <c r="ATT103" s="1251"/>
      <c r="ATU103" s="1251"/>
      <c r="ATV103" s="1251"/>
      <c r="ATW103" s="1251"/>
      <c r="ATX103" s="1251"/>
      <c r="ATY103" s="1251"/>
      <c r="ATZ103" s="1251"/>
      <c r="AUA103" s="1251"/>
      <c r="AUB103" s="1251"/>
      <c r="AUC103" s="1251"/>
      <c r="AUD103" s="1251"/>
      <c r="AUE103" s="1251"/>
      <c r="AUF103" s="1251"/>
      <c r="AUG103" s="1251"/>
      <c r="AUH103" s="1251"/>
      <c r="AUI103" s="1251"/>
      <c r="AUJ103" s="1251"/>
      <c r="AUK103" s="1251"/>
      <c r="AUL103" s="1251"/>
      <c r="AUM103" s="1251"/>
      <c r="AUN103" s="1251"/>
      <c r="AUO103" s="1251"/>
      <c r="AUP103" s="1251"/>
      <c r="AUQ103" s="1251"/>
      <c r="AUR103" s="1251"/>
      <c r="AUS103" s="1251"/>
      <c r="AUT103" s="1251"/>
      <c r="AUU103" s="1251"/>
      <c r="AUV103" s="1251"/>
      <c r="AUW103" s="1251"/>
      <c r="AUX103" s="1251"/>
      <c r="AUY103" s="1251"/>
      <c r="AUZ103" s="1251"/>
      <c r="AVA103" s="1251"/>
      <c r="AVB103" s="1251"/>
      <c r="AVC103" s="1251"/>
      <c r="AVD103" s="1251"/>
      <c r="AVE103" s="1251"/>
      <c r="AVF103" s="1251"/>
      <c r="AVG103" s="1251"/>
      <c r="AVH103" s="1251"/>
      <c r="AVI103" s="1251"/>
      <c r="AVJ103" s="1251"/>
      <c r="AVK103" s="1251"/>
      <c r="AVL103" s="1251"/>
      <c r="AVM103" s="1251"/>
      <c r="AVN103" s="1251"/>
      <c r="AVO103" s="1251"/>
      <c r="AVP103" s="1251"/>
      <c r="AVQ103" s="1251"/>
      <c r="AVR103" s="1251"/>
      <c r="AVS103" s="1251"/>
      <c r="AVT103" s="1251"/>
      <c r="AVU103" s="1251"/>
      <c r="AVV103" s="1251"/>
      <c r="AVW103" s="1251"/>
      <c r="AVX103" s="1251"/>
      <c r="AVY103" s="1251"/>
      <c r="AVZ103" s="1251"/>
      <c r="AWA103" s="1251"/>
      <c r="AWB103" s="1251"/>
      <c r="AWC103" s="1251"/>
      <c r="AWD103" s="1251"/>
      <c r="AWE103" s="1251"/>
      <c r="AWF103" s="1251"/>
      <c r="AWG103" s="1251"/>
      <c r="AWH103" s="1251"/>
      <c r="AWI103" s="1251"/>
      <c r="AWJ103" s="1251"/>
      <c r="AWK103" s="1251"/>
      <c r="AWL103" s="1251"/>
      <c r="AWM103" s="1251"/>
      <c r="AWN103" s="1251"/>
      <c r="AWO103" s="1251"/>
      <c r="AWP103" s="1251"/>
      <c r="AWQ103" s="1251"/>
      <c r="AWR103" s="1251"/>
      <c r="AWS103" s="1251"/>
      <c r="AWT103" s="1251"/>
      <c r="AWU103" s="1251"/>
      <c r="AWV103" s="1251"/>
      <c r="AWW103" s="1251"/>
      <c r="AWX103" s="1251"/>
      <c r="AWY103" s="1251"/>
      <c r="AWZ103" s="1251"/>
      <c r="AXA103" s="1251"/>
      <c r="AXB103" s="1251"/>
      <c r="AXC103" s="1251"/>
      <c r="AXD103" s="1251"/>
      <c r="AXE103" s="1251"/>
      <c r="AXF103" s="1251"/>
      <c r="AXG103" s="1251"/>
      <c r="AXH103" s="1251"/>
      <c r="AXI103" s="1251"/>
      <c r="AXJ103" s="1251"/>
      <c r="AXK103" s="1251"/>
      <c r="AXL103" s="1251"/>
      <c r="AXM103" s="1251"/>
      <c r="AXN103" s="1251"/>
      <c r="AXO103" s="1251"/>
      <c r="AXP103" s="1251"/>
      <c r="AXQ103" s="1251"/>
      <c r="AXR103" s="1251"/>
      <c r="AXS103" s="1251"/>
      <c r="AXT103" s="1251"/>
      <c r="AXU103" s="1251"/>
      <c r="AXV103" s="1251"/>
      <c r="AXW103" s="1251"/>
      <c r="AXX103" s="1251"/>
      <c r="AXY103" s="1251"/>
      <c r="AXZ103" s="1251"/>
      <c r="AYA103" s="1251"/>
      <c r="AYB103" s="1251"/>
      <c r="AYC103" s="1251"/>
      <c r="AYD103" s="1251"/>
      <c r="AYE103" s="1251"/>
      <c r="AYF103" s="1251"/>
      <c r="AYG103" s="1251"/>
      <c r="AYH103" s="1251"/>
      <c r="AYI103" s="1251"/>
      <c r="AYJ103" s="1251"/>
      <c r="AYK103" s="1251"/>
      <c r="AYL103" s="1251"/>
      <c r="AYM103" s="1251"/>
      <c r="AYN103" s="1251"/>
      <c r="AYO103" s="1251"/>
      <c r="AYP103" s="1251"/>
      <c r="AYQ103" s="1251"/>
      <c r="AYR103" s="1251"/>
      <c r="AYS103" s="1251"/>
      <c r="AYT103" s="1251"/>
      <c r="AYU103" s="1251"/>
      <c r="AYV103" s="1251"/>
      <c r="AYW103" s="1251"/>
      <c r="AYX103" s="1251"/>
      <c r="AYY103" s="1251"/>
      <c r="AYZ103" s="1251"/>
      <c r="AZA103" s="1251"/>
      <c r="AZB103" s="1251"/>
      <c r="AZC103" s="1251"/>
      <c r="AZD103" s="1251"/>
      <c r="AZE103" s="1251"/>
      <c r="AZF103" s="1251"/>
      <c r="AZG103" s="1251"/>
      <c r="AZH103" s="1251"/>
      <c r="AZI103" s="1251"/>
      <c r="AZJ103" s="1251"/>
      <c r="AZK103" s="1251"/>
      <c r="AZL103" s="1251"/>
      <c r="AZM103" s="1251"/>
      <c r="AZN103" s="1251"/>
      <c r="AZO103" s="1251"/>
      <c r="AZP103" s="1251"/>
      <c r="AZQ103" s="1251"/>
      <c r="AZR103" s="1251"/>
      <c r="AZS103" s="1251"/>
      <c r="AZT103" s="1251"/>
      <c r="AZU103" s="1251"/>
      <c r="AZV103" s="1251"/>
      <c r="AZW103" s="1251"/>
      <c r="AZX103" s="1251"/>
      <c r="AZY103" s="1251"/>
      <c r="AZZ103" s="1251"/>
      <c r="BAA103" s="1251"/>
      <c r="BAB103" s="1251"/>
      <c r="BAC103" s="1251"/>
      <c r="BAD103" s="1251"/>
      <c r="BAE103" s="1251"/>
      <c r="BAF103" s="1251"/>
      <c r="BAG103" s="1251"/>
      <c r="BAH103" s="1251"/>
      <c r="BAI103" s="1251"/>
      <c r="BAJ103" s="1251"/>
      <c r="BAK103" s="1251"/>
      <c r="BAL103" s="1251"/>
      <c r="BAM103" s="1251"/>
      <c r="BAN103" s="1251"/>
      <c r="BAO103" s="1251"/>
      <c r="BAP103" s="1251"/>
      <c r="BAQ103" s="1251"/>
      <c r="BAR103" s="1251"/>
      <c r="BAS103" s="1251"/>
      <c r="BAT103" s="1251"/>
      <c r="BAU103" s="1251"/>
      <c r="BAV103" s="1251"/>
      <c r="BAW103" s="1251"/>
      <c r="BAX103" s="1251"/>
      <c r="BAY103" s="1251"/>
      <c r="BAZ103" s="1251"/>
      <c r="BBA103" s="1251"/>
      <c r="BBB103" s="1251"/>
      <c r="BBC103" s="1251"/>
      <c r="BBD103" s="1251"/>
      <c r="BBE103" s="1251"/>
      <c r="BBF103" s="1251"/>
      <c r="BBG103" s="1251"/>
      <c r="BBH103" s="1251"/>
      <c r="BBI103" s="1251"/>
      <c r="BBJ103" s="1251"/>
      <c r="BBK103" s="1251"/>
      <c r="BBL103" s="1251"/>
      <c r="BBM103" s="1251"/>
      <c r="BBN103" s="1251"/>
      <c r="BBO103" s="1251"/>
      <c r="BBP103" s="1251"/>
      <c r="BBQ103" s="1251"/>
      <c r="BBR103" s="1251"/>
      <c r="BBS103" s="1251"/>
      <c r="BBT103" s="1251"/>
      <c r="BBU103" s="1251"/>
      <c r="BBV103" s="1251"/>
      <c r="BBW103" s="1251"/>
      <c r="BBX103" s="1251"/>
      <c r="BBY103" s="1251"/>
      <c r="BBZ103" s="1251"/>
      <c r="BCA103" s="1251"/>
      <c r="BCB103" s="1251"/>
      <c r="BCC103" s="1251"/>
      <c r="BCD103" s="1251"/>
      <c r="BCE103" s="1251"/>
      <c r="BCF103" s="1251"/>
      <c r="BCG103" s="1251"/>
      <c r="BCH103" s="1251"/>
      <c r="BCI103" s="1251"/>
      <c r="BCJ103" s="1251"/>
      <c r="BCK103" s="1251"/>
      <c r="BCL103" s="1251"/>
      <c r="BCM103" s="1251"/>
      <c r="BCN103" s="1251"/>
      <c r="BCO103" s="1251"/>
      <c r="BCP103" s="1251"/>
      <c r="BCQ103" s="1251"/>
      <c r="BCR103" s="1251"/>
      <c r="BCS103" s="1251"/>
      <c r="BCT103" s="1251"/>
      <c r="BCU103" s="1251"/>
      <c r="BCV103" s="1251"/>
      <c r="BCW103" s="1251"/>
      <c r="BCX103" s="1251"/>
      <c r="BCY103" s="1251"/>
      <c r="BCZ103" s="1251"/>
      <c r="BDA103" s="1251"/>
      <c r="BDB103" s="1251"/>
      <c r="BDC103" s="1251"/>
      <c r="BDD103" s="1251"/>
      <c r="BDE103" s="1251"/>
      <c r="BDF103" s="1251"/>
      <c r="BDG103" s="1251"/>
      <c r="BDH103" s="1251"/>
      <c r="BDI103" s="1251"/>
      <c r="BDJ103" s="1251"/>
      <c r="BDK103" s="1251"/>
      <c r="BDL103" s="1251"/>
      <c r="BDM103" s="1251"/>
      <c r="BDN103" s="1251"/>
      <c r="BDO103" s="1251"/>
      <c r="BDP103" s="1251"/>
      <c r="BDQ103" s="1251"/>
      <c r="BDR103" s="1251"/>
      <c r="BDS103" s="1251"/>
      <c r="BDT103" s="1251"/>
      <c r="BDU103" s="1251"/>
      <c r="BDV103" s="1251"/>
      <c r="BDW103" s="1251"/>
      <c r="BDX103" s="1251"/>
      <c r="BDY103" s="1251"/>
      <c r="BDZ103" s="1251"/>
      <c r="BEA103" s="1251"/>
      <c r="BEB103" s="1251"/>
      <c r="BEC103" s="1251"/>
      <c r="BED103" s="1251"/>
      <c r="BEE103" s="1251"/>
      <c r="BEF103" s="1251"/>
      <c r="BEG103" s="1251"/>
      <c r="BEH103" s="1251"/>
      <c r="BEI103" s="1251"/>
      <c r="BEJ103" s="1251"/>
      <c r="BEK103" s="1251"/>
      <c r="BEL103" s="1251"/>
      <c r="BEM103" s="1251"/>
      <c r="BEN103" s="1251"/>
      <c r="BEO103" s="1251"/>
      <c r="BEP103" s="1251"/>
      <c r="BEQ103" s="1251"/>
      <c r="BER103" s="1251"/>
      <c r="BES103" s="1251"/>
      <c r="BET103" s="1251"/>
      <c r="BEU103" s="1251"/>
      <c r="BEV103" s="1251"/>
      <c r="BEW103" s="1251"/>
      <c r="BEX103" s="1251"/>
      <c r="BEY103" s="1251"/>
      <c r="BEZ103" s="1251"/>
      <c r="BFA103" s="1251"/>
      <c r="BFB103" s="1251"/>
      <c r="BFC103" s="1251"/>
      <c r="BFD103" s="1251"/>
      <c r="BFE103" s="1251"/>
      <c r="BFF103" s="1251"/>
      <c r="BFG103" s="1251"/>
      <c r="BFH103" s="1251"/>
      <c r="BFI103" s="1251"/>
      <c r="BFJ103" s="1251"/>
      <c r="BFK103" s="1251"/>
      <c r="BFL103" s="1251"/>
      <c r="BFM103" s="1251"/>
      <c r="BFN103" s="1251"/>
      <c r="BFO103" s="1251"/>
      <c r="BFP103" s="1251"/>
      <c r="BFQ103" s="1251"/>
      <c r="BFR103" s="1251"/>
      <c r="BFS103" s="1251"/>
      <c r="BFT103" s="1251"/>
      <c r="BFU103" s="1251"/>
      <c r="BFV103" s="1251"/>
      <c r="BFW103" s="1251"/>
      <c r="BFX103" s="1251"/>
      <c r="BFY103" s="1251"/>
      <c r="BFZ103" s="1251"/>
      <c r="BGA103" s="1251"/>
      <c r="BGB103" s="1251"/>
      <c r="BGC103" s="1251"/>
      <c r="BGD103" s="1251"/>
      <c r="BGE103" s="1251"/>
      <c r="BGF103" s="1251"/>
      <c r="BGG103" s="1251"/>
      <c r="BGH103" s="1251"/>
      <c r="BGI103" s="1251"/>
      <c r="BGJ103" s="1251"/>
      <c r="BGK103" s="1251"/>
      <c r="BGL103" s="1251"/>
      <c r="BGM103" s="1251"/>
      <c r="BGN103" s="1251"/>
      <c r="BGO103" s="1251"/>
      <c r="BGP103" s="1251"/>
      <c r="BGQ103" s="1251"/>
      <c r="BGR103" s="1251"/>
      <c r="BGS103" s="1251"/>
      <c r="BGT103" s="1251"/>
      <c r="BGU103" s="1251"/>
      <c r="BGV103" s="1251"/>
      <c r="BGW103" s="1251"/>
      <c r="BGX103" s="1251"/>
      <c r="BGY103" s="1251"/>
      <c r="BGZ103" s="1251"/>
      <c r="BHA103" s="1251"/>
      <c r="BHB103" s="1251"/>
      <c r="BHC103" s="1251"/>
      <c r="BHD103" s="1251"/>
      <c r="BHE103" s="1251"/>
      <c r="BHF103" s="1251"/>
      <c r="BHG103" s="1251"/>
      <c r="BHH103" s="1251"/>
      <c r="BHI103" s="1251"/>
      <c r="BHJ103" s="1251"/>
      <c r="BHK103" s="1251"/>
      <c r="BHL103" s="1251"/>
      <c r="BHM103" s="1251"/>
      <c r="BHN103" s="1251"/>
      <c r="BHO103" s="1251"/>
      <c r="BHP103" s="1251"/>
      <c r="BHQ103" s="1251"/>
      <c r="BHR103" s="1251"/>
      <c r="BHS103" s="1251"/>
      <c r="BHT103" s="1251"/>
      <c r="BHU103" s="1251"/>
      <c r="BHV103" s="1251"/>
      <c r="BHW103" s="1251"/>
      <c r="BHX103" s="1251"/>
      <c r="BHY103" s="1251"/>
      <c r="BHZ103" s="1251"/>
      <c r="BIA103" s="1251"/>
      <c r="BIB103" s="1251"/>
      <c r="BIC103" s="1251"/>
      <c r="BID103" s="1251"/>
      <c r="BIE103" s="1251"/>
      <c r="BIF103" s="1251"/>
      <c r="BIG103" s="1251"/>
      <c r="BIH103" s="1251"/>
      <c r="BII103" s="1251"/>
      <c r="BIJ103" s="1251"/>
      <c r="BIK103" s="1251"/>
      <c r="BIL103" s="1251"/>
      <c r="BIM103" s="1251"/>
      <c r="BIN103" s="1251"/>
      <c r="BIO103" s="1251"/>
      <c r="BIP103" s="1251"/>
      <c r="BIQ103" s="1251"/>
      <c r="BIR103" s="1251"/>
      <c r="BIS103" s="1251"/>
      <c r="BIT103" s="1251"/>
      <c r="BIU103" s="1251"/>
      <c r="BIV103" s="1251"/>
      <c r="BIW103" s="1251"/>
      <c r="BIX103" s="1251"/>
      <c r="BIY103" s="1251"/>
      <c r="BIZ103" s="1251"/>
      <c r="BJA103" s="1251"/>
      <c r="BJB103" s="1251"/>
      <c r="BJC103" s="1251"/>
      <c r="BJD103" s="1251"/>
      <c r="BJE103" s="1251"/>
      <c r="BJF103" s="1251"/>
      <c r="BJG103" s="1251"/>
      <c r="BJH103" s="1251"/>
      <c r="BJI103" s="1251"/>
      <c r="BJJ103" s="1251"/>
      <c r="BJK103" s="1251"/>
      <c r="BJL103" s="1251"/>
      <c r="BJM103" s="1251"/>
      <c r="BJN103" s="1251"/>
      <c r="BJO103" s="1251"/>
      <c r="BJP103" s="1251"/>
      <c r="BJQ103" s="1251"/>
      <c r="BJR103" s="1251"/>
      <c r="BJS103" s="1251"/>
      <c r="BJT103" s="1251"/>
      <c r="BJU103" s="1251"/>
      <c r="BJV103" s="1251"/>
      <c r="BJW103" s="1251"/>
      <c r="BJX103" s="1251"/>
      <c r="BJY103" s="1251"/>
      <c r="BJZ103" s="1251"/>
      <c r="BKA103" s="1251"/>
      <c r="BKB103" s="1251"/>
      <c r="BKC103" s="1251"/>
      <c r="BKD103" s="1251"/>
      <c r="BKE103" s="1251"/>
      <c r="BKF103" s="1251"/>
      <c r="BKG103" s="1251"/>
      <c r="BKH103" s="1251"/>
      <c r="BKI103" s="1251"/>
      <c r="BKJ103" s="1251"/>
      <c r="BKK103" s="1251"/>
      <c r="BKL103" s="1251"/>
      <c r="BKM103" s="1251"/>
      <c r="BKN103" s="1251"/>
      <c r="BKO103" s="1251"/>
      <c r="BKP103" s="1251"/>
      <c r="BKQ103" s="1251"/>
      <c r="BKR103" s="1251"/>
      <c r="BKS103" s="1251"/>
      <c r="BKT103" s="1251"/>
      <c r="BKU103" s="1251"/>
      <c r="BKV103" s="1251"/>
      <c r="BKW103" s="1251"/>
      <c r="BKX103" s="1251"/>
      <c r="BKY103" s="1251"/>
      <c r="BKZ103" s="1251"/>
      <c r="BLA103" s="1251"/>
      <c r="BLB103" s="1251"/>
      <c r="BLC103" s="1251"/>
      <c r="BLD103" s="1251"/>
      <c r="BLE103" s="1251"/>
      <c r="BLF103" s="1251"/>
      <c r="BLG103" s="1251"/>
      <c r="BLH103" s="1251"/>
      <c r="BLI103" s="1251"/>
      <c r="BLJ103" s="1251"/>
      <c r="BLK103" s="1251"/>
      <c r="BLL103" s="1251"/>
      <c r="BLM103" s="1251"/>
      <c r="BLN103" s="1251"/>
      <c r="BLO103" s="1251"/>
      <c r="BLP103" s="1251"/>
      <c r="BLQ103" s="1251"/>
      <c r="BLR103" s="1251"/>
      <c r="BLS103" s="1251"/>
      <c r="BLT103" s="1251"/>
      <c r="BLU103" s="1251"/>
      <c r="BLV103" s="1251"/>
      <c r="BLW103" s="1251"/>
      <c r="BLX103" s="1251"/>
      <c r="BLY103" s="1251"/>
      <c r="BLZ103" s="1251"/>
      <c r="BMA103" s="1251"/>
      <c r="BMB103" s="1251"/>
      <c r="BMC103" s="1251"/>
      <c r="BMD103" s="1251"/>
      <c r="BME103" s="1251"/>
      <c r="BMF103" s="1251"/>
      <c r="BMG103" s="1251"/>
      <c r="BMH103" s="1251"/>
      <c r="BMI103" s="1251"/>
      <c r="BMJ103" s="1251"/>
      <c r="BMK103" s="1251"/>
      <c r="BML103" s="1251"/>
      <c r="BMM103" s="1251"/>
      <c r="BMN103" s="1251"/>
      <c r="BMO103" s="1251"/>
      <c r="BMP103" s="1251"/>
      <c r="BMQ103" s="1251"/>
      <c r="BMR103" s="1251"/>
      <c r="BMS103" s="1251"/>
      <c r="BMT103" s="1251"/>
      <c r="BMU103" s="1251"/>
      <c r="BMV103" s="1251"/>
      <c r="BMW103" s="1251"/>
      <c r="BMX103" s="1251"/>
      <c r="BMY103" s="1251"/>
      <c r="BMZ103" s="1251"/>
      <c r="BNA103" s="1251"/>
      <c r="BNB103" s="1251"/>
      <c r="BNC103" s="1251"/>
      <c r="BND103" s="1251"/>
      <c r="BNE103" s="1251"/>
      <c r="BNF103" s="1251"/>
      <c r="BNG103" s="1251"/>
      <c r="BNH103" s="1251"/>
      <c r="BNI103" s="1251"/>
      <c r="BNJ103" s="1251"/>
      <c r="BNK103" s="1251"/>
      <c r="BNL103" s="1251"/>
      <c r="BNM103" s="1251"/>
      <c r="BNN103" s="1251"/>
      <c r="BNO103" s="1251"/>
      <c r="BNP103" s="1251"/>
      <c r="BNQ103" s="1251"/>
      <c r="BNR103" s="1251"/>
      <c r="BNS103" s="1251"/>
      <c r="BNT103" s="1251"/>
      <c r="BNU103" s="1251"/>
      <c r="BNV103" s="1251"/>
      <c r="BNW103" s="1251"/>
      <c r="BNX103" s="1251"/>
      <c r="BNY103" s="1251"/>
      <c r="BNZ103" s="1251"/>
      <c r="BOA103" s="1251"/>
      <c r="BOB103" s="1251"/>
      <c r="BOC103" s="1251"/>
      <c r="BOD103" s="1251"/>
      <c r="BOE103" s="1251"/>
      <c r="BOF103" s="1251"/>
      <c r="BOG103" s="1251"/>
      <c r="BOH103" s="1251"/>
      <c r="BOI103" s="1251"/>
      <c r="BOJ103" s="1251"/>
      <c r="BOK103" s="1251"/>
      <c r="BOL103" s="1251"/>
      <c r="BOM103" s="1251"/>
      <c r="BON103" s="1251"/>
      <c r="BOO103" s="1251"/>
      <c r="BOP103" s="1251"/>
      <c r="BOQ103" s="1251"/>
      <c r="BOR103" s="1251"/>
      <c r="BOS103" s="1251"/>
      <c r="BOT103" s="1251"/>
      <c r="BOU103" s="1251"/>
      <c r="BOV103" s="1251"/>
      <c r="BOW103" s="1251"/>
      <c r="BOX103" s="1251"/>
      <c r="BOY103" s="1251"/>
      <c r="BOZ103" s="1251"/>
      <c r="BPA103" s="1251"/>
      <c r="BPB103" s="1251"/>
      <c r="BPC103" s="1251"/>
      <c r="BPD103" s="1251"/>
      <c r="BPE103" s="1251"/>
      <c r="BPF103" s="1251"/>
      <c r="BPG103" s="1251"/>
      <c r="BPH103" s="1251"/>
      <c r="BPI103" s="1251"/>
      <c r="BPJ103" s="1251"/>
      <c r="BPK103" s="1251"/>
      <c r="BPL103" s="1251"/>
      <c r="BPM103" s="1251"/>
      <c r="BPN103" s="1251"/>
      <c r="BPO103" s="1251"/>
      <c r="BPP103" s="1251"/>
      <c r="BPQ103" s="1251"/>
      <c r="BPR103" s="1251"/>
      <c r="BPS103" s="1251"/>
      <c r="BPT103" s="1251"/>
      <c r="BPU103" s="1251"/>
      <c r="BPV103" s="1251"/>
      <c r="BPW103" s="1251"/>
      <c r="BPX103" s="1251"/>
      <c r="BPY103" s="1251"/>
      <c r="BPZ103" s="1251"/>
      <c r="BQA103" s="1251"/>
      <c r="BQB103" s="1251"/>
      <c r="BQC103" s="1251"/>
      <c r="BQD103" s="1251"/>
      <c r="BQE103" s="1251"/>
      <c r="BQF103" s="1251"/>
      <c r="BQG103" s="1251"/>
      <c r="BQH103" s="1251"/>
      <c r="BQI103" s="1251"/>
      <c r="BQJ103" s="1251"/>
      <c r="BQK103" s="1251"/>
      <c r="BQL103" s="1251"/>
      <c r="BQM103" s="1251"/>
      <c r="BQN103" s="1251"/>
      <c r="BQO103" s="1251"/>
      <c r="BQP103" s="1251"/>
      <c r="BQQ103" s="1251"/>
      <c r="BQR103" s="1251"/>
      <c r="BQS103" s="1251"/>
      <c r="BQT103" s="1251"/>
      <c r="BQU103" s="1251"/>
      <c r="BQV103" s="1251"/>
      <c r="BQW103" s="1251"/>
      <c r="BQX103" s="1251"/>
      <c r="BQY103" s="1251"/>
      <c r="BQZ103" s="1251"/>
      <c r="BRA103" s="1251"/>
      <c r="BRB103" s="1251"/>
      <c r="BRC103" s="1251"/>
      <c r="BRD103" s="1251"/>
      <c r="BRE103" s="1251"/>
      <c r="BRF103" s="1251"/>
      <c r="BRG103" s="1251"/>
      <c r="BRH103" s="1251"/>
      <c r="BRI103" s="1251"/>
      <c r="BRJ103" s="1251"/>
      <c r="BRK103" s="1251"/>
      <c r="BRL103" s="1251"/>
      <c r="BRM103" s="1251"/>
      <c r="BRN103" s="1251"/>
      <c r="BRO103" s="1251"/>
      <c r="BRP103" s="1251"/>
      <c r="BRQ103" s="1251"/>
      <c r="BRR103" s="1251"/>
      <c r="BRS103" s="1251"/>
      <c r="BRT103" s="1251"/>
      <c r="BRU103" s="1251"/>
      <c r="BRV103" s="1251"/>
      <c r="BRW103" s="1251"/>
      <c r="BRX103" s="1251"/>
      <c r="BRY103" s="1251"/>
      <c r="BRZ103" s="1251"/>
      <c r="BSA103" s="1251"/>
      <c r="BSB103" s="1251"/>
      <c r="BSC103" s="1251"/>
      <c r="BSD103" s="1251"/>
      <c r="BSE103" s="1251"/>
      <c r="BSF103" s="1251"/>
      <c r="BSG103" s="1251"/>
      <c r="BSH103" s="1251"/>
      <c r="BSI103" s="1251"/>
      <c r="BSJ103" s="1251"/>
      <c r="BSK103" s="1251"/>
      <c r="BSL103" s="1251"/>
      <c r="BSM103" s="1251"/>
      <c r="BSN103" s="1251"/>
      <c r="BSO103" s="1251"/>
      <c r="BSP103" s="1251"/>
      <c r="BSQ103" s="1251"/>
      <c r="BSR103" s="1251"/>
      <c r="BSS103" s="1251"/>
      <c r="BST103" s="1251"/>
      <c r="BSU103" s="1251"/>
      <c r="BSV103" s="1251"/>
      <c r="BSW103" s="1251"/>
      <c r="BSX103" s="1251"/>
      <c r="BSY103" s="1251"/>
      <c r="BSZ103" s="1251"/>
      <c r="BTA103" s="1251"/>
      <c r="BTB103" s="1251"/>
      <c r="BTC103" s="1251"/>
      <c r="BTD103" s="1251"/>
      <c r="BTE103" s="1251"/>
      <c r="BTF103" s="1251"/>
      <c r="BTG103" s="1251"/>
      <c r="BTH103" s="1251"/>
      <c r="BTI103" s="1251"/>
    </row>
    <row r="104" spans="1:1881" s="1261" customFormat="1" ht="56.25" hidden="1" customHeight="1" thickBot="1" x14ac:dyDescent="0.35">
      <c r="A104" s="1248">
        <v>534</v>
      </c>
      <c r="B104" s="1272" t="s">
        <v>652</v>
      </c>
      <c r="C104" s="668" t="s">
        <v>1276</v>
      </c>
      <c r="D104" s="24" t="s">
        <v>1300</v>
      </c>
      <c r="E104" s="1249" t="e">
        <f>HLOOKUP($D$2,'2020 Data(H)'!$C$1:$CZ$426,184,FALSE)</f>
        <v>#N/A</v>
      </c>
      <c r="F104" s="1263">
        <v>0</v>
      </c>
      <c r="G104" s="1273"/>
      <c r="H104" s="17"/>
      <c r="I104" s="760"/>
      <c r="J104" s="1252"/>
      <c r="K104" s="1251"/>
      <c r="L104" s="701"/>
      <c r="M104" s="1251"/>
      <c r="N104" s="1253"/>
      <c r="O104" s="1251"/>
      <c r="P104" s="1251"/>
      <c r="Q104" s="1251"/>
      <c r="R104" s="1251"/>
      <c r="S104" s="1251"/>
      <c r="T104" s="1251"/>
      <c r="U104" s="1251"/>
      <c r="V104" s="1251"/>
      <c r="W104" s="1251"/>
      <c r="X104" s="1251"/>
      <c r="Y104" s="1251"/>
      <c r="Z104" s="1248"/>
      <c r="AA104" s="1248"/>
      <c r="AB104" s="1248"/>
      <c r="AC104" s="1248"/>
      <c r="AD104" s="1248"/>
      <c r="AE104" s="1248"/>
      <c r="AF104" s="1248"/>
      <c r="AG104" s="1248"/>
      <c r="AH104" s="1248"/>
      <c r="AI104" s="1248"/>
      <c r="AJ104" s="1248"/>
      <c r="AK104" s="1248"/>
      <c r="AL104" s="1248"/>
      <c r="AM104" s="1248"/>
      <c r="AN104" s="1248"/>
      <c r="AO104" s="1248"/>
      <c r="AP104" s="1248"/>
      <c r="AQ104" s="1248"/>
      <c r="AR104" s="1248"/>
      <c r="AS104" s="1251"/>
      <c r="AT104" s="1251"/>
      <c r="AU104" s="1251"/>
      <c r="AV104" s="1251"/>
      <c r="AW104" s="1251"/>
      <c r="AX104" s="1251"/>
      <c r="AY104" s="1251"/>
      <c r="AZ104" s="1251"/>
      <c r="BA104" s="1251"/>
      <c r="BB104" s="1251"/>
      <c r="BC104" s="1251"/>
      <c r="BD104" s="1251"/>
      <c r="BE104" s="1251"/>
      <c r="BF104" s="1251"/>
      <c r="BG104" s="1251"/>
      <c r="BH104" s="1251"/>
      <c r="BI104" s="1251"/>
      <c r="BJ104" s="1251"/>
      <c r="BK104" s="1251"/>
      <c r="BL104" s="1251"/>
      <c r="BM104" s="1251"/>
      <c r="BN104" s="1251"/>
      <c r="BO104" s="1251"/>
      <c r="BP104" s="1251"/>
      <c r="BQ104" s="1251"/>
      <c r="BR104" s="1251"/>
      <c r="BS104" s="1251"/>
      <c r="BT104" s="1251"/>
      <c r="BU104" s="1251"/>
      <c r="BV104" s="1251"/>
      <c r="BW104" s="1251"/>
      <c r="BX104" s="1251"/>
      <c r="BY104" s="1251"/>
      <c r="BZ104" s="1251"/>
      <c r="CA104" s="1251"/>
      <c r="CB104" s="1251"/>
      <c r="CC104" s="1251"/>
      <c r="CD104" s="1251"/>
      <c r="CE104" s="1251"/>
      <c r="CF104" s="1251"/>
      <c r="CG104" s="1251"/>
      <c r="CH104" s="1251"/>
      <c r="CI104" s="1251"/>
      <c r="CJ104" s="1251"/>
      <c r="CK104" s="1251"/>
      <c r="CL104" s="1251"/>
      <c r="CM104" s="1251"/>
      <c r="CN104" s="1251"/>
      <c r="CO104" s="1251"/>
      <c r="CP104" s="1251"/>
      <c r="CQ104" s="1251"/>
      <c r="CR104" s="1251"/>
      <c r="CS104" s="1251"/>
      <c r="CT104" s="1251"/>
      <c r="CU104" s="1251"/>
      <c r="CV104" s="1251"/>
      <c r="CW104" s="1251"/>
      <c r="CX104" s="1251"/>
      <c r="CY104" s="1251"/>
      <c r="CZ104" s="1251"/>
      <c r="DA104" s="1251"/>
      <c r="DB104" s="1251"/>
      <c r="DC104" s="1251"/>
      <c r="DD104" s="1251"/>
      <c r="DE104" s="1251"/>
      <c r="DF104" s="1251"/>
      <c r="DG104" s="1251"/>
      <c r="DH104" s="1251"/>
      <c r="DI104" s="1251"/>
      <c r="DJ104" s="1251"/>
      <c r="DK104" s="1251"/>
      <c r="DL104" s="1251"/>
      <c r="DM104" s="1251"/>
      <c r="DN104" s="1251"/>
      <c r="DO104" s="1251"/>
      <c r="DP104" s="1251"/>
      <c r="DQ104" s="1251"/>
      <c r="DR104" s="1251"/>
      <c r="DS104" s="1251"/>
      <c r="DT104" s="1251"/>
      <c r="DU104" s="1251"/>
      <c r="DV104" s="1251"/>
      <c r="DW104" s="1251"/>
      <c r="DX104" s="1251"/>
      <c r="DY104" s="1251"/>
      <c r="DZ104" s="1251"/>
      <c r="EA104" s="1251"/>
      <c r="EB104" s="1251"/>
      <c r="EC104" s="1251"/>
      <c r="ED104" s="1251"/>
      <c r="EE104" s="1251"/>
      <c r="EF104" s="1251"/>
      <c r="EG104" s="1251"/>
      <c r="EH104" s="1251"/>
      <c r="EI104" s="1251"/>
      <c r="EJ104" s="1251"/>
      <c r="EK104" s="1251"/>
      <c r="EL104" s="1251"/>
      <c r="EM104" s="1251"/>
      <c r="EN104" s="1251"/>
      <c r="EO104" s="1251"/>
      <c r="EP104" s="1251"/>
      <c r="EQ104" s="1251"/>
      <c r="ER104" s="1251"/>
      <c r="ES104" s="1251"/>
      <c r="ET104" s="1251"/>
      <c r="EU104" s="1251"/>
      <c r="EV104" s="1251"/>
      <c r="EW104" s="1251"/>
      <c r="EX104" s="1251"/>
      <c r="EY104" s="1251"/>
      <c r="EZ104" s="1251"/>
      <c r="FA104" s="1251"/>
      <c r="FB104" s="1251"/>
      <c r="FC104" s="1251"/>
      <c r="FD104" s="1251"/>
      <c r="FE104" s="1251"/>
      <c r="FF104" s="1251"/>
      <c r="FG104" s="1251"/>
      <c r="FH104" s="1251"/>
      <c r="FI104" s="1251"/>
      <c r="FJ104" s="1251"/>
      <c r="FK104" s="1251"/>
      <c r="FL104" s="1251"/>
      <c r="FM104" s="1251"/>
      <c r="FN104" s="1251"/>
      <c r="FO104" s="1251"/>
      <c r="FP104" s="1251"/>
      <c r="FQ104" s="1251"/>
      <c r="FR104" s="1251"/>
      <c r="FS104" s="1251"/>
      <c r="FT104" s="1251"/>
      <c r="FU104" s="1251"/>
      <c r="FV104" s="1251"/>
      <c r="FW104" s="1251"/>
      <c r="FX104" s="1251"/>
      <c r="FY104" s="1251"/>
      <c r="FZ104" s="1251"/>
      <c r="GA104" s="1251"/>
      <c r="GB104" s="1251"/>
      <c r="GC104" s="1251"/>
      <c r="GD104" s="1251"/>
      <c r="GE104" s="1251"/>
      <c r="GF104" s="1251"/>
      <c r="GG104" s="1251"/>
      <c r="GH104" s="1251"/>
      <c r="GI104" s="1251"/>
      <c r="GJ104" s="1251"/>
      <c r="GK104" s="1251"/>
      <c r="GL104" s="1251"/>
      <c r="GM104" s="1251"/>
      <c r="GN104" s="1251"/>
      <c r="GO104" s="1251"/>
      <c r="GP104" s="1251"/>
      <c r="GQ104" s="1251"/>
      <c r="GR104" s="1251"/>
      <c r="GS104" s="1251"/>
      <c r="GT104" s="1251"/>
      <c r="GU104" s="1251"/>
      <c r="GV104" s="1251"/>
      <c r="GW104" s="1251"/>
      <c r="GX104" s="1251"/>
      <c r="GY104" s="1251"/>
      <c r="GZ104" s="1251"/>
      <c r="HA104" s="1251"/>
      <c r="HB104" s="1251"/>
      <c r="HC104" s="1251"/>
      <c r="HD104" s="1251"/>
      <c r="HE104" s="1251"/>
      <c r="HF104" s="1251"/>
      <c r="HG104" s="1251"/>
      <c r="HH104" s="1251"/>
      <c r="HI104" s="1251"/>
      <c r="HJ104" s="1251"/>
      <c r="HK104" s="1251"/>
      <c r="HL104" s="1251"/>
      <c r="HM104" s="1251"/>
      <c r="HN104" s="1251"/>
      <c r="HO104" s="1251"/>
      <c r="HP104" s="1251"/>
      <c r="HQ104" s="1251"/>
      <c r="HR104" s="1251"/>
      <c r="HS104" s="1251"/>
      <c r="HT104" s="1251"/>
      <c r="HU104" s="1251"/>
      <c r="HV104" s="1251"/>
      <c r="HW104" s="1251"/>
      <c r="HX104" s="1251"/>
      <c r="HY104" s="1251"/>
      <c r="HZ104" s="1251"/>
      <c r="IA104" s="1251"/>
      <c r="IB104" s="1251"/>
      <c r="IC104" s="1251"/>
      <c r="ID104" s="1251"/>
      <c r="IE104" s="1251"/>
      <c r="IF104" s="1251"/>
      <c r="IG104" s="1251"/>
      <c r="IH104" s="1251"/>
      <c r="II104" s="1251"/>
      <c r="IJ104" s="1251"/>
      <c r="IK104" s="1251"/>
      <c r="IL104" s="1251"/>
      <c r="IM104" s="1251"/>
      <c r="IN104" s="1251"/>
      <c r="IO104" s="1251"/>
      <c r="IP104" s="1251"/>
      <c r="IQ104" s="1251"/>
      <c r="IR104" s="1251"/>
      <c r="IS104" s="1251"/>
      <c r="IT104" s="1251"/>
      <c r="IU104" s="1251"/>
      <c r="IV104" s="1251"/>
      <c r="IW104" s="1251"/>
      <c r="IX104" s="1251"/>
      <c r="IY104" s="1251"/>
      <c r="IZ104" s="1251"/>
      <c r="JA104" s="1251"/>
      <c r="JB104" s="1251"/>
      <c r="JC104" s="1251"/>
      <c r="JD104" s="1251"/>
      <c r="JE104" s="1251"/>
      <c r="JF104" s="1251"/>
      <c r="JG104" s="1251"/>
      <c r="JH104" s="1251"/>
      <c r="JI104" s="1251"/>
      <c r="JJ104" s="1251"/>
      <c r="JK104" s="1251"/>
      <c r="JL104" s="1251"/>
      <c r="JM104" s="1251"/>
      <c r="JN104" s="1251"/>
      <c r="JO104" s="1251"/>
      <c r="JP104" s="1251"/>
      <c r="JQ104" s="1251"/>
      <c r="JR104" s="1251"/>
      <c r="JS104" s="1251"/>
      <c r="JT104" s="1251"/>
      <c r="JU104" s="1251"/>
      <c r="JV104" s="1251"/>
      <c r="JW104" s="1251"/>
      <c r="JX104" s="1251"/>
      <c r="JY104" s="1251"/>
      <c r="JZ104" s="1251"/>
      <c r="KA104" s="1251"/>
      <c r="KB104" s="1251"/>
      <c r="KC104" s="1251"/>
      <c r="KD104" s="1251"/>
      <c r="KE104" s="1251"/>
      <c r="KF104" s="1251"/>
      <c r="KG104" s="1251"/>
      <c r="KH104" s="1251"/>
      <c r="KI104" s="1251"/>
      <c r="KJ104" s="1251"/>
      <c r="KK104" s="1251"/>
      <c r="KL104" s="1251"/>
      <c r="KM104" s="1251"/>
      <c r="KN104" s="1251"/>
      <c r="KO104" s="1251"/>
      <c r="KP104" s="1251"/>
      <c r="KQ104" s="1251"/>
      <c r="KR104" s="1251"/>
      <c r="KS104" s="1251"/>
      <c r="KT104" s="1251"/>
      <c r="KU104" s="1251"/>
      <c r="KV104" s="1251"/>
      <c r="KW104" s="1251"/>
      <c r="KX104" s="1251"/>
      <c r="KY104" s="1251"/>
      <c r="KZ104" s="1251"/>
      <c r="LA104" s="1251"/>
      <c r="LB104" s="1251"/>
      <c r="LC104" s="1251"/>
      <c r="LD104" s="1251"/>
      <c r="LE104" s="1251"/>
      <c r="LF104" s="1251"/>
      <c r="LG104" s="1251"/>
      <c r="LH104" s="1251"/>
      <c r="LI104" s="1251"/>
      <c r="LJ104" s="1251"/>
      <c r="LK104" s="1251"/>
      <c r="LL104" s="1251"/>
      <c r="LM104" s="1251"/>
      <c r="LN104" s="1251"/>
      <c r="LO104" s="1251"/>
      <c r="LP104" s="1251"/>
      <c r="LQ104" s="1251"/>
      <c r="LR104" s="1251"/>
      <c r="LS104" s="1251"/>
      <c r="LT104" s="1251"/>
      <c r="LU104" s="1251"/>
      <c r="LV104" s="1251"/>
      <c r="LW104" s="1251"/>
      <c r="LX104" s="1251"/>
      <c r="LY104" s="1251"/>
      <c r="LZ104" s="1251"/>
      <c r="MA104" s="1251"/>
      <c r="MB104" s="1251"/>
      <c r="MC104" s="1251"/>
      <c r="MD104" s="1251"/>
      <c r="ME104" s="1251"/>
      <c r="MF104" s="1251"/>
      <c r="MG104" s="1251"/>
      <c r="MH104" s="1251"/>
      <c r="MI104" s="1251"/>
      <c r="MJ104" s="1251"/>
      <c r="MK104" s="1251"/>
      <c r="ML104" s="1251"/>
      <c r="MM104" s="1251"/>
      <c r="MN104" s="1251"/>
      <c r="MO104" s="1251"/>
      <c r="MP104" s="1251"/>
      <c r="MQ104" s="1251"/>
      <c r="MR104" s="1251"/>
      <c r="MS104" s="1251"/>
      <c r="MT104" s="1251"/>
      <c r="MU104" s="1251"/>
      <c r="MV104" s="1251"/>
      <c r="MW104" s="1251"/>
      <c r="MX104" s="1251"/>
      <c r="MY104" s="1251"/>
      <c r="MZ104" s="1251"/>
      <c r="NA104" s="1251"/>
      <c r="NB104" s="1251"/>
      <c r="NC104" s="1251"/>
      <c r="ND104" s="1251"/>
      <c r="NE104" s="1251"/>
      <c r="NF104" s="1251"/>
      <c r="NG104" s="1251"/>
      <c r="NH104" s="1251"/>
      <c r="NI104" s="1251"/>
      <c r="NJ104" s="1251"/>
      <c r="NK104" s="1251"/>
      <c r="NL104" s="1251"/>
      <c r="NM104" s="1251"/>
      <c r="NN104" s="1251"/>
      <c r="NO104" s="1251"/>
      <c r="NP104" s="1251"/>
      <c r="NQ104" s="1251"/>
      <c r="NR104" s="1251"/>
      <c r="NS104" s="1251"/>
      <c r="NT104" s="1251"/>
      <c r="NU104" s="1251"/>
      <c r="NV104" s="1251"/>
      <c r="NW104" s="1251"/>
      <c r="NX104" s="1251"/>
      <c r="NY104" s="1251"/>
      <c r="NZ104" s="1251"/>
      <c r="OA104" s="1251"/>
      <c r="OB104" s="1251"/>
      <c r="OC104" s="1251"/>
      <c r="OD104" s="1251"/>
      <c r="OE104" s="1251"/>
      <c r="OF104" s="1251"/>
      <c r="OG104" s="1251"/>
      <c r="OH104" s="1251"/>
      <c r="OI104" s="1251"/>
      <c r="OJ104" s="1251"/>
      <c r="OK104" s="1251"/>
      <c r="OL104" s="1251"/>
      <c r="OM104" s="1251"/>
      <c r="ON104" s="1251"/>
      <c r="OO104" s="1251"/>
      <c r="OP104" s="1251"/>
      <c r="OQ104" s="1251"/>
      <c r="OR104" s="1251"/>
      <c r="OS104" s="1251"/>
      <c r="OT104" s="1251"/>
      <c r="OU104" s="1251"/>
      <c r="OV104" s="1251"/>
      <c r="OW104" s="1251"/>
      <c r="OX104" s="1251"/>
      <c r="OY104" s="1251"/>
      <c r="OZ104" s="1251"/>
      <c r="PA104" s="1251"/>
      <c r="PB104" s="1251"/>
      <c r="PC104" s="1251"/>
      <c r="PD104" s="1251"/>
      <c r="PE104" s="1251"/>
      <c r="PF104" s="1251"/>
      <c r="PG104" s="1251"/>
      <c r="PH104" s="1251"/>
      <c r="PI104" s="1251"/>
      <c r="PJ104" s="1251"/>
      <c r="PK104" s="1251"/>
      <c r="PL104" s="1251"/>
      <c r="PM104" s="1251"/>
      <c r="PN104" s="1251"/>
      <c r="PO104" s="1251"/>
      <c r="PP104" s="1251"/>
      <c r="PQ104" s="1251"/>
      <c r="PR104" s="1251"/>
      <c r="PS104" s="1251"/>
      <c r="PT104" s="1251"/>
      <c r="PU104" s="1251"/>
      <c r="PV104" s="1251"/>
      <c r="PW104" s="1251"/>
      <c r="PX104" s="1251"/>
      <c r="PY104" s="1251"/>
      <c r="PZ104" s="1251"/>
      <c r="QA104" s="1251"/>
      <c r="QB104" s="1251"/>
      <c r="QC104" s="1251"/>
      <c r="QD104" s="1251"/>
      <c r="QE104" s="1251"/>
      <c r="QF104" s="1251"/>
      <c r="QG104" s="1251"/>
      <c r="QH104" s="1251"/>
      <c r="QI104" s="1251"/>
      <c r="QJ104" s="1251"/>
      <c r="QK104" s="1251"/>
      <c r="QL104" s="1251"/>
      <c r="QM104" s="1251"/>
      <c r="QN104" s="1251"/>
      <c r="QO104" s="1251"/>
      <c r="QP104" s="1251"/>
      <c r="QQ104" s="1251"/>
      <c r="QR104" s="1251"/>
      <c r="QS104" s="1251"/>
      <c r="QT104" s="1251"/>
      <c r="QU104" s="1251"/>
      <c r="QV104" s="1251"/>
      <c r="QW104" s="1251"/>
      <c r="QX104" s="1251"/>
      <c r="QY104" s="1251"/>
      <c r="QZ104" s="1251"/>
      <c r="RA104" s="1251"/>
      <c r="RB104" s="1251"/>
      <c r="RC104" s="1251"/>
      <c r="RD104" s="1251"/>
      <c r="RE104" s="1251"/>
      <c r="RF104" s="1251"/>
      <c r="RG104" s="1251"/>
      <c r="RH104" s="1251"/>
      <c r="RI104" s="1251"/>
      <c r="RJ104" s="1251"/>
      <c r="RK104" s="1251"/>
      <c r="RL104" s="1251"/>
      <c r="RM104" s="1251"/>
      <c r="RN104" s="1251"/>
      <c r="RO104" s="1251"/>
      <c r="RP104" s="1251"/>
      <c r="RQ104" s="1251"/>
      <c r="RR104" s="1251"/>
      <c r="RS104" s="1251"/>
      <c r="RT104" s="1251"/>
      <c r="RU104" s="1251"/>
      <c r="RV104" s="1251"/>
      <c r="RW104" s="1251"/>
      <c r="RX104" s="1251"/>
      <c r="RY104" s="1251"/>
      <c r="RZ104" s="1251"/>
      <c r="SA104" s="1251"/>
      <c r="SB104" s="1251"/>
      <c r="SC104" s="1251"/>
      <c r="SD104" s="1251"/>
      <c r="SE104" s="1251"/>
      <c r="SF104" s="1251"/>
      <c r="SG104" s="1251"/>
      <c r="SH104" s="1251"/>
      <c r="SI104" s="1251"/>
      <c r="SJ104" s="1251"/>
      <c r="SK104" s="1251"/>
      <c r="SL104" s="1251"/>
      <c r="SM104" s="1251"/>
      <c r="SN104" s="1251"/>
      <c r="SO104" s="1251"/>
      <c r="SP104" s="1251"/>
      <c r="SQ104" s="1251"/>
      <c r="SR104" s="1251"/>
      <c r="SS104" s="1251"/>
      <c r="ST104" s="1251"/>
      <c r="SU104" s="1251"/>
      <c r="SV104" s="1251"/>
      <c r="SW104" s="1251"/>
      <c r="SX104" s="1251"/>
      <c r="SY104" s="1251"/>
      <c r="SZ104" s="1251"/>
      <c r="TA104" s="1251"/>
      <c r="TB104" s="1251"/>
      <c r="TC104" s="1251"/>
      <c r="TD104" s="1251"/>
      <c r="TE104" s="1251"/>
      <c r="TF104" s="1251"/>
      <c r="TG104" s="1251"/>
      <c r="TH104" s="1251"/>
      <c r="TI104" s="1251"/>
      <c r="TJ104" s="1251"/>
      <c r="TK104" s="1251"/>
      <c r="TL104" s="1251"/>
      <c r="TM104" s="1251"/>
      <c r="TN104" s="1251"/>
      <c r="TO104" s="1251"/>
      <c r="TP104" s="1251"/>
      <c r="TQ104" s="1251"/>
      <c r="TR104" s="1251"/>
      <c r="TS104" s="1251"/>
      <c r="TT104" s="1251"/>
      <c r="TU104" s="1251"/>
      <c r="TV104" s="1251"/>
      <c r="TW104" s="1251"/>
      <c r="TX104" s="1251"/>
      <c r="TY104" s="1251"/>
      <c r="TZ104" s="1251"/>
      <c r="UA104" s="1251"/>
      <c r="UB104" s="1251"/>
      <c r="UC104" s="1251"/>
      <c r="UD104" s="1251"/>
      <c r="UE104" s="1251"/>
      <c r="UF104" s="1251"/>
      <c r="UG104" s="1251"/>
      <c r="UH104" s="1251"/>
      <c r="UI104" s="1251"/>
      <c r="UJ104" s="1251"/>
      <c r="UK104" s="1251"/>
      <c r="UL104" s="1251"/>
      <c r="UM104" s="1251"/>
      <c r="UN104" s="1251"/>
      <c r="UO104" s="1251"/>
      <c r="UP104" s="1251"/>
      <c r="UQ104" s="1251"/>
      <c r="UR104" s="1251"/>
      <c r="US104" s="1251"/>
      <c r="UT104" s="1251"/>
      <c r="UU104" s="1251"/>
      <c r="UV104" s="1251"/>
      <c r="UW104" s="1251"/>
      <c r="UX104" s="1251"/>
      <c r="UY104" s="1251"/>
      <c r="UZ104" s="1251"/>
      <c r="VA104" s="1251"/>
      <c r="VB104" s="1251"/>
      <c r="VC104" s="1251"/>
      <c r="VD104" s="1251"/>
      <c r="VE104" s="1251"/>
      <c r="VF104" s="1251"/>
      <c r="VG104" s="1251"/>
      <c r="VH104" s="1251"/>
      <c r="VI104" s="1251"/>
      <c r="VJ104" s="1251"/>
      <c r="VK104" s="1251"/>
      <c r="VL104" s="1251"/>
      <c r="VM104" s="1251"/>
      <c r="VN104" s="1251"/>
      <c r="VO104" s="1251"/>
      <c r="VP104" s="1251"/>
      <c r="VQ104" s="1251"/>
      <c r="VR104" s="1251"/>
      <c r="VS104" s="1251"/>
      <c r="VT104" s="1251"/>
      <c r="VU104" s="1251"/>
      <c r="VV104" s="1251"/>
      <c r="VW104" s="1251"/>
      <c r="VX104" s="1251"/>
      <c r="VY104" s="1251"/>
      <c r="VZ104" s="1251"/>
      <c r="WA104" s="1251"/>
      <c r="WB104" s="1251"/>
      <c r="WC104" s="1251"/>
      <c r="WD104" s="1251"/>
      <c r="WE104" s="1251"/>
      <c r="WF104" s="1251"/>
      <c r="WG104" s="1251"/>
      <c r="WH104" s="1251"/>
      <c r="WI104" s="1251"/>
      <c r="WJ104" s="1251"/>
      <c r="WK104" s="1251"/>
      <c r="WL104" s="1251"/>
      <c r="WM104" s="1251"/>
      <c r="WN104" s="1251"/>
      <c r="WO104" s="1251"/>
      <c r="WP104" s="1251"/>
      <c r="WQ104" s="1251"/>
      <c r="WR104" s="1251"/>
      <c r="WS104" s="1251"/>
      <c r="WT104" s="1251"/>
      <c r="WU104" s="1251"/>
      <c r="WV104" s="1251"/>
      <c r="WW104" s="1251"/>
      <c r="WX104" s="1251"/>
      <c r="WY104" s="1251"/>
      <c r="WZ104" s="1251"/>
      <c r="XA104" s="1251"/>
      <c r="XB104" s="1251"/>
      <c r="XC104" s="1251"/>
      <c r="XD104" s="1251"/>
      <c r="XE104" s="1251"/>
      <c r="XF104" s="1251"/>
      <c r="XG104" s="1251"/>
      <c r="XH104" s="1251"/>
      <c r="XI104" s="1251"/>
      <c r="XJ104" s="1251"/>
      <c r="XK104" s="1251"/>
      <c r="XL104" s="1251"/>
      <c r="XM104" s="1251"/>
      <c r="XN104" s="1251"/>
      <c r="XO104" s="1251"/>
      <c r="XP104" s="1251"/>
      <c r="XQ104" s="1251"/>
      <c r="XR104" s="1251"/>
      <c r="XS104" s="1251"/>
      <c r="XT104" s="1251"/>
      <c r="XU104" s="1251"/>
      <c r="XV104" s="1251"/>
      <c r="XW104" s="1251"/>
      <c r="XX104" s="1251"/>
      <c r="XY104" s="1251"/>
      <c r="XZ104" s="1251"/>
      <c r="YA104" s="1251"/>
      <c r="YB104" s="1251"/>
      <c r="YC104" s="1251"/>
      <c r="YD104" s="1251"/>
      <c r="YE104" s="1251"/>
      <c r="YF104" s="1251"/>
      <c r="YG104" s="1251"/>
      <c r="YH104" s="1251"/>
      <c r="YI104" s="1251"/>
      <c r="YJ104" s="1251"/>
      <c r="YK104" s="1251"/>
      <c r="YL104" s="1251"/>
      <c r="YM104" s="1251"/>
      <c r="YN104" s="1251"/>
      <c r="YO104" s="1251"/>
      <c r="YP104" s="1251"/>
      <c r="YQ104" s="1251"/>
      <c r="YR104" s="1251"/>
      <c r="YS104" s="1251"/>
      <c r="YT104" s="1251"/>
      <c r="YU104" s="1251"/>
      <c r="YV104" s="1251"/>
      <c r="YW104" s="1251"/>
      <c r="YX104" s="1251"/>
      <c r="YY104" s="1251"/>
      <c r="YZ104" s="1251"/>
      <c r="ZA104" s="1251"/>
      <c r="ZB104" s="1251"/>
      <c r="ZC104" s="1251"/>
      <c r="ZD104" s="1251"/>
      <c r="ZE104" s="1251"/>
      <c r="ZF104" s="1251"/>
      <c r="ZG104" s="1251"/>
      <c r="ZH104" s="1251"/>
      <c r="ZI104" s="1251"/>
      <c r="ZJ104" s="1251"/>
      <c r="ZK104" s="1251"/>
      <c r="ZL104" s="1251"/>
      <c r="ZM104" s="1251"/>
      <c r="ZN104" s="1251"/>
      <c r="ZO104" s="1251"/>
      <c r="ZP104" s="1251"/>
      <c r="ZQ104" s="1251"/>
      <c r="ZR104" s="1251"/>
      <c r="ZS104" s="1251"/>
      <c r="ZT104" s="1251"/>
      <c r="ZU104" s="1251"/>
      <c r="ZV104" s="1251"/>
      <c r="ZW104" s="1251"/>
      <c r="ZX104" s="1251"/>
      <c r="ZY104" s="1251"/>
      <c r="ZZ104" s="1251"/>
      <c r="AAA104" s="1251"/>
      <c r="AAB104" s="1251"/>
      <c r="AAC104" s="1251"/>
      <c r="AAD104" s="1251"/>
      <c r="AAE104" s="1251"/>
      <c r="AAF104" s="1251"/>
      <c r="AAG104" s="1251"/>
      <c r="AAH104" s="1251"/>
      <c r="AAI104" s="1251"/>
      <c r="AAJ104" s="1251"/>
      <c r="AAK104" s="1251"/>
      <c r="AAL104" s="1251"/>
      <c r="AAM104" s="1251"/>
      <c r="AAN104" s="1251"/>
      <c r="AAO104" s="1251"/>
      <c r="AAP104" s="1251"/>
      <c r="AAQ104" s="1251"/>
      <c r="AAR104" s="1251"/>
      <c r="AAS104" s="1251"/>
      <c r="AAT104" s="1251"/>
      <c r="AAU104" s="1251"/>
      <c r="AAV104" s="1251"/>
      <c r="AAW104" s="1251"/>
      <c r="AAX104" s="1251"/>
      <c r="AAY104" s="1251"/>
      <c r="AAZ104" s="1251"/>
      <c r="ABA104" s="1251"/>
      <c r="ABB104" s="1251"/>
      <c r="ABC104" s="1251"/>
      <c r="ABD104" s="1251"/>
      <c r="ABE104" s="1251"/>
      <c r="ABF104" s="1251"/>
      <c r="ABG104" s="1251"/>
      <c r="ABH104" s="1251"/>
      <c r="ABI104" s="1251"/>
      <c r="ABJ104" s="1251"/>
      <c r="ABK104" s="1251"/>
      <c r="ABL104" s="1251"/>
      <c r="ABM104" s="1251"/>
      <c r="ABN104" s="1251"/>
      <c r="ABO104" s="1251"/>
      <c r="ABP104" s="1251"/>
      <c r="ABQ104" s="1251"/>
      <c r="ABR104" s="1251"/>
      <c r="ABS104" s="1251"/>
      <c r="ABT104" s="1251"/>
      <c r="ABU104" s="1251"/>
      <c r="ABV104" s="1251"/>
      <c r="ABW104" s="1251"/>
      <c r="ABX104" s="1251"/>
      <c r="ABY104" s="1251"/>
      <c r="ABZ104" s="1251"/>
      <c r="ACA104" s="1251"/>
      <c r="ACB104" s="1251"/>
      <c r="ACC104" s="1251"/>
      <c r="ACD104" s="1251"/>
      <c r="ACE104" s="1251"/>
      <c r="ACF104" s="1251"/>
      <c r="ACG104" s="1251"/>
      <c r="ACH104" s="1251"/>
      <c r="ACI104" s="1251"/>
      <c r="ACJ104" s="1251"/>
      <c r="ACK104" s="1251"/>
      <c r="ACL104" s="1251"/>
      <c r="ACM104" s="1251"/>
      <c r="ACN104" s="1251"/>
      <c r="ACO104" s="1251"/>
      <c r="ACP104" s="1251"/>
      <c r="ACQ104" s="1251"/>
      <c r="ACR104" s="1251"/>
      <c r="ACS104" s="1251"/>
      <c r="ACT104" s="1251"/>
      <c r="ACU104" s="1251"/>
      <c r="ACV104" s="1251"/>
      <c r="ACW104" s="1251"/>
      <c r="ACX104" s="1251"/>
      <c r="ACY104" s="1251"/>
      <c r="ACZ104" s="1251"/>
      <c r="ADA104" s="1251"/>
      <c r="ADB104" s="1251"/>
      <c r="ADC104" s="1251"/>
      <c r="ADD104" s="1251"/>
      <c r="ADE104" s="1251"/>
      <c r="ADF104" s="1251"/>
      <c r="ADG104" s="1251"/>
      <c r="ADH104" s="1251"/>
      <c r="ADI104" s="1251"/>
      <c r="ADJ104" s="1251"/>
      <c r="ADK104" s="1251"/>
      <c r="ADL104" s="1251"/>
      <c r="ADM104" s="1251"/>
      <c r="ADN104" s="1251"/>
      <c r="ADO104" s="1251"/>
      <c r="ADP104" s="1251"/>
      <c r="ADQ104" s="1251"/>
      <c r="ADR104" s="1251"/>
      <c r="ADS104" s="1251"/>
      <c r="ADT104" s="1251"/>
      <c r="ADU104" s="1251"/>
      <c r="ADV104" s="1251"/>
      <c r="ADW104" s="1251"/>
      <c r="ADX104" s="1251"/>
      <c r="ADY104" s="1251"/>
      <c r="ADZ104" s="1251"/>
      <c r="AEA104" s="1251"/>
      <c r="AEB104" s="1251"/>
      <c r="AEC104" s="1251"/>
      <c r="AED104" s="1251"/>
      <c r="AEE104" s="1251"/>
      <c r="AEF104" s="1251"/>
      <c r="AEG104" s="1251"/>
      <c r="AEH104" s="1251"/>
      <c r="AEI104" s="1251"/>
      <c r="AEJ104" s="1251"/>
      <c r="AEK104" s="1251"/>
      <c r="AEL104" s="1251"/>
      <c r="AEM104" s="1251"/>
      <c r="AEN104" s="1251"/>
      <c r="AEO104" s="1251"/>
      <c r="AEP104" s="1251"/>
      <c r="AEQ104" s="1251"/>
      <c r="AER104" s="1251"/>
      <c r="AES104" s="1251"/>
      <c r="AET104" s="1251"/>
      <c r="AEU104" s="1251"/>
      <c r="AEV104" s="1251"/>
      <c r="AEW104" s="1251"/>
      <c r="AEX104" s="1251"/>
      <c r="AEY104" s="1251"/>
      <c r="AEZ104" s="1251"/>
      <c r="AFA104" s="1251"/>
      <c r="AFB104" s="1251"/>
      <c r="AFC104" s="1251"/>
      <c r="AFD104" s="1251"/>
      <c r="AFE104" s="1251"/>
      <c r="AFF104" s="1251"/>
      <c r="AFG104" s="1251"/>
      <c r="AFH104" s="1251"/>
      <c r="AFI104" s="1251"/>
      <c r="AFJ104" s="1251"/>
      <c r="AFK104" s="1251"/>
      <c r="AFL104" s="1251"/>
      <c r="AFM104" s="1251"/>
      <c r="AFN104" s="1251"/>
      <c r="AFO104" s="1251"/>
      <c r="AFP104" s="1251"/>
      <c r="AFQ104" s="1251"/>
      <c r="AFR104" s="1251"/>
      <c r="AFS104" s="1251"/>
      <c r="AFT104" s="1251"/>
      <c r="AFU104" s="1251"/>
      <c r="AFV104" s="1251"/>
      <c r="AFW104" s="1251"/>
      <c r="AFX104" s="1251"/>
      <c r="AFY104" s="1251"/>
      <c r="AFZ104" s="1251"/>
      <c r="AGA104" s="1251"/>
      <c r="AGB104" s="1251"/>
      <c r="AGC104" s="1251"/>
      <c r="AGD104" s="1251"/>
      <c r="AGE104" s="1251"/>
      <c r="AGF104" s="1251"/>
      <c r="AGG104" s="1251"/>
      <c r="AGH104" s="1251"/>
      <c r="AGI104" s="1251"/>
      <c r="AGJ104" s="1251"/>
      <c r="AGK104" s="1251"/>
      <c r="AGL104" s="1251"/>
      <c r="AGM104" s="1251"/>
      <c r="AGN104" s="1251"/>
      <c r="AGO104" s="1251"/>
      <c r="AGP104" s="1251"/>
      <c r="AGQ104" s="1251"/>
      <c r="AGR104" s="1251"/>
      <c r="AGS104" s="1251"/>
      <c r="AGT104" s="1251"/>
      <c r="AGU104" s="1251"/>
      <c r="AGV104" s="1251"/>
      <c r="AGW104" s="1251"/>
      <c r="AGX104" s="1251"/>
      <c r="AGY104" s="1251"/>
      <c r="AGZ104" s="1251"/>
      <c r="AHA104" s="1251"/>
      <c r="AHB104" s="1251"/>
      <c r="AHC104" s="1251"/>
      <c r="AHD104" s="1251"/>
      <c r="AHE104" s="1251"/>
      <c r="AHF104" s="1251"/>
      <c r="AHG104" s="1251"/>
      <c r="AHH104" s="1251"/>
      <c r="AHI104" s="1251"/>
      <c r="AHJ104" s="1251"/>
      <c r="AHK104" s="1251"/>
      <c r="AHL104" s="1251"/>
      <c r="AHM104" s="1251"/>
      <c r="AHN104" s="1251"/>
      <c r="AHO104" s="1251"/>
      <c r="AHP104" s="1251"/>
      <c r="AHQ104" s="1251"/>
      <c r="AHR104" s="1251"/>
      <c r="AHS104" s="1251"/>
      <c r="AHT104" s="1251"/>
      <c r="AHU104" s="1251"/>
      <c r="AHV104" s="1251"/>
      <c r="AHW104" s="1251"/>
      <c r="AHX104" s="1251"/>
      <c r="AHY104" s="1251"/>
      <c r="AHZ104" s="1251"/>
      <c r="AIA104" s="1251"/>
      <c r="AIB104" s="1251"/>
      <c r="AIC104" s="1251"/>
      <c r="AID104" s="1251"/>
      <c r="AIE104" s="1251"/>
      <c r="AIF104" s="1251"/>
      <c r="AIG104" s="1251"/>
      <c r="AIH104" s="1251"/>
      <c r="AII104" s="1251"/>
      <c r="AIJ104" s="1251"/>
      <c r="AIK104" s="1251"/>
      <c r="AIL104" s="1251"/>
      <c r="AIM104" s="1251"/>
      <c r="AIN104" s="1251"/>
      <c r="AIO104" s="1251"/>
      <c r="AIP104" s="1251"/>
      <c r="AIQ104" s="1251"/>
      <c r="AIR104" s="1251"/>
      <c r="AIS104" s="1251"/>
      <c r="AIT104" s="1251"/>
      <c r="AIU104" s="1251"/>
      <c r="AIV104" s="1251"/>
      <c r="AIW104" s="1251"/>
      <c r="AIX104" s="1251"/>
      <c r="AIY104" s="1251"/>
      <c r="AIZ104" s="1251"/>
      <c r="AJA104" s="1251"/>
      <c r="AJB104" s="1251"/>
      <c r="AJC104" s="1251"/>
      <c r="AJD104" s="1251"/>
      <c r="AJE104" s="1251"/>
      <c r="AJF104" s="1251"/>
      <c r="AJG104" s="1251"/>
      <c r="AJH104" s="1251"/>
      <c r="AJI104" s="1251"/>
      <c r="AJJ104" s="1251"/>
      <c r="AJK104" s="1251"/>
      <c r="AJL104" s="1251"/>
      <c r="AJM104" s="1251"/>
      <c r="AJN104" s="1251"/>
      <c r="AJO104" s="1251"/>
      <c r="AJP104" s="1251"/>
      <c r="AJQ104" s="1251"/>
      <c r="AJR104" s="1251"/>
      <c r="AJS104" s="1251"/>
      <c r="AJT104" s="1251"/>
      <c r="AJU104" s="1251"/>
      <c r="AJV104" s="1251"/>
      <c r="AJW104" s="1251"/>
      <c r="AJX104" s="1251"/>
      <c r="AJY104" s="1251"/>
      <c r="AJZ104" s="1251"/>
      <c r="AKA104" s="1251"/>
      <c r="AKB104" s="1251"/>
      <c r="AKC104" s="1251"/>
      <c r="AKD104" s="1251"/>
      <c r="AKE104" s="1251"/>
      <c r="AKF104" s="1251"/>
      <c r="AKG104" s="1251"/>
      <c r="AKH104" s="1251"/>
      <c r="AKI104" s="1251"/>
      <c r="AKJ104" s="1251"/>
      <c r="AKK104" s="1251"/>
      <c r="AKL104" s="1251"/>
      <c r="AKM104" s="1251"/>
      <c r="AKN104" s="1251"/>
      <c r="AKO104" s="1251"/>
      <c r="AKP104" s="1251"/>
      <c r="AKQ104" s="1251"/>
      <c r="AKR104" s="1251"/>
      <c r="AKS104" s="1251"/>
      <c r="AKT104" s="1251"/>
      <c r="AKU104" s="1251"/>
      <c r="AKV104" s="1251"/>
      <c r="AKW104" s="1251"/>
      <c r="AKX104" s="1251"/>
      <c r="AKY104" s="1251"/>
      <c r="AKZ104" s="1251"/>
      <c r="ALA104" s="1251"/>
      <c r="ALB104" s="1251"/>
      <c r="ALC104" s="1251"/>
      <c r="ALD104" s="1251"/>
      <c r="ALE104" s="1251"/>
      <c r="ALF104" s="1251"/>
      <c r="ALG104" s="1251"/>
      <c r="ALH104" s="1251"/>
      <c r="ALI104" s="1251"/>
      <c r="ALJ104" s="1251"/>
      <c r="ALK104" s="1251"/>
      <c r="ALL104" s="1251"/>
      <c r="ALM104" s="1251"/>
      <c r="ALN104" s="1251"/>
      <c r="ALO104" s="1251"/>
      <c r="ALP104" s="1251"/>
      <c r="ALQ104" s="1251"/>
      <c r="ALR104" s="1251"/>
      <c r="ALS104" s="1251"/>
      <c r="ALT104" s="1251"/>
      <c r="ALU104" s="1251"/>
      <c r="ALV104" s="1251"/>
      <c r="ALW104" s="1251"/>
      <c r="ALX104" s="1251"/>
      <c r="ALY104" s="1251"/>
      <c r="ALZ104" s="1251"/>
      <c r="AMA104" s="1251"/>
      <c r="AMB104" s="1251"/>
      <c r="AMC104" s="1251"/>
      <c r="AMD104" s="1251"/>
      <c r="AME104" s="1251"/>
      <c r="AMF104" s="1251"/>
      <c r="AMG104" s="1251"/>
      <c r="AMH104" s="1251"/>
      <c r="AMI104" s="1251"/>
      <c r="AMJ104" s="1251"/>
      <c r="AMK104" s="1251"/>
      <c r="AML104" s="1251"/>
      <c r="AMM104" s="1251"/>
      <c r="AMN104" s="1251"/>
      <c r="AMO104" s="1251"/>
      <c r="AMP104" s="1251"/>
      <c r="AMQ104" s="1251"/>
      <c r="AMR104" s="1251"/>
      <c r="AMS104" s="1251"/>
      <c r="AMT104" s="1251"/>
      <c r="AMU104" s="1251"/>
      <c r="AMV104" s="1251"/>
      <c r="AMW104" s="1251"/>
      <c r="AMX104" s="1251"/>
      <c r="AMY104" s="1251"/>
      <c r="AMZ104" s="1251"/>
      <c r="ANA104" s="1251"/>
      <c r="ANB104" s="1251"/>
      <c r="ANC104" s="1251"/>
      <c r="AND104" s="1251"/>
      <c r="ANE104" s="1251"/>
      <c r="ANF104" s="1251"/>
      <c r="ANG104" s="1251"/>
      <c r="ANH104" s="1251"/>
      <c r="ANI104" s="1251"/>
      <c r="ANJ104" s="1251"/>
      <c r="ANK104" s="1251"/>
      <c r="ANL104" s="1251"/>
      <c r="ANM104" s="1251"/>
      <c r="ANN104" s="1251"/>
      <c r="ANO104" s="1251"/>
      <c r="ANP104" s="1251"/>
      <c r="ANQ104" s="1251"/>
      <c r="ANR104" s="1251"/>
      <c r="ANS104" s="1251"/>
      <c r="ANT104" s="1251"/>
      <c r="ANU104" s="1251"/>
      <c r="ANV104" s="1251"/>
      <c r="ANW104" s="1251"/>
      <c r="ANX104" s="1251"/>
      <c r="ANY104" s="1251"/>
      <c r="ANZ104" s="1251"/>
      <c r="AOA104" s="1251"/>
      <c r="AOB104" s="1251"/>
      <c r="AOC104" s="1251"/>
      <c r="AOD104" s="1251"/>
      <c r="AOE104" s="1251"/>
      <c r="AOF104" s="1251"/>
      <c r="AOG104" s="1251"/>
      <c r="AOH104" s="1251"/>
      <c r="AOI104" s="1251"/>
      <c r="AOJ104" s="1251"/>
      <c r="AOK104" s="1251"/>
      <c r="AOL104" s="1251"/>
      <c r="AOM104" s="1251"/>
      <c r="AON104" s="1251"/>
      <c r="AOO104" s="1251"/>
      <c r="AOP104" s="1251"/>
      <c r="AOQ104" s="1251"/>
      <c r="AOR104" s="1251"/>
      <c r="AOS104" s="1251"/>
      <c r="AOT104" s="1251"/>
      <c r="AOU104" s="1251"/>
      <c r="AOV104" s="1251"/>
      <c r="AOW104" s="1251"/>
      <c r="AOX104" s="1251"/>
      <c r="AOY104" s="1251"/>
      <c r="AOZ104" s="1251"/>
      <c r="APA104" s="1251"/>
      <c r="APB104" s="1251"/>
      <c r="APC104" s="1251"/>
      <c r="APD104" s="1251"/>
      <c r="APE104" s="1251"/>
      <c r="APF104" s="1251"/>
      <c r="APG104" s="1251"/>
      <c r="APH104" s="1251"/>
      <c r="API104" s="1251"/>
      <c r="APJ104" s="1251"/>
      <c r="APK104" s="1251"/>
      <c r="APL104" s="1251"/>
      <c r="APM104" s="1251"/>
      <c r="APN104" s="1251"/>
      <c r="APO104" s="1251"/>
      <c r="APP104" s="1251"/>
      <c r="APQ104" s="1251"/>
      <c r="APR104" s="1251"/>
      <c r="APS104" s="1251"/>
      <c r="APT104" s="1251"/>
      <c r="APU104" s="1251"/>
      <c r="APV104" s="1251"/>
      <c r="APW104" s="1251"/>
      <c r="APX104" s="1251"/>
      <c r="APY104" s="1251"/>
      <c r="APZ104" s="1251"/>
      <c r="AQA104" s="1251"/>
      <c r="AQB104" s="1251"/>
      <c r="AQC104" s="1251"/>
      <c r="AQD104" s="1251"/>
      <c r="AQE104" s="1251"/>
      <c r="AQF104" s="1251"/>
      <c r="AQG104" s="1251"/>
      <c r="AQH104" s="1251"/>
      <c r="AQI104" s="1251"/>
      <c r="AQJ104" s="1251"/>
      <c r="AQK104" s="1251"/>
      <c r="AQL104" s="1251"/>
      <c r="AQM104" s="1251"/>
      <c r="AQN104" s="1251"/>
      <c r="AQO104" s="1251"/>
      <c r="AQP104" s="1251"/>
      <c r="AQQ104" s="1251"/>
      <c r="AQR104" s="1251"/>
      <c r="AQS104" s="1251"/>
      <c r="AQT104" s="1251"/>
      <c r="AQU104" s="1251"/>
      <c r="AQV104" s="1251"/>
      <c r="AQW104" s="1251"/>
      <c r="AQX104" s="1251"/>
      <c r="AQY104" s="1251"/>
      <c r="AQZ104" s="1251"/>
      <c r="ARA104" s="1251"/>
      <c r="ARB104" s="1251"/>
      <c r="ARC104" s="1251"/>
      <c r="ARD104" s="1251"/>
      <c r="ARE104" s="1251"/>
      <c r="ARF104" s="1251"/>
      <c r="ARG104" s="1251"/>
      <c r="ARH104" s="1251"/>
      <c r="ARI104" s="1251"/>
      <c r="ARJ104" s="1251"/>
      <c r="ARK104" s="1251"/>
      <c r="ARL104" s="1251"/>
      <c r="ARM104" s="1251"/>
      <c r="ARN104" s="1251"/>
      <c r="ARO104" s="1251"/>
      <c r="ARP104" s="1251"/>
      <c r="ARQ104" s="1251"/>
      <c r="ARR104" s="1251"/>
      <c r="ARS104" s="1251"/>
      <c r="ART104" s="1251"/>
      <c r="ARU104" s="1251"/>
      <c r="ARV104" s="1251"/>
      <c r="ARW104" s="1251"/>
      <c r="ARX104" s="1251"/>
      <c r="ARY104" s="1251"/>
      <c r="ARZ104" s="1251"/>
      <c r="ASA104" s="1251"/>
      <c r="ASB104" s="1251"/>
      <c r="ASC104" s="1251"/>
      <c r="ASD104" s="1251"/>
      <c r="ASE104" s="1251"/>
      <c r="ASF104" s="1251"/>
      <c r="ASG104" s="1251"/>
      <c r="ASH104" s="1251"/>
      <c r="ASI104" s="1251"/>
      <c r="ASJ104" s="1251"/>
      <c r="ASK104" s="1251"/>
      <c r="ASL104" s="1251"/>
      <c r="ASM104" s="1251"/>
      <c r="ASN104" s="1251"/>
      <c r="ASO104" s="1251"/>
      <c r="ASP104" s="1251"/>
      <c r="ASQ104" s="1251"/>
      <c r="ASR104" s="1251"/>
      <c r="ASS104" s="1251"/>
      <c r="AST104" s="1251"/>
      <c r="ASU104" s="1251"/>
      <c r="ASV104" s="1251"/>
      <c r="ASW104" s="1251"/>
      <c r="ASX104" s="1251"/>
      <c r="ASY104" s="1251"/>
      <c r="ASZ104" s="1251"/>
      <c r="ATA104" s="1251"/>
      <c r="ATB104" s="1251"/>
      <c r="ATC104" s="1251"/>
      <c r="ATD104" s="1251"/>
      <c r="ATE104" s="1251"/>
      <c r="ATF104" s="1251"/>
      <c r="ATG104" s="1251"/>
      <c r="ATH104" s="1251"/>
      <c r="ATI104" s="1251"/>
      <c r="ATJ104" s="1251"/>
      <c r="ATK104" s="1251"/>
      <c r="ATL104" s="1251"/>
      <c r="ATM104" s="1251"/>
      <c r="ATN104" s="1251"/>
      <c r="ATO104" s="1251"/>
      <c r="ATP104" s="1251"/>
      <c r="ATQ104" s="1251"/>
      <c r="ATR104" s="1251"/>
      <c r="ATS104" s="1251"/>
      <c r="ATT104" s="1251"/>
      <c r="ATU104" s="1251"/>
      <c r="ATV104" s="1251"/>
      <c r="ATW104" s="1251"/>
      <c r="ATX104" s="1251"/>
      <c r="ATY104" s="1251"/>
      <c r="ATZ104" s="1251"/>
      <c r="AUA104" s="1251"/>
      <c r="AUB104" s="1251"/>
      <c r="AUC104" s="1251"/>
      <c r="AUD104" s="1251"/>
      <c r="AUE104" s="1251"/>
      <c r="AUF104" s="1251"/>
      <c r="AUG104" s="1251"/>
      <c r="AUH104" s="1251"/>
      <c r="AUI104" s="1251"/>
      <c r="AUJ104" s="1251"/>
      <c r="AUK104" s="1251"/>
      <c r="AUL104" s="1251"/>
      <c r="AUM104" s="1251"/>
      <c r="AUN104" s="1251"/>
      <c r="AUO104" s="1251"/>
      <c r="AUP104" s="1251"/>
      <c r="AUQ104" s="1251"/>
      <c r="AUR104" s="1251"/>
      <c r="AUS104" s="1251"/>
      <c r="AUT104" s="1251"/>
      <c r="AUU104" s="1251"/>
      <c r="AUV104" s="1251"/>
      <c r="AUW104" s="1251"/>
      <c r="AUX104" s="1251"/>
      <c r="AUY104" s="1251"/>
      <c r="AUZ104" s="1251"/>
      <c r="AVA104" s="1251"/>
      <c r="AVB104" s="1251"/>
      <c r="AVC104" s="1251"/>
      <c r="AVD104" s="1251"/>
      <c r="AVE104" s="1251"/>
      <c r="AVF104" s="1251"/>
      <c r="AVG104" s="1251"/>
      <c r="AVH104" s="1251"/>
      <c r="AVI104" s="1251"/>
      <c r="AVJ104" s="1251"/>
      <c r="AVK104" s="1251"/>
      <c r="AVL104" s="1251"/>
      <c r="AVM104" s="1251"/>
      <c r="AVN104" s="1251"/>
      <c r="AVO104" s="1251"/>
      <c r="AVP104" s="1251"/>
      <c r="AVQ104" s="1251"/>
      <c r="AVR104" s="1251"/>
      <c r="AVS104" s="1251"/>
      <c r="AVT104" s="1251"/>
      <c r="AVU104" s="1251"/>
      <c r="AVV104" s="1251"/>
      <c r="AVW104" s="1251"/>
      <c r="AVX104" s="1251"/>
      <c r="AVY104" s="1251"/>
      <c r="AVZ104" s="1251"/>
      <c r="AWA104" s="1251"/>
      <c r="AWB104" s="1251"/>
      <c r="AWC104" s="1251"/>
      <c r="AWD104" s="1251"/>
      <c r="AWE104" s="1251"/>
      <c r="AWF104" s="1251"/>
      <c r="AWG104" s="1251"/>
      <c r="AWH104" s="1251"/>
      <c r="AWI104" s="1251"/>
      <c r="AWJ104" s="1251"/>
      <c r="AWK104" s="1251"/>
      <c r="AWL104" s="1251"/>
      <c r="AWM104" s="1251"/>
      <c r="AWN104" s="1251"/>
      <c r="AWO104" s="1251"/>
      <c r="AWP104" s="1251"/>
      <c r="AWQ104" s="1251"/>
      <c r="AWR104" s="1251"/>
      <c r="AWS104" s="1251"/>
      <c r="AWT104" s="1251"/>
      <c r="AWU104" s="1251"/>
      <c r="AWV104" s="1251"/>
      <c r="AWW104" s="1251"/>
      <c r="AWX104" s="1251"/>
      <c r="AWY104" s="1251"/>
      <c r="AWZ104" s="1251"/>
      <c r="AXA104" s="1251"/>
      <c r="AXB104" s="1251"/>
      <c r="AXC104" s="1251"/>
      <c r="AXD104" s="1251"/>
      <c r="AXE104" s="1251"/>
      <c r="AXF104" s="1251"/>
      <c r="AXG104" s="1251"/>
      <c r="AXH104" s="1251"/>
      <c r="AXI104" s="1251"/>
      <c r="AXJ104" s="1251"/>
      <c r="AXK104" s="1251"/>
      <c r="AXL104" s="1251"/>
      <c r="AXM104" s="1251"/>
      <c r="AXN104" s="1251"/>
      <c r="AXO104" s="1251"/>
      <c r="AXP104" s="1251"/>
      <c r="AXQ104" s="1251"/>
      <c r="AXR104" s="1251"/>
      <c r="AXS104" s="1251"/>
      <c r="AXT104" s="1251"/>
      <c r="AXU104" s="1251"/>
      <c r="AXV104" s="1251"/>
      <c r="AXW104" s="1251"/>
      <c r="AXX104" s="1251"/>
      <c r="AXY104" s="1251"/>
      <c r="AXZ104" s="1251"/>
      <c r="AYA104" s="1251"/>
      <c r="AYB104" s="1251"/>
      <c r="AYC104" s="1251"/>
      <c r="AYD104" s="1251"/>
      <c r="AYE104" s="1251"/>
      <c r="AYF104" s="1251"/>
      <c r="AYG104" s="1251"/>
      <c r="AYH104" s="1251"/>
      <c r="AYI104" s="1251"/>
      <c r="AYJ104" s="1251"/>
      <c r="AYK104" s="1251"/>
      <c r="AYL104" s="1251"/>
      <c r="AYM104" s="1251"/>
      <c r="AYN104" s="1251"/>
      <c r="AYO104" s="1251"/>
      <c r="AYP104" s="1251"/>
      <c r="AYQ104" s="1251"/>
      <c r="AYR104" s="1251"/>
      <c r="AYS104" s="1251"/>
      <c r="AYT104" s="1251"/>
      <c r="AYU104" s="1251"/>
      <c r="AYV104" s="1251"/>
      <c r="AYW104" s="1251"/>
      <c r="AYX104" s="1251"/>
      <c r="AYY104" s="1251"/>
      <c r="AYZ104" s="1251"/>
      <c r="AZA104" s="1251"/>
      <c r="AZB104" s="1251"/>
      <c r="AZC104" s="1251"/>
      <c r="AZD104" s="1251"/>
      <c r="AZE104" s="1251"/>
      <c r="AZF104" s="1251"/>
      <c r="AZG104" s="1251"/>
      <c r="AZH104" s="1251"/>
      <c r="AZI104" s="1251"/>
      <c r="AZJ104" s="1251"/>
      <c r="AZK104" s="1251"/>
      <c r="AZL104" s="1251"/>
      <c r="AZM104" s="1251"/>
      <c r="AZN104" s="1251"/>
      <c r="AZO104" s="1251"/>
      <c r="AZP104" s="1251"/>
      <c r="AZQ104" s="1251"/>
      <c r="AZR104" s="1251"/>
      <c r="AZS104" s="1251"/>
      <c r="AZT104" s="1251"/>
      <c r="AZU104" s="1251"/>
      <c r="AZV104" s="1251"/>
      <c r="AZW104" s="1251"/>
      <c r="AZX104" s="1251"/>
      <c r="AZY104" s="1251"/>
      <c r="AZZ104" s="1251"/>
      <c r="BAA104" s="1251"/>
      <c r="BAB104" s="1251"/>
      <c r="BAC104" s="1251"/>
      <c r="BAD104" s="1251"/>
      <c r="BAE104" s="1251"/>
      <c r="BAF104" s="1251"/>
      <c r="BAG104" s="1251"/>
      <c r="BAH104" s="1251"/>
      <c r="BAI104" s="1251"/>
      <c r="BAJ104" s="1251"/>
      <c r="BAK104" s="1251"/>
      <c r="BAL104" s="1251"/>
      <c r="BAM104" s="1251"/>
      <c r="BAN104" s="1251"/>
      <c r="BAO104" s="1251"/>
      <c r="BAP104" s="1251"/>
      <c r="BAQ104" s="1251"/>
      <c r="BAR104" s="1251"/>
      <c r="BAS104" s="1251"/>
      <c r="BAT104" s="1251"/>
      <c r="BAU104" s="1251"/>
      <c r="BAV104" s="1251"/>
      <c r="BAW104" s="1251"/>
      <c r="BAX104" s="1251"/>
      <c r="BAY104" s="1251"/>
      <c r="BAZ104" s="1251"/>
      <c r="BBA104" s="1251"/>
      <c r="BBB104" s="1251"/>
      <c r="BBC104" s="1251"/>
      <c r="BBD104" s="1251"/>
      <c r="BBE104" s="1251"/>
      <c r="BBF104" s="1251"/>
      <c r="BBG104" s="1251"/>
      <c r="BBH104" s="1251"/>
      <c r="BBI104" s="1251"/>
      <c r="BBJ104" s="1251"/>
      <c r="BBK104" s="1251"/>
      <c r="BBL104" s="1251"/>
      <c r="BBM104" s="1251"/>
      <c r="BBN104" s="1251"/>
      <c r="BBO104" s="1251"/>
      <c r="BBP104" s="1251"/>
      <c r="BBQ104" s="1251"/>
      <c r="BBR104" s="1251"/>
      <c r="BBS104" s="1251"/>
      <c r="BBT104" s="1251"/>
      <c r="BBU104" s="1251"/>
      <c r="BBV104" s="1251"/>
      <c r="BBW104" s="1251"/>
      <c r="BBX104" s="1251"/>
      <c r="BBY104" s="1251"/>
      <c r="BBZ104" s="1251"/>
      <c r="BCA104" s="1251"/>
      <c r="BCB104" s="1251"/>
      <c r="BCC104" s="1251"/>
      <c r="BCD104" s="1251"/>
      <c r="BCE104" s="1251"/>
      <c r="BCF104" s="1251"/>
      <c r="BCG104" s="1251"/>
      <c r="BCH104" s="1251"/>
      <c r="BCI104" s="1251"/>
      <c r="BCJ104" s="1251"/>
      <c r="BCK104" s="1251"/>
      <c r="BCL104" s="1251"/>
      <c r="BCM104" s="1251"/>
      <c r="BCN104" s="1251"/>
      <c r="BCO104" s="1251"/>
      <c r="BCP104" s="1251"/>
      <c r="BCQ104" s="1251"/>
      <c r="BCR104" s="1251"/>
      <c r="BCS104" s="1251"/>
      <c r="BCT104" s="1251"/>
      <c r="BCU104" s="1251"/>
      <c r="BCV104" s="1251"/>
      <c r="BCW104" s="1251"/>
      <c r="BCX104" s="1251"/>
      <c r="BCY104" s="1251"/>
      <c r="BCZ104" s="1251"/>
      <c r="BDA104" s="1251"/>
      <c r="BDB104" s="1251"/>
      <c r="BDC104" s="1251"/>
      <c r="BDD104" s="1251"/>
      <c r="BDE104" s="1251"/>
      <c r="BDF104" s="1251"/>
      <c r="BDG104" s="1251"/>
      <c r="BDH104" s="1251"/>
      <c r="BDI104" s="1251"/>
      <c r="BDJ104" s="1251"/>
      <c r="BDK104" s="1251"/>
      <c r="BDL104" s="1251"/>
      <c r="BDM104" s="1251"/>
      <c r="BDN104" s="1251"/>
      <c r="BDO104" s="1251"/>
      <c r="BDP104" s="1251"/>
      <c r="BDQ104" s="1251"/>
      <c r="BDR104" s="1251"/>
      <c r="BDS104" s="1251"/>
      <c r="BDT104" s="1251"/>
      <c r="BDU104" s="1251"/>
      <c r="BDV104" s="1251"/>
      <c r="BDW104" s="1251"/>
      <c r="BDX104" s="1251"/>
      <c r="BDY104" s="1251"/>
      <c r="BDZ104" s="1251"/>
      <c r="BEA104" s="1251"/>
      <c r="BEB104" s="1251"/>
      <c r="BEC104" s="1251"/>
      <c r="BED104" s="1251"/>
      <c r="BEE104" s="1251"/>
      <c r="BEF104" s="1251"/>
      <c r="BEG104" s="1251"/>
      <c r="BEH104" s="1251"/>
      <c r="BEI104" s="1251"/>
      <c r="BEJ104" s="1251"/>
      <c r="BEK104" s="1251"/>
      <c r="BEL104" s="1251"/>
      <c r="BEM104" s="1251"/>
      <c r="BEN104" s="1251"/>
      <c r="BEO104" s="1251"/>
      <c r="BEP104" s="1251"/>
      <c r="BEQ104" s="1251"/>
      <c r="BER104" s="1251"/>
      <c r="BES104" s="1251"/>
      <c r="BET104" s="1251"/>
      <c r="BEU104" s="1251"/>
      <c r="BEV104" s="1251"/>
      <c r="BEW104" s="1251"/>
      <c r="BEX104" s="1251"/>
      <c r="BEY104" s="1251"/>
      <c r="BEZ104" s="1251"/>
      <c r="BFA104" s="1251"/>
      <c r="BFB104" s="1251"/>
      <c r="BFC104" s="1251"/>
      <c r="BFD104" s="1251"/>
      <c r="BFE104" s="1251"/>
      <c r="BFF104" s="1251"/>
      <c r="BFG104" s="1251"/>
      <c r="BFH104" s="1251"/>
      <c r="BFI104" s="1251"/>
      <c r="BFJ104" s="1251"/>
      <c r="BFK104" s="1251"/>
      <c r="BFL104" s="1251"/>
      <c r="BFM104" s="1251"/>
      <c r="BFN104" s="1251"/>
      <c r="BFO104" s="1251"/>
      <c r="BFP104" s="1251"/>
      <c r="BFQ104" s="1251"/>
      <c r="BFR104" s="1251"/>
      <c r="BFS104" s="1251"/>
      <c r="BFT104" s="1251"/>
      <c r="BFU104" s="1251"/>
      <c r="BFV104" s="1251"/>
      <c r="BFW104" s="1251"/>
      <c r="BFX104" s="1251"/>
      <c r="BFY104" s="1251"/>
      <c r="BFZ104" s="1251"/>
      <c r="BGA104" s="1251"/>
      <c r="BGB104" s="1251"/>
      <c r="BGC104" s="1251"/>
      <c r="BGD104" s="1251"/>
      <c r="BGE104" s="1251"/>
      <c r="BGF104" s="1251"/>
      <c r="BGG104" s="1251"/>
      <c r="BGH104" s="1251"/>
      <c r="BGI104" s="1251"/>
      <c r="BGJ104" s="1251"/>
      <c r="BGK104" s="1251"/>
      <c r="BGL104" s="1251"/>
      <c r="BGM104" s="1251"/>
      <c r="BGN104" s="1251"/>
      <c r="BGO104" s="1251"/>
      <c r="BGP104" s="1251"/>
      <c r="BGQ104" s="1251"/>
      <c r="BGR104" s="1251"/>
      <c r="BGS104" s="1251"/>
      <c r="BGT104" s="1251"/>
      <c r="BGU104" s="1251"/>
      <c r="BGV104" s="1251"/>
      <c r="BGW104" s="1251"/>
      <c r="BGX104" s="1251"/>
      <c r="BGY104" s="1251"/>
      <c r="BGZ104" s="1251"/>
      <c r="BHA104" s="1251"/>
      <c r="BHB104" s="1251"/>
      <c r="BHC104" s="1251"/>
      <c r="BHD104" s="1251"/>
      <c r="BHE104" s="1251"/>
      <c r="BHF104" s="1251"/>
      <c r="BHG104" s="1251"/>
      <c r="BHH104" s="1251"/>
      <c r="BHI104" s="1251"/>
      <c r="BHJ104" s="1251"/>
      <c r="BHK104" s="1251"/>
      <c r="BHL104" s="1251"/>
      <c r="BHM104" s="1251"/>
      <c r="BHN104" s="1251"/>
      <c r="BHO104" s="1251"/>
      <c r="BHP104" s="1251"/>
      <c r="BHQ104" s="1251"/>
      <c r="BHR104" s="1251"/>
      <c r="BHS104" s="1251"/>
      <c r="BHT104" s="1251"/>
      <c r="BHU104" s="1251"/>
      <c r="BHV104" s="1251"/>
      <c r="BHW104" s="1251"/>
      <c r="BHX104" s="1251"/>
      <c r="BHY104" s="1251"/>
      <c r="BHZ104" s="1251"/>
      <c r="BIA104" s="1251"/>
      <c r="BIB104" s="1251"/>
      <c r="BIC104" s="1251"/>
      <c r="BID104" s="1251"/>
      <c r="BIE104" s="1251"/>
      <c r="BIF104" s="1251"/>
      <c r="BIG104" s="1251"/>
      <c r="BIH104" s="1251"/>
      <c r="BII104" s="1251"/>
      <c r="BIJ104" s="1251"/>
      <c r="BIK104" s="1251"/>
      <c r="BIL104" s="1251"/>
      <c r="BIM104" s="1251"/>
      <c r="BIN104" s="1251"/>
      <c r="BIO104" s="1251"/>
      <c r="BIP104" s="1251"/>
      <c r="BIQ104" s="1251"/>
      <c r="BIR104" s="1251"/>
      <c r="BIS104" s="1251"/>
      <c r="BIT104" s="1251"/>
      <c r="BIU104" s="1251"/>
      <c r="BIV104" s="1251"/>
      <c r="BIW104" s="1251"/>
      <c r="BIX104" s="1251"/>
      <c r="BIY104" s="1251"/>
      <c r="BIZ104" s="1251"/>
      <c r="BJA104" s="1251"/>
      <c r="BJB104" s="1251"/>
      <c r="BJC104" s="1251"/>
      <c r="BJD104" s="1251"/>
      <c r="BJE104" s="1251"/>
      <c r="BJF104" s="1251"/>
      <c r="BJG104" s="1251"/>
      <c r="BJH104" s="1251"/>
      <c r="BJI104" s="1251"/>
      <c r="BJJ104" s="1251"/>
      <c r="BJK104" s="1251"/>
      <c r="BJL104" s="1251"/>
      <c r="BJM104" s="1251"/>
      <c r="BJN104" s="1251"/>
      <c r="BJO104" s="1251"/>
      <c r="BJP104" s="1251"/>
      <c r="BJQ104" s="1251"/>
      <c r="BJR104" s="1251"/>
      <c r="BJS104" s="1251"/>
      <c r="BJT104" s="1251"/>
      <c r="BJU104" s="1251"/>
      <c r="BJV104" s="1251"/>
      <c r="BJW104" s="1251"/>
      <c r="BJX104" s="1251"/>
      <c r="BJY104" s="1251"/>
      <c r="BJZ104" s="1251"/>
      <c r="BKA104" s="1251"/>
      <c r="BKB104" s="1251"/>
      <c r="BKC104" s="1251"/>
      <c r="BKD104" s="1251"/>
      <c r="BKE104" s="1251"/>
      <c r="BKF104" s="1251"/>
      <c r="BKG104" s="1251"/>
      <c r="BKH104" s="1251"/>
      <c r="BKI104" s="1251"/>
      <c r="BKJ104" s="1251"/>
      <c r="BKK104" s="1251"/>
      <c r="BKL104" s="1251"/>
      <c r="BKM104" s="1251"/>
      <c r="BKN104" s="1251"/>
      <c r="BKO104" s="1251"/>
      <c r="BKP104" s="1251"/>
      <c r="BKQ104" s="1251"/>
      <c r="BKR104" s="1251"/>
      <c r="BKS104" s="1251"/>
      <c r="BKT104" s="1251"/>
      <c r="BKU104" s="1251"/>
      <c r="BKV104" s="1251"/>
      <c r="BKW104" s="1251"/>
      <c r="BKX104" s="1251"/>
      <c r="BKY104" s="1251"/>
      <c r="BKZ104" s="1251"/>
      <c r="BLA104" s="1251"/>
      <c r="BLB104" s="1251"/>
      <c r="BLC104" s="1251"/>
      <c r="BLD104" s="1251"/>
      <c r="BLE104" s="1251"/>
      <c r="BLF104" s="1251"/>
      <c r="BLG104" s="1251"/>
      <c r="BLH104" s="1251"/>
      <c r="BLI104" s="1251"/>
      <c r="BLJ104" s="1251"/>
      <c r="BLK104" s="1251"/>
      <c r="BLL104" s="1251"/>
      <c r="BLM104" s="1251"/>
      <c r="BLN104" s="1251"/>
      <c r="BLO104" s="1251"/>
      <c r="BLP104" s="1251"/>
      <c r="BLQ104" s="1251"/>
      <c r="BLR104" s="1251"/>
      <c r="BLS104" s="1251"/>
      <c r="BLT104" s="1251"/>
      <c r="BLU104" s="1251"/>
      <c r="BLV104" s="1251"/>
      <c r="BLW104" s="1251"/>
      <c r="BLX104" s="1251"/>
      <c r="BLY104" s="1251"/>
      <c r="BLZ104" s="1251"/>
      <c r="BMA104" s="1251"/>
      <c r="BMB104" s="1251"/>
      <c r="BMC104" s="1251"/>
      <c r="BMD104" s="1251"/>
      <c r="BME104" s="1251"/>
      <c r="BMF104" s="1251"/>
      <c r="BMG104" s="1251"/>
      <c r="BMH104" s="1251"/>
      <c r="BMI104" s="1251"/>
      <c r="BMJ104" s="1251"/>
      <c r="BMK104" s="1251"/>
      <c r="BML104" s="1251"/>
      <c r="BMM104" s="1251"/>
      <c r="BMN104" s="1251"/>
      <c r="BMO104" s="1251"/>
      <c r="BMP104" s="1251"/>
      <c r="BMQ104" s="1251"/>
      <c r="BMR104" s="1251"/>
      <c r="BMS104" s="1251"/>
      <c r="BMT104" s="1251"/>
      <c r="BMU104" s="1251"/>
      <c r="BMV104" s="1251"/>
      <c r="BMW104" s="1251"/>
      <c r="BMX104" s="1251"/>
      <c r="BMY104" s="1251"/>
      <c r="BMZ104" s="1251"/>
      <c r="BNA104" s="1251"/>
      <c r="BNB104" s="1251"/>
      <c r="BNC104" s="1251"/>
      <c r="BND104" s="1251"/>
      <c r="BNE104" s="1251"/>
      <c r="BNF104" s="1251"/>
      <c r="BNG104" s="1251"/>
      <c r="BNH104" s="1251"/>
      <c r="BNI104" s="1251"/>
      <c r="BNJ104" s="1251"/>
      <c r="BNK104" s="1251"/>
      <c r="BNL104" s="1251"/>
      <c r="BNM104" s="1251"/>
      <c r="BNN104" s="1251"/>
      <c r="BNO104" s="1251"/>
      <c r="BNP104" s="1251"/>
      <c r="BNQ104" s="1251"/>
      <c r="BNR104" s="1251"/>
      <c r="BNS104" s="1251"/>
      <c r="BNT104" s="1251"/>
      <c r="BNU104" s="1251"/>
      <c r="BNV104" s="1251"/>
      <c r="BNW104" s="1251"/>
      <c r="BNX104" s="1251"/>
      <c r="BNY104" s="1251"/>
      <c r="BNZ104" s="1251"/>
      <c r="BOA104" s="1251"/>
      <c r="BOB104" s="1251"/>
      <c r="BOC104" s="1251"/>
      <c r="BOD104" s="1251"/>
      <c r="BOE104" s="1251"/>
      <c r="BOF104" s="1251"/>
      <c r="BOG104" s="1251"/>
      <c r="BOH104" s="1251"/>
      <c r="BOI104" s="1251"/>
      <c r="BOJ104" s="1251"/>
      <c r="BOK104" s="1251"/>
      <c r="BOL104" s="1251"/>
      <c r="BOM104" s="1251"/>
      <c r="BON104" s="1251"/>
      <c r="BOO104" s="1251"/>
      <c r="BOP104" s="1251"/>
      <c r="BOQ104" s="1251"/>
      <c r="BOR104" s="1251"/>
      <c r="BOS104" s="1251"/>
      <c r="BOT104" s="1251"/>
      <c r="BOU104" s="1251"/>
      <c r="BOV104" s="1251"/>
      <c r="BOW104" s="1251"/>
      <c r="BOX104" s="1251"/>
      <c r="BOY104" s="1251"/>
      <c r="BOZ104" s="1251"/>
      <c r="BPA104" s="1251"/>
      <c r="BPB104" s="1251"/>
      <c r="BPC104" s="1251"/>
      <c r="BPD104" s="1251"/>
      <c r="BPE104" s="1251"/>
      <c r="BPF104" s="1251"/>
      <c r="BPG104" s="1251"/>
      <c r="BPH104" s="1251"/>
      <c r="BPI104" s="1251"/>
      <c r="BPJ104" s="1251"/>
      <c r="BPK104" s="1251"/>
      <c r="BPL104" s="1251"/>
      <c r="BPM104" s="1251"/>
      <c r="BPN104" s="1251"/>
      <c r="BPO104" s="1251"/>
      <c r="BPP104" s="1251"/>
      <c r="BPQ104" s="1251"/>
      <c r="BPR104" s="1251"/>
      <c r="BPS104" s="1251"/>
      <c r="BPT104" s="1251"/>
      <c r="BPU104" s="1251"/>
      <c r="BPV104" s="1251"/>
      <c r="BPW104" s="1251"/>
      <c r="BPX104" s="1251"/>
      <c r="BPY104" s="1251"/>
      <c r="BPZ104" s="1251"/>
      <c r="BQA104" s="1251"/>
      <c r="BQB104" s="1251"/>
      <c r="BQC104" s="1251"/>
      <c r="BQD104" s="1251"/>
      <c r="BQE104" s="1251"/>
      <c r="BQF104" s="1251"/>
      <c r="BQG104" s="1251"/>
      <c r="BQH104" s="1251"/>
      <c r="BQI104" s="1251"/>
      <c r="BQJ104" s="1251"/>
      <c r="BQK104" s="1251"/>
      <c r="BQL104" s="1251"/>
      <c r="BQM104" s="1251"/>
      <c r="BQN104" s="1251"/>
      <c r="BQO104" s="1251"/>
      <c r="BQP104" s="1251"/>
      <c r="BQQ104" s="1251"/>
      <c r="BQR104" s="1251"/>
      <c r="BQS104" s="1251"/>
      <c r="BQT104" s="1251"/>
      <c r="BQU104" s="1251"/>
      <c r="BQV104" s="1251"/>
      <c r="BQW104" s="1251"/>
      <c r="BQX104" s="1251"/>
      <c r="BQY104" s="1251"/>
      <c r="BQZ104" s="1251"/>
      <c r="BRA104" s="1251"/>
      <c r="BRB104" s="1251"/>
      <c r="BRC104" s="1251"/>
      <c r="BRD104" s="1251"/>
      <c r="BRE104" s="1251"/>
      <c r="BRF104" s="1251"/>
      <c r="BRG104" s="1251"/>
      <c r="BRH104" s="1251"/>
      <c r="BRI104" s="1251"/>
      <c r="BRJ104" s="1251"/>
      <c r="BRK104" s="1251"/>
      <c r="BRL104" s="1251"/>
      <c r="BRM104" s="1251"/>
      <c r="BRN104" s="1251"/>
      <c r="BRO104" s="1251"/>
      <c r="BRP104" s="1251"/>
      <c r="BRQ104" s="1251"/>
      <c r="BRR104" s="1251"/>
      <c r="BRS104" s="1251"/>
      <c r="BRT104" s="1251"/>
      <c r="BRU104" s="1251"/>
      <c r="BRV104" s="1251"/>
      <c r="BRW104" s="1251"/>
      <c r="BRX104" s="1251"/>
      <c r="BRY104" s="1251"/>
      <c r="BRZ104" s="1251"/>
      <c r="BSA104" s="1251"/>
      <c r="BSB104" s="1251"/>
      <c r="BSC104" s="1251"/>
      <c r="BSD104" s="1251"/>
      <c r="BSE104" s="1251"/>
      <c r="BSF104" s="1251"/>
      <c r="BSG104" s="1251"/>
      <c r="BSH104" s="1251"/>
      <c r="BSI104" s="1251"/>
      <c r="BSJ104" s="1251"/>
      <c r="BSK104" s="1251"/>
      <c r="BSL104" s="1251"/>
      <c r="BSM104" s="1251"/>
      <c r="BSN104" s="1251"/>
      <c r="BSO104" s="1251"/>
      <c r="BSP104" s="1251"/>
      <c r="BSQ104" s="1251"/>
      <c r="BSR104" s="1251"/>
      <c r="BSS104" s="1251"/>
      <c r="BST104" s="1251"/>
      <c r="BSU104" s="1251"/>
      <c r="BSV104" s="1251"/>
      <c r="BSW104" s="1251"/>
      <c r="BSX104" s="1251"/>
      <c r="BSY104" s="1251"/>
      <c r="BSZ104" s="1251"/>
      <c r="BTA104" s="1251"/>
      <c r="BTB104" s="1251"/>
      <c r="BTC104" s="1251"/>
      <c r="BTD104" s="1251"/>
      <c r="BTE104" s="1251"/>
      <c r="BTF104" s="1251"/>
      <c r="BTG104" s="1251"/>
      <c r="BTH104" s="1251"/>
      <c r="BTI104" s="1251"/>
    </row>
    <row r="105" spans="1:1881" s="1261" customFormat="1" ht="78" hidden="1" customHeight="1" thickBot="1" x14ac:dyDescent="0.35">
      <c r="A105" s="1274">
        <v>13</v>
      </c>
      <c r="B105" s="1272" t="s">
        <v>567</v>
      </c>
      <c r="C105" s="1275" t="s">
        <v>1263</v>
      </c>
      <c r="D105" s="1275" t="s">
        <v>1466</v>
      </c>
      <c r="E105" s="1249" t="e">
        <f>HLOOKUP($D$2,'2020 Data(H)'!$C$1:$CZ$426,10,FALSE)</f>
        <v>#N/A</v>
      </c>
      <c r="F105" s="1263">
        <v>0</v>
      </c>
      <c r="G105" s="727"/>
      <c r="H105" s="17"/>
      <c r="I105" s="760"/>
      <c r="J105" s="1252"/>
      <c r="K105" s="1251"/>
      <c r="L105" s="701"/>
      <c r="M105" s="1251"/>
      <c r="N105" s="1253"/>
      <c r="O105" s="1251"/>
      <c r="P105" s="1251"/>
      <c r="Q105" s="1251"/>
      <c r="R105" s="1251"/>
      <c r="S105" s="1251"/>
      <c r="T105" s="1251"/>
      <c r="U105" s="1251"/>
      <c r="V105" s="1251"/>
      <c r="W105" s="1251"/>
      <c r="X105" s="1251"/>
      <c r="Y105" s="1251"/>
      <c r="Z105" s="1274"/>
      <c r="AA105" s="1274"/>
      <c r="AB105" s="1274"/>
      <c r="AC105" s="1274"/>
      <c r="AD105" s="1274"/>
      <c r="AE105" s="1274"/>
      <c r="AF105" s="1274"/>
      <c r="AG105" s="1274"/>
      <c r="AH105" s="1274"/>
      <c r="AI105" s="1274"/>
      <c r="AJ105" s="1274"/>
      <c r="AK105" s="1274"/>
      <c r="AL105" s="1274"/>
      <c r="AM105" s="1274"/>
      <c r="AN105" s="1274"/>
      <c r="AO105" s="1274"/>
      <c r="AP105" s="1274"/>
      <c r="AQ105" s="1274"/>
      <c r="AR105" s="1274"/>
      <c r="AS105" s="1251"/>
      <c r="AT105" s="1251"/>
      <c r="AU105" s="1251"/>
      <c r="AV105" s="1251"/>
      <c r="AW105" s="1251"/>
      <c r="AX105" s="1251"/>
      <c r="AY105" s="1251"/>
      <c r="AZ105" s="1251"/>
      <c r="BA105" s="1251"/>
      <c r="BB105" s="1251"/>
      <c r="BC105" s="1251"/>
      <c r="BD105" s="1251"/>
      <c r="BE105" s="1251"/>
      <c r="BF105" s="1251"/>
      <c r="BG105" s="1251"/>
      <c r="BH105" s="1251"/>
      <c r="BI105" s="1251"/>
      <c r="BJ105" s="1251"/>
      <c r="BK105" s="1251"/>
      <c r="BL105" s="1251"/>
      <c r="BM105" s="1251"/>
      <c r="BN105" s="1251"/>
      <c r="BO105" s="1251"/>
      <c r="BP105" s="1251"/>
      <c r="BQ105" s="1251"/>
      <c r="BR105" s="1251"/>
      <c r="BS105" s="1251"/>
      <c r="BT105" s="1251"/>
      <c r="BU105" s="1251"/>
      <c r="BV105" s="1251"/>
      <c r="BW105" s="1251"/>
      <c r="BX105" s="1251"/>
      <c r="BY105" s="1251"/>
      <c r="BZ105" s="1251"/>
      <c r="CA105" s="1251"/>
      <c r="CB105" s="1251"/>
      <c r="CC105" s="1251"/>
      <c r="CD105" s="1251"/>
      <c r="CE105" s="1251"/>
      <c r="CF105" s="1251"/>
      <c r="CG105" s="1251"/>
      <c r="CH105" s="1251"/>
      <c r="CI105" s="1251"/>
      <c r="CJ105" s="1251"/>
      <c r="CK105" s="1251"/>
      <c r="CL105" s="1251"/>
      <c r="CM105" s="1251"/>
      <c r="CN105" s="1251"/>
      <c r="CO105" s="1251"/>
      <c r="CP105" s="1251"/>
      <c r="CQ105" s="1251"/>
      <c r="CR105" s="1251"/>
      <c r="CS105" s="1251"/>
      <c r="CT105" s="1251"/>
      <c r="CU105" s="1251"/>
      <c r="CV105" s="1251"/>
      <c r="CW105" s="1251"/>
      <c r="CX105" s="1251"/>
      <c r="CY105" s="1251"/>
      <c r="CZ105" s="1251"/>
      <c r="DA105" s="1251"/>
      <c r="DB105" s="1251"/>
      <c r="DC105" s="1251"/>
      <c r="DD105" s="1251"/>
      <c r="DE105" s="1251"/>
      <c r="DF105" s="1251"/>
      <c r="DG105" s="1251"/>
      <c r="DH105" s="1251"/>
      <c r="DI105" s="1251"/>
      <c r="DJ105" s="1251"/>
      <c r="DK105" s="1251"/>
      <c r="DL105" s="1251"/>
      <c r="DM105" s="1251"/>
      <c r="DN105" s="1251"/>
      <c r="DO105" s="1251"/>
      <c r="DP105" s="1251"/>
      <c r="DQ105" s="1251"/>
      <c r="DR105" s="1251"/>
      <c r="DS105" s="1251"/>
      <c r="DT105" s="1251"/>
      <c r="DU105" s="1251"/>
      <c r="DV105" s="1251"/>
      <c r="DW105" s="1251"/>
      <c r="DX105" s="1251"/>
      <c r="DY105" s="1251"/>
      <c r="DZ105" s="1251"/>
      <c r="EA105" s="1251"/>
      <c r="EB105" s="1251"/>
      <c r="EC105" s="1251"/>
      <c r="ED105" s="1251"/>
      <c r="EE105" s="1251"/>
      <c r="EF105" s="1251"/>
      <c r="EG105" s="1251"/>
      <c r="EH105" s="1251"/>
      <c r="EI105" s="1251"/>
      <c r="EJ105" s="1251"/>
      <c r="EK105" s="1251"/>
      <c r="EL105" s="1251"/>
      <c r="EM105" s="1251"/>
      <c r="EN105" s="1251"/>
      <c r="EO105" s="1251"/>
      <c r="EP105" s="1251"/>
      <c r="EQ105" s="1251"/>
      <c r="ER105" s="1251"/>
      <c r="ES105" s="1251"/>
      <c r="ET105" s="1251"/>
      <c r="EU105" s="1251"/>
      <c r="EV105" s="1251"/>
      <c r="EW105" s="1251"/>
      <c r="EX105" s="1251"/>
      <c r="EY105" s="1251"/>
      <c r="EZ105" s="1251"/>
      <c r="FA105" s="1251"/>
      <c r="FB105" s="1251"/>
      <c r="FC105" s="1251"/>
      <c r="FD105" s="1251"/>
      <c r="FE105" s="1251"/>
      <c r="FF105" s="1251"/>
      <c r="FG105" s="1251"/>
      <c r="FH105" s="1251"/>
      <c r="FI105" s="1251"/>
      <c r="FJ105" s="1251"/>
      <c r="FK105" s="1251"/>
      <c r="FL105" s="1251"/>
      <c r="FM105" s="1251"/>
      <c r="FN105" s="1251"/>
      <c r="FO105" s="1251"/>
      <c r="FP105" s="1251"/>
      <c r="FQ105" s="1251"/>
      <c r="FR105" s="1251"/>
      <c r="FS105" s="1251"/>
      <c r="FT105" s="1251"/>
      <c r="FU105" s="1251"/>
      <c r="FV105" s="1251"/>
      <c r="FW105" s="1251"/>
      <c r="FX105" s="1251"/>
      <c r="FY105" s="1251"/>
      <c r="FZ105" s="1251"/>
      <c r="GA105" s="1251"/>
      <c r="GB105" s="1251"/>
      <c r="GC105" s="1251"/>
      <c r="GD105" s="1251"/>
      <c r="GE105" s="1251"/>
      <c r="GF105" s="1251"/>
      <c r="GG105" s="1251"/>
      <c r="GH105" s="1251"/>
      <c r="GI105" s="1251"/>
      <c r="GJ105" s="1251"/>
      <c r="GK105" s="1251"/>
      <c r="GL105" s="1251"/>
      <c r="GM105" s="1251"/>
      <c r="GN105" s="1251"/>
      <c r="GO105" s="1251"/>
      <c r="GP105" s="1251"/>
      <c r="GQ105" s="1251"/>
      <c r="GR105" s="1251"/>
      <c r="GS105" s="1251"/>
      <c r="GT105" s="1251"/>
      <c r="GU105" s="1251"/>
      <c r="GV105" s="1251"/>
      <c r="GW105" s="1251"/>
      <c r="GX105" s="1251"/>
      <c r="GY105" s="1251"/>
      <c r="GZ105" s="1251"/>
      <c r="HA105" s="1251"/>
      <c r="HB105" s="1251"/>
      <c r="HC105" s="1251"/>
      <c r="HD105" s="1251"/>
      <c r="HE105" s="1251"/>
      <c r="HF105" s="1251"/>
      <c r="HG105" s="1251"/>
      <c r="HH105" s="1251"/>
      <c r="HI105" s="1251"/>
      <c r="HJ105" s="1251"/>
      <c r="HK105" s="1251"/>
      <c r="HL105" s="1251"/>
      <c r="HM105" s="1251"/>
      <c r="HN105" s="1251"/>
      <c r="HO105" s="1251"/>
      <c r="HP105" s="1251"/>
      <c r="HQ105" s="1251"/>
      <c r="HR105" s="1251"/>
      <c r="HS105" s="1251"/>
      <c r="HT105" s="1251"/>
      <c r="HU105" s="1251"/>
      <c r="HV105" s="1251"/>
      <c r="HW105" s="1251"/>
      <c r="HX105" s="1251"/>
      <c r="HY105" s="1251"/>
      <c r="HZ105" s="1251"/>
      <c r="IA105" s="1251"/>
      <c r="IB105" s="1251"/>
      <c r="IC105" s="1251"/>
      <c r="ID105" s="1251"/>
      <c r="IE105" s="1251"/>
      <c r="IF105" s="1251"/>
      <c r="IG105" s="1251"/>
      <c r="IH105" s="1251"/>
      <c r="II105" s="1251"/>
      <c r="IJ105" s="1251"/>
      <c r="IK105" s="1251"/>
      <c r="IL105" s="1251"/>
      <c r="IM105" s="1251"/>
      <c r="IN105" s="1251"/>
      <c r="IO105" s="1251"/>
      <c r="IP105" s="1251"/>
      <c r="IQ105" s="1251"/>
      <c r="IR105" s="1251"/>
      <c r="IS105" s="1251"/>
      <c r="IT105" s="1251"/>
      <c r="IU105" s="1251"/>
      <c r="IV105" s="1251"/>
      <c r="IW105" s="1251"/>
      <c r="IX105" s="1251"/>
      <c r="IY105" s="1251"/>
      <c r="IZ105" s="1251"/>
      <c r="JA105" s="1251"/>
      <c r="JB105" s="1251"/>
      <c r="JC105" s="1251"/>
      <c r="JD105" s="1251"/>
      <c r="JE105" s="1251"/>
      <c r="JF105" s="1251"/>
      <c r="JG105" s="1251"/>
      <c r="JH105" s="1251"/>
      <c r="JI105" s="1251"/>
      <c r="JJ105" s="1251"/>
      <c r="JK105" s="1251"/>
      <c r="JL105" s="1251"/>
      <c r="JM105" s="1251"/>
      <c r="JN105" s="1251"/>
      <c r="JO105" s="1251"/>
      <c r="JP105" s="1251"/>
      <c r="JQ105" s="1251"/>
      <c r="JR105" s="1251"/>
      <c r="JS105" s="1251"/>
      <c r="JT105" s="1251"/>
      <c r="JU105" s="1251"/>
      <c r="JV105" s="1251"/>
      <c r="JW105" s="1251"/>
      <c r="JX105" s="1251"/>
      <c r="JY105" s="1251"/>
      <c r="JZ105" s="1251"/>
      <c r="KA105" s="1251"/>
      <c r="KB105" s="1251"/>
      <c r="KC105" s="1251"/>
      <c r="KD105" s="1251"/>
      <c r="KE105" s="1251"/>
      <c r="KF105" s="1251"/>
      <c r="KG105" s="1251"/>
      <c r="KH105" s="1251"/>
      <c r="KI105" s="1251"/>
      <c r="KJ105" s="1251"/>
      <c r="KK105" s="1251"/>
      <c r="KL105" s="1251"/>
      <c r="KM105" s="1251"/>
      <c r="KN105" s="1251"/>
      <c r="KO105" s="1251"/>
      <c r="KP105" s="1251"/>
      <c r="KQ105" s="1251"/>
      <c r="KR105" s="1251"/>
      <c r="KS105" s="1251"/>
      <c r="KT105" s="1251"/>
      <c r="KU105" s="1251"/>
      <c r="KV105" s="1251"/>
      <c r="KW105" s="1251"/>
      <c r="KX105" s="1251"/>
      <c r="KY105" s="1251"/>
      <c r="KZ105" s="1251"/>
      <c r="LA105" s="1251"/>
      <c r="LB105" s="1251"/>
      <c r="LC105" s="1251"/>
      <c r="LD105" s="1251"/>
      <c r="LE105" s="1251"/>
      <c r="LF105" s="1251"/>
      <c r="LG105" s="1251"/>
      <c r="LH105" s="1251"/>
      <c r="LI105" s="1251"/>
      <c r="LJ105" s="1251"/>
      <c r="LK105" s="1251"/>
      <c r="LL105" s="1251"/>
      <c r="LM105" s="1251"/>
      <c r="LN105" s="1251"/>
      <c r="LO105" s="1251"/>
      <c r="LP105" s="1251"/>
      <c r="LQ105" s="1251"/>
      <c r="LR105" s="1251"/>
      <c r="LS105" s="1251"/>
      <c r="LT105" s="1251"/>
      <c r="LU105" s="1251"/>
      <c r="LV105" s="1251"/>
      <c r="LW105" s="1251"/>
      <c r="LX105" s="1251"/>
      <c r="LY105" s="1251"/>
      <c r="LZ105" s="1251"/>
      <c r="MA105" s="1251"/>
      <c r="MB105" s="1251"/>
      <c r="MC105" s="1251"/>
      <c r="MD105" s="1251"/>
      <c r="ME105" s="1251"/>
      <c r="MF105" s="1251"/>
      <c r="MG105" s="1251"/>
      <c r="MH105" s="1251"/>
      <c r="MI105" s="1251"/>
      <c r="MJ105" s="1251"/>
      <c r="MK105" s="1251"/>
      <c r="ML105" s="1251"/>
      <c r="MM105" s="1251"/>
      <c r="MN105" s="1251"/>
      <c r="MO105" s="1251"/>
      <c r="MP105" s="1251"/>
      <c r="MQ105" s="1251"/>
      <c r="MR105" s="1251"/>
      <c r="MS105" s="1251"/>
      <c r="MT105" s="1251"/>
      <c r="MU105" s="1251"/>
      <c r="MV105" s="1251"/>
      <c r="MW105" s="1251"/>
      <c r="MX105" s="1251"/>
      <c r="MY105" s="1251"/>
      <c r="MZ105" s="1251"/>
      <c r="NA105" s="1251"/>
      <c r="NB105" s="1251"/>
      <c r="NC105" s="1251"/>
      <c r="ND105" s="1251"/>
      <c r="NE105" s="1251"/>
      <c r="NF105" s="1251"/>
      <c r="NG105" s="1251"/>
      <c r="NH105" s="1251"/>
      <c r="NI105" s="1251"/>
      <c r="NJ105" s="1251"/>
      <c r="NK105" s="1251"/>
      <c r="NL105" s="1251"/>
      <c r="NM105" s="1251"/>
      <c r="NN105" s="1251"/>
      <c r="NO105" s="1251"/>
      <c r="NP105" s="1251"/>
      <c r="NQ105" s="1251"/>
      <c r="NR105" s="1251"/>
      <c r="NS105" s="1251"/>
      <c r="NT105" s="1251"/>
      <c r="NU105" s="1251"/>
      <c r="NV105" s="1251"/>
      <c r="NW105" s="1251"/>
      <c r="NX105" s="1251"/>
      <c r="NY105" s="1251"/>
      <c r="NZ105" s="1251"/>
      <c r="OA105" s="1251"/>
      <c r="OB105" s="1251"/>
      <c r="OC105" s="1251"/>
      <c r="OD105" s="1251"/>
      <c r="OE105" s="1251"/>
      <c r="OF105" s="1251"/>
      <c r="OG105" s="1251"/>
      <c r="OH105" s="1251"/>
      <c r="OI105" s="1251"/>
      <c r="OJ105" s="1251"/>
      <c r="OK105" s="1251"/>
      <c r="OL105" s="1251"/>
      <c r="OM105" s="1251"/>
      <c r="ON105" s="1251"/>
      <c r="OO105" s="1251"/>
      <c r="OP105" s="1251"/>
      <c r="OQ105" s="1251"/>
      <c r="OR105" s="1251"/>
      <c r="OS105" s="1251"/>
      <c r="OT105" s="1251"/>
      <c r="OU105" s="1251"/>
      <c r="OV105" s="1251"/>
      <c r="OW105" s="1251"/>
      <c r="OX105" s="1251"/>
      <c r="OY105" s="1251"/>
      <c r="OZ105" s="1251"/>
      <c r="PA105" s="1251"/>
      <c r="PB105" s="1251"/>
      <c r="PC105" s="1251"/>
      <c r="PD105" s="1251"/>
      <c r="PE105" s="1251"/>
      <c r="PF105" s="1251"/>
      <c r="PG105" s="1251"/>
      <c r="PH105" s="1251"/>
      <c r="PI105" s="1251"/>
      <c r="PJ105" s="1251"/>
      <c r="PK105" s="1251"/>
      <c r="PL105" s="1251"/>
      <c r="PM105" s="1251"/>
      <c r="PN105" s="1251"/>
      <c r="PO105" s="1251"/>
      <c r="PP105" s="1251"/>
      <c r="PQ105" s="1251"/>
      <c r="PR105" s="1251"/>
      <c r="PS105" s="1251"/>
      <c r="PT105" s="1251"/>
      <c r="PU105" s="1251"/>
      <c r="PV105" s="1251"/>
      <c r="PW105" s="1251"/>
      <c r="PX105" s="1251"/>
      <c r="PY105" s="1251"/>
      <c r="PZ105" s="1251"/>
      <c r="QA105" s="1251"/>
      <c r="QB105" s="1251"/>
      <c r="QC105" s="1251"/>
      <c r="QD105" s="1251"/>
      <c r="QE105" s="1251"/>
      <c r="QF105" s="1251"/>
      <c r="QG105" s="1251"/>
      <c r="QH105" s="1251"/>
      <c r="QI105" s="1251"/>
      <c r="QJ105" s="1251"/>
      <c r="QK105" s="1251"/>
      <c r="QL105" s="1251"/>
      <c r="QM105" s="1251"/>
      <c r="QN105" s="1251"/>
      <c r="QO105" s="1251"/>
      <c r="QP105" s="1251"/>
      <c r="QQ105" s="1251"/>
      <c r="QR105" s="1251"/>
      <c r="QS105" s="1251"/>
      <c r="QT105" s="1251"/>
      <c r="QU105" s="1251"/>
      <c r="QV105" s="1251"/>
      <c r="QW105" s="1251"/>
      <c r="QX105" s="1251"/>
      <c r="QY105" s="1251"/>
      <c r="QZ105" s="1251"/>
      <c r="RA105" s="1251"/>
      <c r="RB105" s="1251"/>
      <c r="RC105" s="1251"/>
      <c r="RD105" s="1251"/>
      <c r="RE105" s="1251"/>
      <c r="RF105" s="1251"/>
      <c r="RG105" s="1251"/>
      <c r="RH105" s="1251"/>
      <c r="RI105" s="1251"/>
      <c r="RJ105" s="1251"/>
      <c r="RK105" s="1251"/>
      <c r="RL105" s="1251"/>
      <c r="RM105" s="1251"/>
      <c r="RN105" s="1251"/>
      <c r="RO105" s="1251"/>
      <c r="RP105" s="1251"/>
      <c r="RQ105" s="1251"/>
      <c r="RR105" s="1251"/>
      <c r="RS105" s="1251"/>
      <c r="RT105" s="1251"/>
      <c r="RU105" s="1251"/>
      <c r="RV105" s="1251"/>
      <c r="RW105" s="1251"/>
      <c r="RX105" s="1251"/>
      <c r="RY105" s="1251"/>
      <c r="RZ105" s="1251"/>
      <c r="SA105" s="1251"/>
      <c r="SB105" s="1251"/>
      <c r="SC105" s="1251"/>
      <c r="SD105" s="1251"/>
      <c r="SE105" s="1251"/>
      <c r="SF105" s="1251"/>
      <c r="SG105" s="1251"/>
      <c r="SH105" s="1251"/>
      <c r="SI105" s="1251"/>
      <c r="SJ105" s="1251"/>
      <c r="SK105" s="1251"/>
      <c r="SL105" s="1251"/>
      <c r="SM105" s="1251"/>
      <c r="SN105" s="1251"/>
      <c r="SO105" s="1251"/>
      <c r="SP105" s="1251"/>
      <c r="SQ105" s="1251"/>
      <c r="SR105" s="1251"/>
      <c r="SS105" s="1251"/>
      <c r="ST105" s="1251"/>
      <c r="SU105" s="1251"/>
      <c r="SV105" s="1251"/>
      <c r="SW105" s="1251"/>
      <c r="SX105" s="1251"/>
      <c r="SY105" s="1251"/>
      <c r="SZ105" s="1251"/>
      <c r="TA105" s="1251"/>
      <c r="TB105" s="1251"/>
      <c r="TC105" s="1251"/>
      <c r="TD105" s="1251"/>
      <c r="TE105" s="1251"/>
      <c r="TF105" s="1251"/>
      <c r="TG105" s="1251"/>
      <c r="TH105" s="1251"/>
      <c r="TI105" s="1251"/>
      <c r="TJ105" s="1251"/>
      <c r="TK105" s="1251"/>
      <c r="TL105" s="1251"/>
      <c r="TM105" s="1251"/>
      <c r="TN105" s="1251"/>
      <c r="TO105" s="1251"/>
      <c r="TP105" s="1251"/>
      <c r="TQ105" s="1251"/>
      <c r="TR105" s="1251"/>
      <c r="TS105" s="1251"/>
      <c r="TT105" s="1251"/>
      <c r="TU105" s="1251"/>
      <c r="TV105" s="1251"/>
      <c r="TW105" s="1251"/>
      <c r="TX105" s="1251"/>
      <c r="TY105" s="1251"/>
      <c r="TZ105" s="1251"/>
      <c r="UA105" s="1251"/>
      <c r="UB105" s="1251"/>
      <c r="UC105" s="1251"/>
      <c r="UD105" s="1251"/>
      <c r="UE105" s="1251"/>
      <c r="UF105" s="1251"/>
      <c r="UG105" s="1251"/>
      <c r="UH105" s="1251"/>
      <c r="UI105" s="1251"/>
      <c r="UJ105" s="1251"/>
      <c r="UK105" s="1251"/>
      <c r="UL105" s="1251"/>
      <c r="UM105" s="1251"/>
      <c r="UN105" s="1251"/>
      <c r="UO105" s="1251"/>
      <c r="UP105" s="1251"/>
      <c r="UQ105" s="1251"/>
      <c r="UR105" s="1251"/>
      <c r="US105" s="1251"/>
      <c r="UT105" s="1251"/>
      <c r="UU105" s="1251"/>
      <c r="UV105" s="1251"/>
      <c r="UW105" s="1251"/>
      <c r="UX105" s="1251"/>
      <c r="UY105" s="1251"/>
      <c r="UZ105" s="1251"/>
      <c r="VA105" s="1251"/>
      <c r="VB105" s="1251"/>
      <c r="VC105" s="1251"/>
      <c r="VD105" s="1251"/>
      <c r="VE105" s="1251"/>
      <c r="VF105" s="1251"/>
      <c r="VG105" s="1251"/>
      <c r="VH105" s="1251"/>
      <c r="VI105" s="1251"/>
      <c r="VJ105" s="1251"/>
      <c r="VK105" s="1251"/>
      <c r="VL105" s="1251"/>
      <c r="VM105" s="1251"/>
      <c r="VN105" s="1251"/>
      <c r="VO105" s="1251"/>
      <c r="VP105" s="1251"/>
      <c r="VQ105" s="1251"/>
      <c r="VR105" s="1251"/>
      <c r="VS105" s="1251"/>
      <c r="VT105" s="1251"/>
      <c r="VU105" s="1251"/>
      <c r="VV105" s="1251"/>
      <c r="VW105" s="1251"/>
      <c r="VX105" s="1251"/>
      <c r="VY105" s="1251"/>
      <c r="VZ105" s="1251"/>
      <c r="WA105" s="1251"/>
      <c r="WB105" s="1251"/>
      <c r="WC105" s="1251"/>
      <c r="WD105" s="1251"/>
      <c r="WE105" s="1251"/>
      <c r="WF105" s="1251"/>
      <c r="WG105" s="1251"/>
      <c r="WH105" s="1251"/>
      <c r="WI105" s="1251"/>
      <c r="WJ105" s="1251"/>
      <c r="WK105" s="1251"/>
      <c r="WL105" s="1251"/>
      <c r="WM105" s="1251"/>
      <c r="WN105" s="1251"/>
      <c r="WO105" s="1251"/>
      <c r="WP105" s="1251"/>
      <c r="WQ105" s="1251"/>
      <c r="WR105" s="1251"/>
      <c r="WS105" s="1251"/>
      <c r="WT105" s="1251"/>
      <c r="WU105" s="1251"/>
      <c r="WV105" s="1251"/>
      <c r="WW105" s="1251"/>
      <c r="WX105" s="1251"/>
      <c r="WY105" s="1251"/>
      <c r="WZ105" s="1251"/>
      <c r="XA105" s="1251"/>
      <c r="XB105" s="1251"/>
      <c r="XC105" s="1251"/>
      <c r="XD105" s="1251"/>
      <c r="XE105" s="1251"/>
      <c r="XF105" s="1251"/>
      <c r="XG105" s="1251"/>
      <c r="XH105" s="1251"/>
      <c r="XI105" s="1251"/>
      <c r="XJ105" s="1251"/>
      <c r="XK105" s="1251"/>
      <c r="XL105" s="1251"/>
      <c r="XM105" s="1251"/>
      <c r="XN105" s="1251"/>
      <c r="XO105" s="1251"/>
      <c r="XP105" s="1251"/>
      <c r="XQ105" s="1251"/>
      <c r="XR105" s="1251"/>
      <c r="XS105" s="1251"/>
      <c r="XT105" s="1251"/>
      <c r="XU105" s="1251"/>
      <c r="XV105" s="1251"/>
      <c r="XW105" s="1251"/>
      <c r="XX105" s="1251"/>
      <c r="XY105" s="1251"/>
      <c r="XZ105" s="1251"/>
      <c r="YA105" s="1251"/>
      <c r="YB105" s="1251"/>
      <c r="YC105" s="1251"/>
      <c r="YD105" s="1251"/>
      <c r="YE105" s="1251"/>
      <c r="YF105" s="1251"/>
      <c r="YG105" s="1251"/>
      <c r="YH105" s="1251"/>
      <c r="YI105" s="1251"/>
      <c r="YJ105" s="1251"/>
      <c r="YK105" s="1251"/>
      <c r="YL105" s="1251"/>
      <c r="YM105" s="1251"/>
      <c r="YN105" s="1251"/>
      <c r="YO105" s="1251"/>
      <c r="YP105" s="1251"/>
      <c r="YQ105" s="1251"/>
      <c r="YR105" s="1251"/>
      <c r="YS105" s="1251"/>
      <c r="YT105" s="1251"/>
      <c r="YU105" s="1251"/>
      <c r="YV105" s="1251"/>
      <c r="YW105" s="1251"/>
      <c r="YX105" s="1251"/>
      <c r="YY105" s="1251"/>
      <c r="YZ105" s="1251"/>
      <c r="ZA105" s="1251"/>
      <c r="ZB105" s="1251"/>
      <c r="ZC105" s="1251"/>
      <c r="ZD105" s="1251"/>
      <c r="ZE105" s="1251"/>
      <c r="ZF105" s="1251"/>
      <c r="ZG105" s="1251"/>
      <c r="ZH105" s="1251"/>
      <c r="ZI105" s="1251"/>
      <c r="ZJ105" s="1251"/>
      <c r="ZK105" s="1251"/>
      <c r="ZL105" s="1251"/>
      <c r="ZM105" s="1251"/>
      <c r="ZN105" s="1251"/>
      <c r="ZO105" s="1251"/>
      <c r="ZP105" s="1251"/>
      <c r="ZQ105" s="1251"/>
      <c r="ZR105" s="1251"/>
      <c r="ZS105" s="1251"/>
      <c r="ZT105" s="1251"/>
      <c r="ZU105" s="1251"/>
      <c r="ZV105" s="1251"/>
      <c r="ZW105" s="1251"/>
      <c r="ZX105" s="1251"/>
      <c r="ZY105" s="1251"/>
      <c r="ZZ105" s="1251"/>
      <c r="AAA105" s="1251"/>
      <c r="AAB105" s="1251"/>
      <c r="AAC105" s="1251"/>
      <c r="AAD105" s="1251"/>
      <c r="AAE105" s="1251"/>
      <c r="AAF105" s="1251"/>
      <c r="AAG105" s="1251"/>
      <c r="AAH105" s="1251"/>
      <c r="AAI105" s="1251"/>
      <c r="AAJ105" s="1251"/>
      <c r="AAK105" s="1251"/>
      <c r="AAL105" s="1251"/>
      <c r="AAM105" s="1251"/>
      <c r="AAN105" s="1251"/>
      <c r="AAO105" s="1251"/>
      <c r="AAP105" s="1251"/>
      <c r="AAQ105" s="1251"/>
      <c r="AAR105" s="1251"/>
      <c r="AAS105" s="1251"/>
      <c r="AAT105" s="1251"/>
      <c r="AAU105" s="1251"/>
      <c r="AAV105" s="1251"/>
      <c r="AAW105" s="1251"/>
      <c r="AAX105" s="1251"/>
      <c r="AAY105" s="1251"/>
      <c r="AAZ105" s="1251"/>
      <c r="ABA105" s="1251"/>
      <c r="ABB105" s="1251"/>
      <c r="ABC105" s="1251"/>
      <c r="ABD105" s="1251"/>
      <c r="ABE105" s="1251"/>
      <c r="ABF105" s="1251"/>
      <c r="ABG105" s="1251"/>
      <c r="ABH105" s="1251"/>
      <c r="ABI105" s="1251"/>
      <c r="ABJ105" s="1251"/>
      <c r="ABK105" s="1251"/>
      <c r="ABL105" s="1251"/>
      <c r="ABM105" s="1251"/>
      <c r="ABN105" s="1251"/>
      <c r="ABO105" s="1251"/>
      <c r="ABP105" s="1251"/>
      <c r="ABQ105" s="1251"/>
      <c r="ABR105" s="1251"/>
      <c r="ABS105" s="1251"/>
      <c r="ABT105" s="1251"/>
      <c r="ABU105" s="1251"/>
      <c r="ABV105" s="1251"/>
      <c r="ABW105" s="1251"/>
      <c r="ABX105" s="1251"/>
      <c r="ABY105" s="1251"/>
      <c r="ABZ105" s="1251"/>
      <c r="ACA105" s="1251"/>
      <c r="ACB105" s="1251"/>
      <c r="ACC105" s="1251"/>
      <c r="ACD105" s="1251"/>
      <c r="ACE105" s="1251"/>
      <c r="ACF105" s="1251"/>
      <c r="ACG105" s="1251"/>
      <c r="ACH105" s="1251"/>
      <c r="ACI105" s="1251"/>
      <c r="ACJ105" s="1251"/>
      <c r="ACK105" s="1251"/>
      <c r="ACL105" s="1251"/>
      <c r="ACM105" s="1251"/>
      <c r="ACN105" s="1251"/>
      <c r="ACO105" s="1251"/>
      <c r="ACP105" s="1251"/>
      <c r="ACQ105" s="1251"/>
      <c r="ACR105" s="1251"/>
      <c r="ACS105" s="1251"/>
      <c r="ACT105" s="1251"/>
      <c r="ACU105" s="1251"/>
      <c r="ACV105" s="1251"/>
      <c r="ACW105" s="1251"/>
      <c r="ACX105" s="1251"/>
      <c r="ACY105" s="1251"/>
      <c r="ACZ105" s="1251"/>
      <c r="ADA105" s="1251"/>
      <c r="ADB105" s="1251"/>
      <c r="ADC105" s="1251"/>
      <c r="ADD105" s="1251"/>
      <c r="ADE105" s="1251"/>
      <c r="ADF105" s="1251"/>
      <c r="ADG105" s="1251"/>
      <c r="ADH105" s="1251"/>
      <c r="ADI105" s="1251"/>
      <c r="ADJ105" s="1251"/>
      <c r="ADK105" s="1251"/>
      <c r="ADL105" s="1251"/>
      <c r="ADM105" s="1251"/>
      <c r="ADN105" s="1251"/>
      <c r="ADO105" s="1251"/>
      <c r="ADP105" s="1251"/>
      <c r="ADQ105" s="1251"/>
      <c r="ADR105" s="1251"/>
      <c r="ADS105" s="1251"/>
      <c r="ADT105" s="1251"/>
      <c r="ADU105" s="1251"/>
      <c r="ADV105" s="1251"/>
      <c r="ADW105" s="1251"/>
      <c r="ADX105" s="1251"/>
      <c r="ADY105" s="1251"/>
      <c r="ADZ105" s="1251"/>
      <c r="AEA105" s="1251"/>
      <c r="AEB105" s="1251"/>
      <c r="AEC105" s="1251"/>
      <c r="AED105" s="1251"/>
      <c r="AEE105" s="1251"/>
      <c r="AEF105" s="1251"/>
      <c r="AEG105" s="1251"/>
      <c r="AEH105" s="1251"/>
      <c r="AEI105" s="1251"/>
      <c r="AEJ105" s="1251"/>
      <c r="AEK105" s="1251"/>
      <c r="AEL105" s="1251"/>
      <c r="AEM105" s="1251"/>
      <c r="AEN105" s="1251"/>
      <c r="AEO105" s="1251"/>
      <c r="AEP105" s="1251"/>
      <c r="AEQ105" s="1251"/>
      <c r="AER105" s="1251"/>
      <c r="AES105" s="1251"/>
      <c r="AET105" s="1251"/>
      <c r="AEU105" s="1251"/>
      <c r="AEV105" s="1251"/>
      <c r="AEW105" s="1251"/>
      <c r="AEX105" s="1251"/>
      <c r="AEY105" s="1251"/>
      <c r="AEZ105" s="1251"/>
      <c r="AFA105" s="1251"/>
      <c r="AFB105" s="1251"/>
      <c r="AFC105" s="1251"/>
      <c r="AFD105" s="1251"/>
      <c r="AFE105" s="1251"/>
      <c r="AFF105" s="1251"/>
      <c r="AFG105" s="1251"/>
      <c r="AFH105" s="1251"/>
      <c r="AFI105" s="1251"/>
      <c r="AFJ105" s="1251"/>
      <c r="AFK105" s="1251"/>
      <c r="AFL105" s="1251"/>
      <c r="AFM105" s="1251"/>
      <c r="AFN105" s="1251"/>
      <c r="AFO105" s="1251"/>
      <c r="AFP105" s="1251"/>
      <c r="AFQ105" s="1251"/>
      <c r="AFR105" s="1251"/>
      <c r="AFS105" s="1251"/>
      <c r="AFT105" s="1251"/>
      <c r="AFU105" s="1251"/>
      <c r="AFV105" s="1251"/>
      <c r="AFW105" s="1251"/>
      <c r="AFX105" s="1251"/>
      <c r="AFY105" s="1251"/>
      <c r="AFZ105" s="1251"/>
      <c r="AGA105" s="1251"/>
      <c r="AGB105" s="1251"/>
      <c r="AGC105" s="1251"/>
      <c r="AGD105" s="1251"/>
      <c r="AGE105" s="1251"/>
      <c r="AGF105" s="1251"/>
      <c r="AGG105" s="1251"/>
      <c r="AGH105" s="1251"/>
      <c r="AGI105" s="1251"/>
      <c r="AGJ105" s="1251"/>
      <c r="AGK105" s="1251"/>
      <c r="AGL105" s="1251"/>
      <c r="AGM105" s="1251"/>
      <c r="AGN105" s="1251"/>
      <c r="AGO105" s="1251"/>
      <c r="AGP105" s="1251"/>
      <c r="AGQ105" s="1251"/>
      <c r="AGR105" s="1251"/>
      <c r="AGS105" s="1251"/>
      <c r="AGT105" s="1251"/>
      <c r="AGU105" s="1251"/>
      <c r="AGV105" s="1251"/>
      <c r="AGW105" s="1251"/>
      <c r="AGX105" s="1251"/>
      <c r="AGY105" s="1251"/>
      <c r="AGZ105" s="1251"/>
      <c r="AHA105" s="1251"/>
      <c r="AHB105" s="1251"/>
      <c r="AHC105" s="1251"/>
      <c r="AHD105" s="1251"/>
      <c r="AHE105" s="1251"/>
      <c r="AHF105" s="1251"/>
      <c r="AHG105" s="1251"/>
      <c r="AHH105" s="1251"/>
      <c r="AHI105" s="1251"/>
      <c r="AHJ105" s="1251"/>
      <c r="AHK105" s="1251"/>
      <c r="AHL105" s="1251"/>
      <c r="AHM105" s="1251"/>
      <c r="AHN105" s="1251"/>
      <c r="AHO105" s="1251"/>
      <c r="AHP105" s="1251"/>
      <c r="AHQ105" s="1251"/>
      <c r="AHR105" s="1251"/>
      <c r="AHS105" s="1251"/>
      <c r="AHT105" s="1251"/>
      <c r="AHU105" s="1251"/>
      <c r="AHV105" s="1251"/>
      <c r="AHW105" s="1251"/>
      <c r="AHX105" s="1251"/>
      <c r="AHY105" s="1251"/>
      <c r="AHZ105" s="1251"/>
      <c r="AIA105" s="1251"/>
      <c r="AIB105" s="1251"/>
      <c r="AIC105" s="1251"/>
      <c r="AID105" s="1251"/>
      <c r="AIE105" s="1251"/>
      <c r="AIF105" s="1251"/>
      <c r="AIG105" s="1251"/>
      <c r="AIH105" s="1251"/>
      <c r="AII105" s="1251"/>
      <c r="AIJ105" s="1251"/>
      <c r="AIK105" s="1251"/>
      <c r="AIL105" s="1251"/>
      <c r="AIM105" s="1251"/>
      <c r="AIN105" s="1251"/>
      <c r="AIO105" s="1251"/>
      <c r="AIP105" s="1251"/>
      <c r="AIQ105" s="1251"/>
      <c r="AIR105" s="1251"/>
      <c r="AIS105" s="1251"/>
      <c r="AIT105" s="1251"/>
      <c r="AIU105" s="1251"/>
      <c r="AIV105" s="1251"/>
      <c r="AIW105" s="1251"/>
      <c r="AIX105" s="1251"/>
      <c r="AIY105" s="1251"/>
      <c r="AIZ105" s="1251"/>
      <c r="AJA105" s="1251"/>
      <c r="AJB105" s="1251"/>
      <c r="AJC105" s="1251"/>
      <c r="AJD105" s="1251"/>
      <c r="AJE105" s="1251"/>
      <c r="AJF105" s="1251"/>
      <c r="AJG105" s="1251"/>
      <c r="AJH105" s="1251"/>
      <c r="AJI105" s="1251"/>
      <c r="AJJ105" s="1251"/>
      <c r="AJK105" s="1251"/>
      <c r="AJL105" s="1251"/>
      <c r="AJM105" s="1251"/>
      <c r="AJN105" s="1251"/>
      <c r="AJO105" s="1251"/>
      <c r="AJP105" s="1251"/>
      <c r="AJQ105" s="1251"/>
      <c r="AJR105" s="1251"/>
      <c r="AJS105" s="1251"/>
      <c r="AJT105" s="1251"/>
      <c r="AJU105" s="1251"/>
      <c r="AJV105" s="1251"/>
      <c r="AJW105" s="1251"/>
      <c r="AJX105" s="1251"/>
      <c r="AJY105" s="1251"/>
      <c r="AJZ105" s="1251"/>
      <c r="AKA105" s="1251"/>
      <c r="AKB105" s="1251"/>
      <c r="AKC105" s="1251"/>
      <c r="AKD105" s="1251"/>
      <c r="AKE105" s="1251"/>
      <c r="AKF105" s="1251"/>
      <c r="AKG105" s="1251"/>
      <c r="AKH105" s="1251"/>
      <c r="AKI105" s="1251"/>
      <c r="AKJ105" s="1251"/>
      <c r="AKK105" s="1251"/>
      <c r="AKL105" s="1251"/>
      <c r="AKM105" s="1251"/>
      <c r="AKN105" s="1251"/>
      <c r="AKO105" s="1251"/>
      <c r="AKP105" s="1251"/>
      <c r="AKQ105" s="1251"/>
      <c r="AKR105" s="1251"/>
      <c r="AKS105" s="1251"/>
      <c r="AKT105" s="1251"/>
      <c r="AKU105" s="1251"/>
      <c r="AKV105" s="1251"/>
      <c r="AKW105" s="1251"/>
      <c r="AKX105" s="1251"/>
      <c r="AKY105" s="1251"/>
      <c r="AKZ105" s="1251"/>
      <c r="ALA105" s="1251"/>
      <c r="ALB105" s="1251"/>
      <c r="ALC105" s="1251"/>
      <c r="ALD105" s="1251"/>
      <c r="ALE105" s="1251"/>
      <c r="ALF105" s="1251"/>
      <c r="ALG105" s="1251"/>
      <c r="ALH105" s="1251"/>
      <c r="ALI105" s="1251"/>
      <c r="ALJ105" s="1251"/>
      <c r="ALK105" s="1251"/>
      <c r="ALL105" s="1251"/>
      <c r="ALM105" s="1251"/>
      <c r="ALN105" s="1251"/>
      <c r="ALO105" s="1251"/>
      <c r="ALP105" s="1251"/>
      <c r="ALQ105" s="1251"/>
      <c r="ALR105" s="1251"/>
      <c r="ALS105" s="1251"/>
      <c r="ALT105" s="1251"/>
      <c r="ALU105" s="1251"/>
      <c r="ALV105" s="1251"/>
      <c r="ALW105" s="1251"/>
      <c r="ALX105" s="1251"/>
      <c r="ALY105" s="1251"/>
      <c r="ALZ105" s="1251"/>
      <c r="AMA105" s="1251"/>
      <c r="AMB105" s="1251"/>
      <c r="AMC105" s="1251"/>
      <c r="AMD105" s="1251"/>
      <c r="AME105" s="1251"/>
      <c r="AMF105" s="1251"/>
      <c r="AMG105" s="1251"/>
      <c r="AMH105" s="1251"/>
      <c r="AMI105" s="1251"/>
      <c r="AMJ105" s="1251"/>
      <c r="AMK105" s="1251"/>
      <c r="AML105" s="1251"/>
      <c r="AMM105" s="1251"/>
      <c r="AMN105" s="1251"/>
      <c r="AMO105" s="1251"/>
      <c r="AMP105" s="1251"/>
      <c r="AMQ105" s="1251"/>
      <c r="AMR105" s="1251"/>
      <c r="AMS105" s="1251"/>
      <c r="AMT105" s="1251"/>
      <c r="AMU105" s="1251"/>
      <c r="AMV105" s="1251"/>
      <c r="AMW105" s="1251"/>
      <c r="AMX105" s="1251"/>
      <c r="AMY105" s="1251"/>
      <c r="AMZ105" s="1251"/>
      <c r="ANA105" s="1251"/>
      <c r="ANB105" s="1251"/>
      <c r="ANC105" s="1251"/>
      <c r="AND105" s="1251"/>
      <c r="ANE105" s="1251"/>
      <c r="ANF105" s="1251"/>
      <c r="ANG105" s="1251"/>
      <c r="ANH105" s="1251"/>
      <c r="ANI105" s="1251"/>
      <c r="ANJ105" s="1251"/>
      <c r="ANK105" s="1251"/>
      <c r="ANL105" s="1251"/>
      <c r="ANM105" s="1251"/>
      <c r="ANN105" s="1251"/>
      <c r="ANO105" s="1251"/>
      <c r="ANP105" s="1251"/>
      <c r="ANQ105" s="1251"/>
      <c r="ANR105" s="1251"/>
      <c r="ANS105" s="1251"/>
      <c r="ANT105" s="1251"/>
      <c r="ANU105" s="1251"/>
      <c r="ANV105" s="1251"/>
      <c r="ANW105" s="1251"/>
      <c r="ANX105" s="1251"/>
      <c r="ANY105" s="1251"/>
      <c r="ANZ105" s="1251"/>
      <c r="AOA105" s="1251"/>
      <c r="AOB105" s="1251"/>
      <c r="AOC105" s="1251"/>
      <c r="AOD105" s="1251"/>
      <c r="AOE105" s="1251"/>
      <c r="AOF105" s="1251"/>
      <c r="AOG105" s="1251"/>
      <c r="AOH105" s="1251"/>
      <c r="AOI105" s="1251"/>
      <c r="AOJ105" s="1251"/>
      <c r="AOK105" s="1251"/>
      <c r="AOL105" s="1251"/>
      <c r="AOM105" s="1251"/>
      <c r="AON105" s="1251"/>
      <c r="AOO105" s="1251"/>
      <c r="AOP105" s="1251"/>
      <c r="AOQ105" s="1251"/>
      <c r="AOR105" s="1251"/>
      <c r="AOS105" s="1251"/>
      <c r="AOT105" s="1251"/>
      <c r="AOU105" s="1251"/>
      <c r="AOV105" s="1251"/>
      <c r="AOW105" s="1251"/>
      <c r="AOX105" s="1251"/>
      <c r="AOY105" s="1251"/>
      <c r="AOZ105" s="1251"/>
      <c r="APA105" s="1251"/>
      <c r="APB105" s="1251"/>
      <c r="APC105" s="1251"/>
      <c r="APD105" s="1251"/>
      <c r="APE105" s="1251"/>
      <c r="APF105" s="1251"/>
      <c r="APG105" s="1251"/>
      <c r="APH105" s="1251"/>
      <c r="API105" s="1251"/>
      <c r="APJ105" s="1251"/>
      <c r="APK105" s="1251"/>
      <c r="APL105" s="1251"/>
      <c r="APM105" s="1251"/>
      <c r="APN105" s="1251"/>
      <c r="APO105" s="1251"/>
      <c r="APP105" s="1251"/>
      <c r="APQ105" s="1251"/>
      <c r="APR105" s="1251"/>
      <c r="APS105" s="1251"/>
      <c r="APT105" s="1251"/>
      <c r="APU105" s="1251"/>
      <c r="APV105" s="1251"/>
      <c r="APW105" s="1251"/>
      <c r="APX105" s="1251"/>
      <c r="APY105" s="1251"/>
      <c r="APZ105" s="1251"/>
      <c r="AQA105" s="1251"/>
      <c r="AQB105" s="1251"/>
      <c r="AQC105" s="1251"/>
      <c r="AQD105" s="1251"/>
      <c r="AQE105" s="1251"/>
      <c r="AQF105" s="1251"/>
      <c r="AQG105" s="1251"/>
      <c r="AQH105" s="1251"/>
      <c r="AQI105" s="1251"/>
      <c r="AQJ105" s="1251"/>
      <c r="AQK105" s="1251"/>
      <c r="AQL105" s="1251"/>
      <c r="AQM105" s="1251"/>
      <c r="AQN105" s="1251"/>
      <c r="AQO105" s="1251"/>
      <c r="AQP105" s="1251"/>
      <c r="AQQ105" s="1251"/>
      <c r="AQR105" s="1251"/>
      <c r="AQS105" s="1251"/>
      <c r="AQT105" s="1251"/>
      <c r="AQU105" s="1251"/>
      <c r="AQV105" s="1251"/>
      <c r="AQW105" s="1251"/>
      <c r="AQX105" s="1251"/>
      <c r="AQY105" s="1251"/>
      <c r="AQZ105" s="1251"/>
      <c r="ARA105" s="1251"/>
      <c r="ARB105" s="1251"/>
      <c r="ARC105" s="1251"/>
      <c r="ARD105" s="1251"/>
      <c r="ARE105" s="1251"/>
      <c r="ARF105" s="1251"/>
      <c r="ARG105" s="1251"/>
      <c r="ARH105" s="1251"/>
      <c r="ARI105" s="1251"/>
      <c r="ARJ105" s="1251"/>
      <c r="ARK105" s="1251"/>
      <c r="ARL105" s="1251"/>
      <c r="ARM105" s="1251"/>
      <c r="ARN105" s="1251"/>
      <c r="ARO105" s="1251"/>
      <c r="ARP105" s="1251"/>
      <c r="ARQ105" s="1251"/>
      <c r="ARR105" s="1251"/>
      <c r="ARS105" s="1251"/>
      <c r="ART105" s="1251"/>
      <c r="ARU105" s="1251"/>
      <c r="ARV105" s="1251"/>
      <c r="ARW105" s="1251"/>
      <c r="ARX105" s="1251"/>
      <c r="ARY105" s="1251"/>
      <c r="ARZ105" s="1251"/>
      <c r="ASA105" s="1251"/>
      <c r="ASB105" s="1251"/>
      <c r="ASC105" s="1251"/>
      <c r="ASD105" s="1251"/>
      <c r="ASE105" s="1251"/>
      <c r="ASF105" s="1251"/>
      <c r="ASG105" s="1251"/>
      <c r="ASH105" s="1251"/>
      <c r="ASI105" s="1251"/>
      <c r="ASJ105" s="1251"/>
      <c r="ASK105" s="1251"/>
      <c r="ASL105" s="1251"/>
      <c r="ASM105" s="1251"/>
      <c r="ASN105" s="1251"/>
      <c r="ASO105" s="1251"/>
      <c r="ASP105" s="1251"/>
      <c r="ASQ105" s="1251"/>
      <c r="ASR105" s="1251"/>
      <c r="ASS105" s="1251"/>
      <c r="AST105" s="1251"/>
      <c r="ASU105" s="1251"/>
      <c r="ASV105" s="1251"/>
      <c r="ASW105" s="1251"/>
      <c r="ASX105" s="1251"/>
      <c r="ASY105" s="1251"/>
      <c r="ASZ105" s="1251"/>
      <c r="ATA105" s="1251"/>
      <c r="ATB105" s="1251"/>
      <c r="ATC105" s="1251"/>
      <c r="ATD105" s="1251"/>
      <c r="ATE105" s="1251"/>
      <c r="ATF105" s="1251"/>
      <c r="ATG105" s="1251"/>
      <c r="ATH105" s="1251"/>
      <c r="ATI105" s="1251"/>
      <c r="ATJ105" s="1251"/>
      <c r="ATK105" s="1251"/>
      <c r="ATL105" s="1251"/>
      <c r="ATM105" s="1251"/>
      <c r="ATN105" s="1251"/>
      <c r="ATO105" s="1251"/>
      <c r="ATP105" s="1251"/>
      <c r="ATQ105" s="1251"/>
      <c r="ATR105" s="1251"/>
      <c r="ATS105" s="1251"/>
      <c r="ATT105" s="1251"/>
      <c r="ATU105" s="1251"/>
      <c r="ATV105" s="1251"/>
      <c r="ATW105" s="1251"/>
      <c r="ATX105" s="1251"/>
      <c r="ATY105" s="1251"/>
      <c r="ATZ105" s="1251"/>
      <c r="AUA105" s="1251"/>
      <c r="AUB105" s="1251"/>
      <c r="AUC105" s="1251"/>
      <c r="AUD105" s="1251"/>
      <c r="AUE105" s="1251"/>
      <c r="AUF105" s="1251"/>
      <c r="AUG105" s="1251"/>
      <c r="AUH105" s="1251"/>
      <c r="AUI105" s="1251"/>
      <c r="AUJ105" s="1251"/>
      <c r="AUK105" s="1251"/>
      <c r="AUL105" s="1251"/>
      <c r="AUM105" s="1251"/>
      <c r="AUN105" s="1251"/>
      <c r="AUO105" s="1251"/>
      <c r="AUP105" s="1251"/>
      <c r="AUQ105" s="1251"/>
      <c r="AUR105" s="1251"/>
      <c r="AUS105" s="1251"/>
      <c r="AUT105" s="1251"/>
      <c r="AUU105" s="1251"/>
      <c r="AUV105" s="1251"/>
      <c r="AUW105" s="1251"/>
      <c r="AUX105" s="1251"/>
      <c r="AUY105" s="1251"/>
      <c r="AUZ105" s="1251"/>
      <c r="AVA105" s="1251"/>
      <c r="AVB105" s="1251"/>
      <c r="AVC105" s="1251"/>
      <c r="AVD105" s="1251"/>
      <c r="AVE105" s="1251"/>
      <c r="AVF105" s="1251"/>
      <c r="AVG105" s="1251"/>
      <c r="AVH105" s="1251"/>
      <c r="AVI105" s="1251"/>
      <c r="AVJ105" s="1251"/>
      <c r="AVK105" s="1251"/>
      <c r="AVL105" s="1251"/>
      <c r="AVM105" s="1251"/>
      <c r="AVN105" s="1251"/>
      <c r="AVO105" s="1251"/>
      <c r="AVP105" s="1251"/>
      <c r="AVQ105" s="1251"/>
      <c r="AVR105" s="1251"/>
      <c r="AVS105" s="1251"/>
      <c r="AVT105" s="1251"/>
      <c r="AVU105" s="1251"/>
      <c r="AVV105" s="1251"/>
      <c r="AVW105" s="1251"/>
      <c r="AVX105" s="1251"/>
      <c r="AVY105" s="1251"/>
      <c r="AVZ105" s="1251"/>
      <c r="AWA105" s="1251"/>
      <c r="AWB105" s="1251"/>
      <c r="AWC105" s="1251"/>
      <c r="AWD105" s="1251"/>
      <c r="AWE105" s="1251"/>
      <c r="AWF105" s="1251"/>
      <c r="AWG105" s="1251"/>
      <c r="AWH105" s="1251"/>
      <c r="AWI105" s="1251"/>
      <c r="AWJ105" s="1251"/>
      <c r="AWK105" s="1251"/>
      <c r="AWL105" s="1251"/>
      <c r="AWM105" s="1251"/>
      <c r="AWN105" s="1251"/>
      <c r="AWO105" s="1251"/>
      <c r="AWP105" s="1251"/>
      <c r="AWQ105" s="1251"/>
      <c r="AWR105" s="1251"/>
      <c r="AWS105" s="1251"/>
      <c r="AWT105" s="1251"/>
      <c r="AWU105" s="1251"/>
      <c r="AWV105" s="1251"/>
      <c r="AWW105" s="1251"/>
      <c r="AWX105" s="1251"/>
      <c r="AWY105" s="1251"/>
      <c r="AWZ105" s="1251"/>
      <c r="AXA105" s="1251"/>
      <c r="AXB105" s="1251"/>
      <c r="AXC105" s="1251"/>
      <c r="AXD105" s="1251"/>
      <c r="AXE105" s="1251"/>
      <c r="AXF105" s="1251"/>
      <c r="AXG105" s="1251"/>
      <c r="AXH105" s="1251"/>
      <c r="AXI105" s="1251"/>
      <c r="AXJ105" s="1251"/>
      <c r="AXK105" s="1251"/>
      <c r="AXL105" s="1251"/>
      <c r="AXM105" s="1251"/>
      <c r="AXN105" s="1251"/>
      <c r="AXO105" s="1251"/>
      <c r="AXP105" s="1251"/>
      <c r="AXQ105" s="1251"/>
      <c r="AXR105" s="1251"/>
      <c r="AXS105" s="1251"/>
      <c r="AXT105" s="1251"/>
      <c r="AXU105" s="1251"/>
      <c r="AXV105" s="1251"/>
      <c r="AXW105" s="1251"/>
      <c r="AXX105" s="1251"/>
      <c r="AXY105" s="1251"/>
      <c r="AXZ105" s="1251"/>
      <c r="AYA105" s="1251"/>
      <c r="AYB105" s="1251"/>
      <c r="AYC105" s="1251"/>
      <c r="AYD105" s="1251"/>
      <c r="AYE105" s="1251"/>
      <c r="AYF105" s="1251"/>
      <c r="AYG105" s="1251"/>
      <c r="AYH105" s="1251"/>
      <c r="AYI105" s="1251"/>
      <c r="AYJ105" s="1251"/>
      <c r="AYK105" s="1251"/>
      <c r="AYL105" s="1251"/>
      <c r="AYM105" s="1251"/>
      <c r="AYN105" s="1251"/>
      <c r="AYO105" s="1251"/>
      <c r="AYP105" s="1251"/>
      <c r="AYQ105" s="1251"/>
      <c r="AYR105" s="1251"/>
      <c r="AYS105" s="1251"/>
      <c r="AYT105" s="1251"/>
      <c r="AYU105" s="1251"/>
      <c r="AYV105" s="1251"/>
      <c r="AYW105" s="1251"/>
      <c r="AYX105" s="1251"/>
      <c r="AYY105" s="1251"/>
      <c r="AYZ105" s="1251"/>
      <c r="AZA105" s="1251"/>
      <c r="AZB105" s="1251"/>
      <c r="AZC105" s="1251"/>
      <c r="AZD105" s="1251"/>
      <c r="AZE105" s="1251"/>
      <c r="AZF105" s="1251"/>
      <c r="AZG105" s="1251"/>
      <c r="AZH105" s="1251"/>
      <c r="AZI105" s="1251"/>
      <c r="AZJ105" s="1251"/>
      <c r="AZK105" s="1251"/>
      <c r="AZL105" s="1251"/>
      <c r="AZM105" s="1251"/>
      <c r="AZN105" s="1251"/>
      <c r="AZO105" s="1251"/>
      <c r="AZP105" s="1251"/>
      <c r="AZQ105" s="1251"/>
      <c r="AZR105" s="1251"/>
      <c r="AZS105" s="1251"/>
      <c r="AZT105" s="1251"/>
      <c r="AZU105" s="1251"/>
      <c r="AZV105" s="1251"/>
      <c r="AZW105" s="1251"/>
      <c r="AZX105" s="1251"/>
      <c r="AZY105" s="1251"/>
      <c r="AZZ105" s="1251"/>
      <c r="BAA105" s="1251"/>
      <c r="BAB105" s="1251"/>
      <c r="BAC105" s="1251"/>
      <c r="BAD105" s="1251"/>
      <c r="BAE105" s="1251"/>
      <c r="BAF105" s="1251"/>
      <c r="BAG105" s="1251"/>
      <c r="BAH105" s="1251"/>
      <c r="BAI105" s="1251"/>
      <c r="BAJ105" s="1251"/>
      <c r="BAK105" s="1251"/>
      <c r="BAL105" s="1251"/>
      <c r="BAM105" s="1251"/>
      <c r="BAN105" s="1251"/>
      <c r="BAO105" s="1251"/>
      <c r="BAP105" s="1251"/>
      <c r="BAQ105" s="1251"/>
      <c r="BAR105" s="1251"/>
      <c r="BAS105" s="1251"/>
      <c r="BAT105" s="1251"/>
      <c r="BAU105" s="1251"/>
      <c r="BAV105" s="1251"/>
      <c r="BAW105" s="1251"/>
      <c r="BAX105" s="1251"/>
      <c r="BAY105" s="1251"/>
      <c r="BAZ105" s="1251"/>
      <c r="BBA105" s="1251"/>
      <c r="BBB105" s="1251"/>
      <c r="BBC105" s="1251"/>
      <c r="BBD105" s="1251"/>
      <c r="BBE105" s="1251"/>
      <c r="BBF105" s="1251"/>
      <c r="BBG105" s="1251"/>
      <c r="BBH105" s="1251"/>
      <c r="BBI105" s="1251"/>
      <c r="BBJ105" s="1251"/>
      <c r="BBK105" s="1251"/>
      <c r="BBL105" s="1251"/>
      <c r="BBM105" s="1251"/>
      <c r="BBN105" s="1251"/>
      <c r="BBO105" s="1251"/>
      <c r="BBP105" s="1251"/>
      <c r="BBQ105" s="1251"/>
      <c r="BBR105" s="1251"/>
      <c r="BBS105" s="1251"/>
      <c r="BBT105" s="1251"/>
      <c r="BBU105" s="1251"/>
      <c r="BBV105" s="1251"/>
      <c r="BBW105" s="1251"/>
      <c r="BBX105" s="1251"/>
      <c r="BBY105" s="1251"/>
      <c r="BBZ105" s="1251"/>
      <c r="BCA105" s="1251"/>
      <c r="BCB105" s="1251"/>
      <c r="BCC105" s="1251"/>
      <c r="BCD105" s="1251"/>
      <c r="BCE105" s="1251"/>
      <c r="BCF105" s="1251"/>
      <c r="BCG105" s="1251"/>
      <c r="BCH105" s="1251"/>
      <c r="BCI105" s="1251"/>
      <c r="BCJ105" s="1251"/>
      <c r="BCK105" s="1251"/>
      <c r="BCL105" s="1251"/>
      <c r="BCM105" s="1251"/>
      <c r="BCN105" s="1251"/>
      <c r="BCO105" s="1251"/>
      <c r="BCP105" s="1251"/>
      <c r="BCQ105" s="1251"/>
      <c r="BCR105" s="1251"/>
      <c r="BCS105" s="1251"/>
      <c r="BCT105" s="1251"/>
      <c r="BCU105" s="1251"/>
      <c r="BCV105" s="1251"/>
      <c r="BCW105" s="1251"/>
      <c r="BCX105" s="1251"/>
      <c r="BCY105" s="1251"/>
      <c r="BCZ105" s="1251"/>
      <c r="BDA105" s="1251"/>
      <c r="BDB105" s="1251"/>
      <c r="BDC105" s="1251"/>
      <c r="BDD105" s="1251"/>
      <c r="BDE105" s="1251"/>
      <c r="BDF105" s="1251"/>
      <c r="BDG105" s="1251"/>
      <c r="BDH105" s="1251"/>
      <c r="BDI105" s="1251"/>
      <c r="BDJ105" s="1251"/>
      <c r="BDK105" s="1251"/>
      <c r="BDL105" s="1251"/>
      <c r="BDM105" s="1251"/>
      <c r="BDN105" s="1251"/>
      <c r="BDO105" s="1251"/>
      <c r="BDP105" s="1251"/>
      <c r="BDQ105" s="1251"/>
      <c r="BDR105" s="1251"/>
      <c r="BDS105" s="1251"/>
      <c r="BDT105" s="1251"/>
      <c r="BDU105" s="1251"/>
      <c r="BDV105" s="1251"/>
      <c r="BDW105" s="1251"/>
      <c r="BDX105" s="1251"/>
      <c r="BDY105" s="1251"/>
      <c r="BDZ105" s="1251"/>
      <c r="BEA105" s="1251"/>
      <c r="BEB105" s="1251"/>
      <c r="BEC105" s="1251"/>
      <c r="BED105" s="1251"/>
      <c r="BEE105" s="1251"/>
      <c r="BEF105" s="1251"/>
      <c r="BEG105" s="1251"/>
      <c r="BEH105" s="1251"/>
      <c r="BEI105" s="1251"/>
      <c r="BEJ105" s="1251"/>
      <c r="BEK105" s="1251"/>
      <c r="BEL105" s="1251"/>
      <c r="BEM105" s="1251"/>
      <c r="BEN105" s="1251"/>
      <c r="BEO105" s="1251"/>
      <c r="BEP105" s="1251"/>
      <c r="BEQ105" s="1251"/>
      <c r="BER105" s="1251"/>
      <c r="BES105" s="1251"/>
      <c r="BET105" s="1251"/>
      <c r="BEU105" s="1251"/>
      <c r="BEV105" s="1251"/>
      <c r="BEW105" s="1251"/>
      <c r="BEX105" s="1251"/>
      <c r="BEY105" s="1251"/>
      <c r="BEZ105" s="1251"/>
      <c r="BFA105" s="1251"/>
      <c r="BFB105" s="1251"/>
      <c r="BFC105" s="1251"/>
      <c r="BFD105" s="1251"/>
      <c r="BFE105" s="1251"/>
      <c r="BFF105" s="1251"/>
      <c r="BFG105" s="1251"/>
      <c r="BFH105" s="1251"/>
      <c r="BFI105" s="1251"/>
      <c r="BFJ105" s="1251"/>
      <c r="BFK105" s="1251"/>
      <c r="BFL105" s="1251"/>
      <c r="BFM105" s="1251"/>
      <c r="BFN105" s="1251"/>
      <c r="BFO105" s="1251"/>
      <c r="BFP105" s="1251"/>
      <c r="BFQ105" s="1251"/>
      <c r="BFR105" s="1251"/>
      <c r="BFS105" s="1251"/>
      <c r="BFT105" s="1251"/>
      <c r="BFU105" s="1251"/>
      <c r="BFV105" s="1251"/>
      <c r="BFW105" s="1251"/>
      <c r="BFX105" s="1251"/>
      <c r="BFY105" s="1251"/>
      <c r="BFZ105" s="1251"/>
      <c r="BGA105" s="1251"/>
      <c r="BGB105" s="1251"/>
      <c r="BGC105" s="1251"/>
      <c r="BGD105" s="1251"/>
      <c r="BGE105" s="1251"/>
      <c r="BGF105" s="1251"/>
      <c r="BGG105" s="1251"/>
      <c r="BGH105" s="1251"/>
      <c r="BGI105" s="1251"/>
      <c r="BGJ105" s="1251"/>
      <c r="BGK105" s="1251"/>
      <c r="BGL105" s="1251"/>
      <c r="BGM105" s="1251"/>
      <c r="BGN105" s="1251"/>
      <c r="BGO105" s="1251"/>
      <c r="BGP105" s="1251"/>
      <c r="BGQ105" s="1251"/>
      <c r="BGR105" s="1251"/>
      <c r="BGS105" s="1251"/>
      <c r="BGT105" s="1251"/>
      <c r="BGU105" s="1251"/>
      <c r="BGV105" s="1251"/>
      <c r="BGW105" s="1251"/>
      <c r="BGX105" s="1251"/>
      <c r="BGY105" s="1251"/>
      <c r="BGZ105" s="1251"/>
      <c r="BHA105" s="1251"/>
      <c r="BHB105" s="1251"/>
      <c r="BHC105" s="1251"/>
      <c r="BHD105" s="1251"/>
      <c r="BHE105" s="1251"/>
      <c r="BHF105" s="1251"/>
      <c r="BHG105" s="1251"/>
      <c r="BHH105" s="1251"/>
      <c r="BHI105" s="1251"/>
      <c r="BHJ105" s="1251"/>
      <c r="BHK105" s="1251"/>
      <c r="BHL105" s="1251"/>
      <c r="BHM105" s="1251"/>
      <c r="BHN105" s="1251"/>
      <c r="BHO105" s="1251"/>
      <c r="BHP105" s="1251"/>
      <c r="BHQ105" s="1251"/>
      <c r="BHR105" s="1251"/>
      <c r="BHS105" s="1251"/>
      <c r="BHT105" s="1251"/>
      <c r="BHU105" s="1251"/>
      <c r="BHV105" s="1251"/>
      <c r="BHW105" s="1251"/>
      <c r="BHX105" s="1251"/>
      <c r="BHY105" s="1251"/>
      <c r="BHZ105" s="1251"/>
      <c r="BIA105" s="1251"/>
      <c r="BIB105" s="1251"/>
      <c r="BIC105" s="1251"/>
      <c r="BID105" s="1251"/>
      <c r="BIE105" s="1251"/>
      <c r="BIF105" s="1251"/>
      <c r="BIG105" s="1251"/>
      <c r="BIH105" s="1251"/>
      <c r="BII105" s="1251"/>
      <c r="BIJ105" s="1251"/>
      <c r="BIK105" s="1251"/>
      <c r="BIL105" s="1251"/>
      <c r="BIM105" s="1251"/>
      <c r="BIN105" s="1251"/>
      <c r="BIO105" s="1251"/>
      <c r="BIP105" s="1251"/>
      <c r="BIQ105" s="1251"/>
      <c r="BIR105" s="1251"/>
      <c r="BIS105" s="1251"/>
      <c r="BIT105" s="1251"/>
      <c r="BIU105" s="1251"/>
      <c r="BIV105" s="1251"/>
      <c r="BIW105" s="1251"/>
      <c r="BIX105" s="1251"/>
      <c r="BIY105" s="1251"/>
      <c r="BIZ105" s="1251"/>
      <c r="BJA105" s="1251"/>
      <c r="BJB105" s="1251"/>
      <c r="BJC105" s="1251"/>
      <c r="BJD105" s="1251"/>
      <c r="BJE105" s="1251"/>
      <c r="BJF105" s="1251"/>
      <c r="BJG105" s="1251"/>
      <c r="BJH105" s="1251"/>
      <c r="BJI105" s="1251"/>
      <c r="BJJ105" s="1251"/>
      <c r="BJK105" s="1251"/>
      <c r="BJL105" s="1251"/>
      <c r="BJM105" s="1251"/>
      <c r="BJN105" s="1251"/>
      <c r="BJO105" s="1251"/>
      <c r="BJP105" s="1251"/>
      <c r="BJQ105" s="1251"/>
      <c r="BJR105" s="1251"/>
      <c r="BJS105" s="1251"/>
      <c r="BJT105" s="1251"/>
      <c r="BJU105" s="1251"/>
      <c r="BJV105" s="1251"/>
      <c r="BJW105" s="1251"/>
      <c r="BJX105" s="1251"/>
      <c r="BJY105" s="1251"/>
      <c r="BJZ105" s="1251"/>
      <c r="BKA105" s="1251"/>
      <c r="BKB105" s="1251"/>
      <c r="BKC105" s="1251"/>
      <c r="BKD105" s="1251"/>
      <c r="BKE105" s="1251"/>
      <c r="BKF105" s="1251"/>
      <c r="BKG105" s="1251"/>
      <c r="BKH105" s="1251"/>
      <c r="BKI105" s="1251"/>
      <c r="BKJ105" s="1251"/>
      <c r="BKK105" s="1251"/>
      <c r="BKL105" s="1251"/>
      <c r="BKM105" s="1251"/>
      <c r="BKN105" s="1251"/>
      <c r="BKO105" s="1251"/>
      <c r="BKP105" s="1251"/>
      <c r="BKQ105" s="1251"/>
      <c r="BKR105" s="1251"/>
      <c r="BKS105" s="1251"/>
      <c r="BKT105" s="1251"/>
      <c r="BKU105" s="1251"/>
      <c r="BKV105" s="1251"/>
      <c r="BKW105" s="1251"/>
      <c r="BKX105" s="1251"/>
      <c r="BKY105" s="1251"/>
      <c r="BKZ105" s="1251"/>
      <c r="BLA105" s="1251"/>
      <c r="BLB105" s="1251"/>
      <c r="BLC105" s="1251"/>
      <c r="BLD105" s="1251"/>
      <c r="BLE105" s="1251"/>
      <c r="BLF105" s="1251"/>
      <c r="BLG105" s="1251"/>
      <c r="BLH105" s="1251"/>
      <c r="BLI105" s="1251"/>
      <c r="BLJ105" s="1251"/>
      <c r="BLK105" s="1251"/>
      <c r="BLL105" s="1251"/>
      <c r="BLM105" s="1251"/>
      <c r="BLN105" s="1251"/>
      <c r="BLO105" s="1251"/>
      <c r="BLP105" s="1251"/>
      <c r="BLQ105" s="1251"/>
      <c r="BLR105" s="1251"/>
      <c r="BLS105" s="1251"/>
      <c r="BLT105" s="1251"/>
      <c r="BLU105" s="1251"/>
      <c r="BLV105" s="1251"/>
      <c r="BLW105" s="1251"/>
      <c r="BLX105" s="1251"/>
      <c r="BLY105" s="1251"/>
      <c r="BLZ105" s="1251"/>
      <c r="BMA105" s="1251"/>
      <c r="BMB105" s="1251"/>
      <c r="BMC105" s="1251"/>
      <c r="BMD105" s="1251"/>
      <c r="BME105" s="1251"/>
      <c r="BMF105" s="1251"/>
      <c r="BMG105" s="1251"/>
      <c r="BMH105" s="1251"/>
      <c r="BMI105" s="1251"/>
      <c r="BMJ105" s="1251"/>
      <c r="BMK105" s="1251"/>
      <c r="BML105" s="1251"/>
      <c r="BMM105" s="1251"/>
      <c r="BMN105" s="1251"/>
      <c r="BMO105" s="1251"/>
      <c r="BMP105" s="1251"/>
      <c r="BMQ105" s="1251"/>
      <c r="BMR105" s="1251"/>
      <c r="BMS105" s="1251"/>
      <c r="BMT105" s="1251"/>
      <c r="BMU105" s="1251"/>
      <c r="BMV105" s="1251"/>
      <c r="BMW105" s="1251"/>
      <c r="BMX105" s="1251"/>
      <c r="BMY105" s="1251"/>
      <c r="BMZ105" s="1251"/>
      <c r="BNA105" s="1251"/>
      <c r="BNB105" s="1251"/>
      <c r="BNC105" s="1251"/>
      <c r="BND105" s="1251"/>
      <c r="BNE105" s="1251"/>
      <c r="BNF105" s="1251"/>
      <c r="BNG105" s="1251"/>
      <c r="BNH105" s="1251"/>
      <c r="BNI105" s="1251"/>
      <c r="BNJ105" s="1251"/>
      <c r="BNK105" s="1251"/>
      <c r="BNL105" s="1251"/>
      <c r="BNM105" s="1251"/>
      <c r="BNN105" s="1251"/>
      <c r="BNO105" s="1251"/>
      <c r="BNP105" s="1251"/>
      <c r="BNQ105" s="1251"/>
      <c r="BNR105" s="1251"/>
      <c r="BNS105" s="1251"/>
      <c r="BNT105" s="1251"/>
      <c r="BNU105" s="1251"/>
      <c r="BNV105" s="1251"/>
      <c r="BNW105" s="1251"/>
      <c r="BNX105" s="1251"/>
      <c r="BNY105" s="1251"/>
      <c r="BNZ105" s="1251"/>
      <c r="BOA105" s="1251"/>
      <c r="BOB105" s="1251"/>
      <c r="BOC105" s="1251"/>
      <c r="BOD105" s="1251"/>
      <c r="BOE105" s="1251"/>
      <c r="BOF105" s="1251"/>
      <c r="BOG105" s="1251"/>
      <c r="BOH105" s="1251"/>
      <c r="BOI105" s="1251"/>
      <c r="BOJ105" s="1251"/>
      <c r="BOK105" s="1251"/>
      <c r="BOL105" s="1251"/>
      <c r="BOM105" s="1251"/>
      <c r="BON105" s="1251"/>
      <c r="BOO105" s="1251"/>
      <c r="BOP105" s="1251"/>
      <c r="BOQ105" s="1251"/>
      <c r="BOR105" s="1251"/>
      <c r="BOS105" s="1251"/>
      <c r="BOT105" s="1251"/>
      <c r="BOU105" s="1251"/>
      <c r="BOV105" s="1251"/>
      <c r="BOW105" s="1251"/>
      <c r="BOX105" s="1251"/>
      <c r="BOY105" s="1251"/>
      <c r="BOZ105" s="1251"/>
      <c r="BPA105" s="1251"/>
      <c r="BPB105" s="1251"/>
      <c r="BPC105" s="1251"/>
      <c r="BPD105" s="1251"/>
      <c r="BPE105" s="1251"/>
      <c r="BPF105" s="1251"/>
      <c r="BPG105" s="1251"/>
      <c r="BPH105" s="1251"/>
      <c r="BPI105" s="1251"/>
      <c r="BPJ105" s="1251"/>
      <c r="BPK105" s="1251"/>
      <c r="BPL105" s="1251"/>
      <c r="BPM105" s="1251"/>
      <c r="BPN105" s="1251"/>
      <c r="BPO105" s="1251"/>
      <c r="BPP105" s="1251"/>
      <c r="BPQ105" s="1251"/>
      <c r="BPR105" s="1251"/>
      <c r="BPS105" s="1251"/>
      <c r="BPT105" s="1251"/>
      <c r="BPU105" s="1251"/>
      <c r="BPV105" s="1251"/>
      <c r="BPW105" s="1251"/>
      <c r="BPX105" s="1251"/>
      <c r="BPY105" s="1251"/>
      <c r="BPZ105" s="1251"/>
      <c r="BQA105" s="1251"/>
      <c r="BQB105" s="1251"/>
      <c r="BQC105" s="1251"/>
      <c r="BQD105" s="1251"/>
      <c r="BQE105" s="1251"/>
      <c r="BQF105" s="1251"/>
      <c r="BQG105" s="1251"/>
      <c r="BQH105" s="1251"/>
      <c r="BQI105" s="1251"/>
      <c r="BQJ105" s="1251"/>
      <c r="BQK105" s="1251"/>
      <c r="BQL105" s="1251"/>
      <c r="BQM105" s="1251"/>
      <c r="BQN105" s="1251"/>
      <c r="BQO105" s="1251"/>
      <c r="BQP105" s="1251"/>
      <c r="BQQ105" s="1251"/>
      <c r="BQR105" s="1251"/>
      <c r="BQS105" s="1251"/>
      <c r="BQT105" s="1251"/>
      <c r="BQU105" s="1251"/>
      <c r="BQV105" s="1251"/>
      <c r="BQW105" s="1251"/>
      <c r="BQX105" s="1251"/>
      <c r="BQY105" s="1251"/>
      <c r="BQZ105" s="1251"/>
      <c r="BRA105" s="1251"/>
      <c r="BRB105" s="1251"/>
      <c r="BRC105" s="1251"/>
      <c r="BRD105" s="1251"/>
      <c r="BRE105" s="1251"/>
      <c r="BRF105" s="1251"/>
      <c r="BRG105" s="1251"/>
      <c r="BRH105" s="1251"/>
      <c r="BRI105" s="1251"/>
      <c r="BRJ105" s="1251"/>
      <c r="BRK105" s="1251"/>
      <c r="BRL105" s="1251"/>
      <c r="BRM105" s="1251"/>
      <c r="BRN105" s="1251"/>
      <c r="BRO105" s="1251"/>
      <c r="BRP105" s="1251"/>
      <c r="BRQ105" s="1251"/>
      <c r="BRR105" s="1251"/>
      <c r="BRS105" s="1251"/>
      <c r="BRT105" s="1251"/>
      <c r="BRU105" s="1251"/>
      <c r="BRV105" s="1251"/>
      <c r="BRW105" s="1251"/>
      <c r="BRX105" s="1251"/>
      <c r="BRY105" s="1251"/>
      <c r="BRZ105" s="1251"/>
      <c r="BSA105" s="1251"/>
      <c r="BSB105" s="1251"/>
      <c r="BSC105" s="1251"/>
      <c r="BSD105" s="1251"/>
      <c r="BSE105" s="1251"/>
      <c r="BSF105" s="1251"/>
      <c r="BSG105" s="1251"/>
      <c r="BSH105" s="1251"/>
      <c r="BSI105" s="1251"/>
      <c r="BSJ105" s="1251"/>
      <c r="BSK105" s="1251"/>
      <c r="BSL105" s="1251"/>
      <c r="BSM105" s="1251"/>
      <c r="BSN105" s="1251"/>
      <c r="BSO105" s="1251"/>
      <c r="BSP105" s="1251"/>
      <c r="BSQ105" s="1251"/>
      <c r="BSR105" s="1251"/>
      <c r="BSS105" s="1251"/>
      <c r="BST105" s="1251"/>
      <c r="BSU105" s="1251"/>
      <c r="BSV105" s="1251"/>
      <c r="BSW105" s="1251"/>
      <c r="BSX105" s="1251"/>
      <c r="BSY105" s="1251"/>
      <c r="BSZ105" s="1251"/>
      <c r="BTA105" s="1251"/>
      <c r="BTB105" s="1251"/>
      <c r="BTC105" s="1251"/>
      <c r="BTD105" s="1251"/>
      <c r="BTE105" s="1251"/>
      <c r="BTF105" s="1251"/>
      <c r="BTG105" s="1251"/>
      <c r="BTH105" s="1251"/>
      <c r="BTI105" s="1251"/>
    </row>
    <row r="106" spans="1:1881" s="1261" customFormat="1" ht="191.25" hidden="1" customHeight="1" thickBot="1" x14ac:dyDescent="0.35">
      <c r="A106" s="1274">
        <v>14</v>
      </c>
      <c r="B106" s="1272" t="s">
        <v>567</v>
      </c>
      <c r="C106" s="1275" t="s">
        <v>1263</v>
      </c>
      <c r="D106" s="1275" t="s">
        <v>1265</v>
      </c>
      <c r="E106" s="1249" t="e">
        <f>HLOOKUP($D$2,'2020 Data(H)'!$C$1:$CZ$426,11,FALSE)</f>
        <v>#N/A</v>
      </c>
      <c r="F106" s="1263">
        <v>0</v>
      </c>
      <c r="G106" s="727"/>
      <c r="H106" s="17"/>
      <c r="I106" s="760"/>
      <c r="J106" s="1252"/>
      <c r="K106" s="1251"/>
      <c r="L106" s="701"/>
      <c r="M106" s="1251"/>
      <c r="N106" s="1253"/>
      <c r="O106" s="1251"/>
      <c r="P106" s="1251"/>
      <c r="Q106" s="1251"/>
      <c r="R106" s="1251"/>
      <c r="S106" s="1251"/>
      <c r="T106" s="1251"/>
      <c r="U106" s="1251"/>
      <c r="V106" s="1251"/>
      <c r="W106" s="1251"/>
      <c r="X106" s="1251"/>
      <c r="Y106" s="1251"/>
      <c r="Z106" s="1274"/>
      <c r="AA106" s="1274"/>
      <c r="AB106" s="1274"/>
      <c r="AC106" s="1274"/>
      <c r="AD106" s="1274"/>
      <c r="AE106" s="1274"/>
      <c r="AF106" s="1274"/>
      <c r="AG106" s="1274"/>
      <c r="AH106" s="1274"/>
      <c r="AI106" s="1274"/>
      <c r="AJ106" s="1274"/>
      <c r="AK106" s="1274"/>
      <c r="AL106" s="1274"/>
      <c r="AM106" s="1274"/>
      <c r="AN106" s="1274"/>
      <c r="AO106" s="1274"/>
      <c r="AP106" s="1274"/>
      <c r="AQ106" s="1274"/>
      <c r="AR106" s="1274"/>
      <c r="AS106" s="1251"/>
      <c r="AT106" s="1251"/>
      <c r="AU106" s="1251"/>
      <c r="AV106" s="1251"/>
      <c r="AW106" s="1251"/>
      <c r="AX106" s="1251"/>
      <c r="AY106" s="1251"/>
      <c r="AZ106" s="1251"/>
      <c r="BA106" s="1251"/>
      <c r="BB106" s="1251"/>
      <c r="BC106" s="1251"/>
      <c r="BD106" s="1251"/>
      <c r="BE106" s="1251"/>
      <c r="BF106" s="1251"/>
      <c r="BG106" s="1251"/>
      <c r="BH106" s="1251"/>
      <c r="BI106" s="1251"/>
      <c r="BJ106" s="1251"/>
      <c r="BK106" s="1251"/>
      <c r="BL106" s="1251"/>
      <c r="BM106" s="1251"/>
      <c r="BN106" s="1251"/>
      <c r="BO106" s="1251"/>
      <c r="BP106" s="1251"/>
      <c r="BQ106" s="1251"/>
      <c r="BR106" s="1251"/>
      <c r="BS106" s="1251"/>
      <c r="BT106" s="1251"/>
      <c r="BU106" s="1251"/>
      <c r="BV106" s="1251"/>
      <c r="BW106" s="1251"/>
      <c r="BX106" s="1251"/>
      <c r="BY106" s="1251"/>
      <c r="BZ106" s="1251"/>
      <c r="CA106" s="1251"/>
      <c r="CB106" s="1251"/>
      <c r="CC106" s="1251"/>
      <c r="CD106" s="1251"/>
      <c r="CE106" s="1251"/>
      <c r="CF106" s="1251"/>
      <c r="CG106" s="1251"/>
      <c r="CH106" s="1251"/>
      <c r="CI106" s="1251"/>
      <c r="CJ106" s="1251"/>
      <c r="CK106" s="1251"/>
      <c r="CL106" s="1251"/>
      <c r="CM106" s="1251"/>
      <c r="CN106" s="1251"/>
      <c r="CO106" s="1251"/>
      <c r="CP106" s="1251"/>
      <c r="CQ106" s="1251"/>
      <c r="CR106" s="1251"/>
      <c r="CS106" s="1251"/>
      <c r="CT106" s="1251"/>
      <c r="CU106" s="1251"/>
      <c r="CV106" s="1251"/>
      <c r="CW106" s="1251"/>
      <c r="CX106" s="1251"/>
      <c r="CY106" s="1251"/>
      <c r="CZ106" s="1251"/>
      <c r="DA106" s="1251"/>
      <c r="DB106" s="1251"/>
      <c r="DC106" s="1251"/>
      <c r="DD106" s="1251"/>
      <c r="DE106" s="1251"/>
      <c r="DF106" s="1251"/>
      <c r="DG106" s="1251"/>
      <c r="DH106" s="1251"/>
      <c r="DI106" s="1251"/>
      <c r="DJ106" s="1251"/>
      <c r="DK106" s="1251"/>
      <c r="DL106" s="1251"/>
      <c r="DM106" s="1251"/>
      <c r="DN106" s="1251"/>
      <c r="DO106" s="1251"/>
      <c r="DP106" s="1251"/>
      <c r="DQ106" s="1251"/>
      <c r="DR106" s="1251"/>
      <c r="DS106" s="1251"/>
      <c r="DT106" s="1251"/>
      <c r="DU106" s="1251"/>
      <c r="DV106" s="1251"/>
      <c r="DW106" s="1251"/>
      <c r="DX106" s="1251"/>
      <c r="DY106" s="1251"/>
      <c r="DZ106" s="1251"/>
      <c r="EA106" s="1251"/>
      <c r="EB106" s="1251"/>
      <c r="EC106" s="1251"/>
      <c r="ED106" s="1251"/>
      <c r="EE106" s="1251"/>
      <c r="EF106" s="1251"/>
      <c r="EG106" s="1251"/>
      <c r="EH106" s="1251"/>
      <c r="EI106" s="1251"/>
      <c r="EJ106" s="1251"/>
      <c r="EK106" s="1251"/>
      <c r="EL106" s="1251"/>
      <c r="EM106" s="1251"/>
      <c r="EN106" s="1251"/>
      <c r="EO106" s="1251"/>
      <c r="EP106" s="1251"/>
      <c r="EQ106" s="1251"/>
      <c r="ER106" s="1251"/>
      <c r="ES106" s="1251"/>
      <c r="ET106" s="1251"/>
      <c r="EU106" s="1251"/>
      <c r="EV106" s="1251"/>
      <c r="EW106" s="1251"/>
      <c r="EX106" s="1251"/>
      <c r="EY106" s="1251"/>
      <c r="EZ106" s="1251"/>
      <c r="FA106" s="1251"/>
      <c r="FB106" s="1251"/>
      <c r="FC106" s="1251"/>
      <c r="FD106" s="1251"/>
      <c r="FE106" s="1251"/>
      <c r="FF106" s="1251"/>
      <c r="FG106" s="1251"/>
      <c r="FH106" s="1251"/>
      <c r="FI106" s="1251"/>
      <c r="FJ106" s="1251"/>
      <c r="FK106" s="1251"/>
      <c r="FL106" s="1251"/>
      <c r="FM106" s="1251"/>
      <c r="FN106" s="1251"/>
      <c r="FO106" s="1251"/>
      <c r="FP106" s="1251"/>
      <c r="FQ106" s="1251"/>
      <c r="FR106" s="1251"/>
      <c r="FS106" s="1251"/>
      <c r="FT106" s="1251"/>
      <c r="FU106" s="1251"/>
      <c r="FV106" s="1251"/>
      <c r="FW106" s="1251"/>
      <c r="FX106" s="1251"/>
      <c r="FY106" s="1251"/>
      <c r="FZ106" s="1251"/>
      <c r="GA106" s="1251"/>
      <c r="GB106" s="1251"/>
      <c r="GC106" s="1251"/>
      <c r="GD106" s="1251"/>
      <c r="GE106" s="1251"/>
      <c r="GF106" s="1251"/>
      <c r="GG106" s="1251"/>
      <c r="GH106" s="1251"/>
      <c r="GI106" s="1251"/>
      <c r="GJ106" s="1251"/>
      <c r="GK106" s="1251"/>
      <c r="GL106" s="1251"/>
      <c r="GM106" s="1251"/>
      <c r="GN106" s="1251"/>
      <c r="GO106" s="1251"/>
      <c r="GP106" s="1251"/>
      <c r="GQ106" s="1251"/>
      <c r="GR106" s="1251"/>
      <c r="GS106" s="1251"/>
      <c r="GT106" s="1251"/>
      <c r="GU106" s="1251"/>
      <c r="GV106" s="1251"/>
      <c r="GW106" s="1251"/>
      <c r="GX106" s="1251"/>
      <c r="GY106" s="1251"/>
      <c r="GZ106" s="1251"/>
      <c r="HA106" s="1251"/>
      <c r="HB106" s="1251"/>
      <c r="HC106" s="1251"/>
      <c r="HD106" s="1251"/>
      <c r="HE106" s="1251"/>
      <c r="HF106" s="1251"/>
      <c r="HG106" s="1251"/>
      <c r="HH106" s="1251"/>
      <c r="HI106" s="1251"/>
      <c r="HJ106" s="1251"/>
      <c r="HK106" s="1251"/>
      <c r="HL106" s="1251"/>
      <c r="HM106" s="1251"/>
      <c r="HN106" s="1251"/>
      <c r="HO106" s="1251"/>
      <c r="HP106" s="1251"/>
      <c r="HQ106" s="1251"/>
      <c r="HR106" s="1251"/>
      <c r="HS106" s="1251"/>
      <c r="HT106" s="1251"/>
      <c r="HU106" s="1251"/>
      <c r="HV106" s="1251"/>
      <c r="HW106" s="1251"/>
      <c r="HX106" s="1251"/>
      <c r="HY106" s="1251"/>
      <c r="HZ106" s="1251"/>
      <c r="IA106" s="1251"/>
      <c r="IB106" s="1251"/>
      <c r="IC106" s="1251"/>
      <c r="ID106" s="1251"/>
      <c r="IE106" s="1251"/>
      <c r="IF106" s="1251"/>
      <c r="IG106" s="1251"/>
      <c r="IH106" s="1251"/>
      <c r="II106" s="1251"/>
      <c r="IJ106" s="1251"/>
      <c r="IK106" s="1251"/>
      <c r="IL106" s="1251"/>
      <c r="IM106" s="1251"/>
      <c r="IN106" s="1251"/>
      <c r="IO106" s="1251"/>
      <c r="IP106" s="1251"/>
      <c r="IQ106" s="1251"/>
      <c r="IR106" s="1251"/>
      <c r="IS106" s="1251"/>
      <c r="IT106" s="1251"/>
      <c r="IU106" s="1251"/>
      <c r="IV106" s="1251"/>
      <c r="IW106" s="1251"/>
      <c r="IX106" s="1251"/>
      <c r="IY106" s="1251"/>
      <c r="IZ106" s="1251"/>
      <c r="JA106" s="1251"/>
      <c r="JB106" s="1251"/>
      <c r="JC106" s="1251"/>
      <c r="JD106" s="1251"/>
      <c r="JE106" s="1251"/>
      <c r="JF106" s="1251"/>
      <c r="JG106" s="1251"/>
      <c r="JH106" s="1251"/>
      <c r="JI106" s="1251"/>
      <c r="JJ106" s="1251"/>
      <c r="JK106" s="1251"/>
      <c r="JL106" s="1251"/>
      <c r="JM106" s="1251"/>
      <c r="JN106" s="1251"/>
      <c r="JO106" s="1251"/>
      <c r="JP106" s="1251"/>
      <c r="JQ106" s="1251"/>
      <c r="JR106" s="1251"/>
      <c r="JS106" s="1251"/>
      <c r="JT106" s="1251"/>
      <c r="JU106" s="1251"/>
      <c r="JV106" s="1251"/>
      <c r="JW106" s="1251"/>
      <c r="JX106" s="1251"/>
      <c r="JY106" s="1251"/>
      <c r="JZ106" s="1251"/>
      <c r="KA106" s="1251"/>
      <c r="KB106" s="1251"/>
      <c r="KC106" s="1251"/>
      <c r="KD106" s="1251"/>
      <c r="KE106" s="1251"/>
      <c r="KF106" s="1251"/>
      <c r="KG106" s="1251"/>
      <c r="KH106" s="1251"/>
      <c r="KI106" s="1251"/>
      <c r="KJ106" s="1251"/>
      <c r="KK106" s="1251"/>
      <c r="KL106" s="1251"/>
      <c r="KM106" s="1251"/>
      <c r="KN106" s="1251"/>
      <c r="KO106" s="1251"/>
      <c r="KP106" s="1251"/>
      <c r="KQ106" s="1251"/>
      <c r="KR106" s="1251"/>
      <c r="KS106" s="1251"/>
      <c r="KT106" s="1251"/>
      <c r="KU106" s="1251"/>
      <c r="KV106" s="1251"/>
      <c r="KW106" s="1251"/>
      <c r="KX106" s="1251"/>
      <c r="KY106" s="1251"/>
      <c r="KZ106" s="1251"/>
      <c r="LA106" s="1251"/>
      <c r="LB106" s="1251"/>
      <c r="LC106" s="1251"/>
      <c r="LD106" s="1251"/>
      <c r="LE106" s="1251"/>
      <c r="LF106" s="1251"/>
      <c r="LG106" s="1251"/>
      <c r="LH106" s="1251"/>
      <c r="LI106" s="1251"/>
      <c r="LJ106" s="1251"/>
      <c r="LK106" s="1251"/>
      <c r="LL106" s="1251"/>
      <c r="LM106" s="1251"/>
      <c r="LN106" s="1251"/>
      <c r="LO106" s="1251"/>
      <c r="LP106" s="1251"/>
      <c r="LQ106" s="1251"/>
      <c r="LR106" s="1251"/>
      <c r="LS106" s="1251"/>
      <c r="LT106" s="1251"/>
      <c r="LU106" s="1251"/>
      <c r="LV106" s="1251"/>
      <c r="LW106" s="1251"/>
      <c r="LX106" s="1251"/>
      <c r="LY106" s="1251"/>
      <c r="LZ106" s="1251"/>
      <c r="MA106" s="1251"/>
      <c r="MB106" s="1251"/>
      <c r="MC106" s="1251"/>
      <c r="MD106" s="1251"/>
      <c r="ME106" s="1251"/>
      <c r="MF106" s="1251"/>
      <c r="MG106" s="1251"/>
      <c r="MH106" s="1251"/>
      <c r="MI106" s="1251"/>
      <c r="MJ106" s="1251"/>
      <c r="MK106" s="1251"/>
      <c r="ML106" s="1251"/>
      <c r="MM106" s="1251"/>
      <c r="MN106" s="1251"/>
      <c r="MO106" s="1251"/>
      <c r="MP106" s="1251"/>
      <c r="MQ106" s="1251"/>
      <c r="MR106" s="1251"/>
      <c r="MS106" s="1251"/>
      <c r="MT106" s="1251"/>
      <c r="MU106" s="1251"/>
      <c r="MV106" s="1251"/>
      <c r="MW106" s="1251"/>
      <c r="MX106" s="1251"/>
      <c r="MY106" s="1251"/>
      <c r="MZ106" s="1251"/>
      <c r="NA106" s="1251"/>
      <c r="NB106" s="1251"/>
      <c r="NC106" s="1251"/>
      <c r="ND106" s="1251"/>
      <c r="NE106" s="1251"/>
      <c r="NF106" s="1251"/>
      <c r="NG106" s="1251"/>
      <c r="NH106" s="1251"/>
      <c r="NI106" s="1251"/>
      <c r="NJ106" s="1251"/>
      <c r="NK106" s="1251"/>
      <c r="NL106" s="1251"/>
      <c r="NM106" s="1251"/>
      <c r="NN106" s="1251"/>
      <c r="NO106" s="1251"/>
      <c r="NP106" s="1251"/>
      <c r="NQ106" s="1251"/>
      <c r="NR106" s="1251"/>
      <c r="NS106" s="1251"/>
      <c r="NT106" s="1251"/>
      <c r="NU106" s="1251"/>
      <c r="NV106" s="1251"/>
      <c r="NW106" s="1251"/>
      <c r="NX106" s="1251"/>
      <c r="NY106" s="1251"/>
      <c r="NZ106" s="1251"/>
      <c r="OA106" s="1251"/>
      <c r="OB106" s="1251"/>
      <c r="OC106" s="1251"/>
      <c r="OD106" s="1251"/>
      <c r="OE106" s="1251"/>
      <c r="OF106" s="1251"/>
      <c r="OG106" s="1251"/>
      <c r="OH106" s="1251"/>
      <c r="OI106" s="1251"/>
      <c r="OJ106" s="1251"/>
      <c r="OK106" s="1251"/>
      <c r="OL106" s="1251"/>
      <c r="OM106" s="1251"/>
      <c r="ON106" s="1251"/>
      <c r="OO106" s="1251"/>
      <c r="OP106" s="1251"/>
      <c r="OQ106" s="1251"/>
      <c r="OR106" s="1251"/>
      <c r="OS106" s="1251"/>
      <c r="OT106" s="1251"/>
      <c r="OU106" s="1251"/>
      <c r="OV106" s="1251"/>
      <c r="OW106" s="1251"/>
      <c r="OX106" s="1251"/>
      <c r="OY106" s="1251"/>
      <c r="OZ106" s="1251"/>
      <c r="PA106" s="1251"/>
      <c r="PB106" s="1251"/>
      <c r="PC106" s="1251"/>
      <c r="PD106" s="1251"/>
      <c r="PE106" s="1251"/>
      <c r="PF106" s="1251"/>
      <c r="PG106" s="1251"/>
      <c r="PH106" s="1251"/>
      <c r="PI106" s="1251"/>
      <c r="PJ106" s="1251"/>
      <c r="PK106" s="1251"/>
      <c r="PL106" s="1251"/>
      <c r="PM106" s="1251"/>
      <c r="PN106" s="1251"/>
      <c r="PO106" s="1251"/>
      <c r="PP106" s="1251"/>
      <c r="PQ106" s="1251"/>
      <c r="PR106" s="1251"/>
      <c r="PS106" s="1251"/>
      <c r="PT106" s="1251"/>
      <c r="PU106" s="1251"/>
      <c r="PV106" s="1251"/>
      <c r="PW106" s="1251"/>
      <c r="PX106" s="1251"/>
      <c r="PY106" s="1251"/>
      <c r="PZ106" s="1251"/>
      <c r="QA106" s="1251"/>
      <c r="QB106" s="1251"/>
      <c r="QC106" s="1251"/>
      <c r="QD106" s="1251"/>
      <c r="QE106" s="1251"/>
      <c r="QF106" s="1251"/>
      <c r="QG106" s="1251"/>
      <c r="QH106" s="1251"/>
      <c r="QI106" s="1251"/>
      <c r="QJ106" s="1251"/>
      <c r="QK106" s="1251"/>
      <c r="QL106" s="1251"/>
      <c r="QM106" s="1251"/>
      <c r="QN106" s="1251"/>
      <c r="QO106" s="1251"/>
      <c r="QP106" s="1251"/>
      <c r="QQ106" s="1251"/>
      <c r="QR106" s="1251"/>
      <c r="QS106" s="1251"/>
      <c r="QT106" s="1251"/>
      <c r="QU106" s="1251"/>
      <c r="QV106" s="1251"/>
      <c r="QW106" s="1251"/>
      <c r="QX106" s="1251"/>
      <c r="QY106" s="1251"/>
      <c r="QZ106" s="1251"/>
      <c r="RA106" s="1251"/>
      <c r="RB106" s="1251"/>
      <c r="RC106" s="1251"/>
      <c r="RD106" s="1251"/>
      <c r="RE106" s="1251"/>
      <c r="RF106" s="1251"/>
      <c r="RG106" s="1251"/>
      <c r="RH106" s="1251"/>
      <c r="RI106" s="1251"/>
      <c r="RJ106" s="1251"/>
      <c r="RK106" s="1251"/>
      <c r="RL106" s="1251"/>
      <c r="RM106" s="1251"/>
      <c r="RN106" s="1251"/>
      <c r="RO106" s="1251"/>
      <c r="RP106" s="1251"/>
      <c r="RQ106" s="1251"/>
      <c r="RR106" s="1251"/>
      <c r="RS106" s="1251"/>
      <c r="RT106" s="1251"/>
      <c r="RU106" s="1251"/>
      <c r="RV106" s="1251"/>
      <c r="RW106" s="1251"/>
      <c r="RX106" s="1251"/>
      <c r="RY106" s="1251"/>
      <c r="RZ106" s="1251"/>
      <c r="SA106" s="1251"/>
      <c r="SB106" s="1251"/>
      <c r="SC106" s="1251"/>
      <c r="SD106" s="1251"/>
      <c r="SE106" s="1251"/>
      <c r="SF106" s="1251"/>
      <c r="SG106" s="1251"/>
      <c r="SH106" s="1251"/>
      <c r="SI106" s="1251"/>
      <c r="SJ106" s="1251"/>
      <c r="SK106" s="1251"/>
      <c r="SL106" s="1251"/>
      <c r="SM106" s="1251"/>
      <c r="SN106" s="1251"/>
      <c r="SO106" s="1251"/>
      <c r="SP106" s="1251"/>
      <c r="SQ106" s="1251"/>
      <c r="SR106" s="1251"/>
      <c r="SS106" s="1251"/>
      <c r="ST106" s="1251"/>
      <c r="SU106" s="1251"/>
      <c r="SV106" s="1251"/>
      <c r="SW106" s="1251"/>
      <c r="SX106" s="1251"/>
      <c r="SY106" s="1251"/>
      <c r="SZ106" s="1251"/>
      <c r="TA106" s="1251"/>
      <c r="TB106" s="1251"/>
      <c r="TC106" s="1251"/>
      <c r="TD106" s="1251"/>
      <c r="TE106" s="1251"/>
      <c r="TF106" s="1251"/>
      <c r="TG106" s="1251"/>
      <c r="TH106" s="1251"/>
      <c r="TI106" s="1251"/>
      <c r="TJ106" s="1251"/>
      <c r="TK106" s="1251"/>
      <c r="TL106" s="1251"/>
      <c r="TM106" s="1251"/>
      <c r="TN106" s="1251"/>
      <c r="TO106" s="1251"/>
      <c r="TP106" s="1251"/>
      <c r="TQ106" s="1251"/>
      <c r="TR106" s="1251"/>
      <c r="TS106" s="1251"/>
      <c r="TT106" s="1251"/>
      <c r="TU106" s="1251"/>
      <c r="TV106" s="1251"/>
      <c r="TW106" s="1251"/>
      <c r="TX106" s="1251"/>
      <c r="TY106" s="1251"/>
      <c r="TZ106" s="1251"/>
      <c r="UA106" s="1251"/>
      <c r="UB106" s="1251"/>
      <c r="UC106" s="1251"/>
      <c r="UD106" s="1251"/>
      <c r="UE106" s="1251"/>
      <c r="UF106" s="1251"/>
      <c r="UG106" s="1251"/>
      <c r="UH106" s="1251"/>
      <c r="UI106" s="1251"/>
      <c r="UJ106" s="1251"/>
      <c r="UK106" s="1251"/>
      <c r="UL106" s="1251"/>
      <c r="UM106" s="1251"/>
      <c r="UN106" s="1251"/>
      <c r="UO106" s="1251"/>
      <c r="UP106" s="1251"/>
      <c r="UQ106" s="1251"/>
      <c r="UR106" s="1251"/>
      <c r="US106" s="1251"/>
      <c r="UT106" s="1251"/>
      <c r="UU106" s="1251"/>
      <c r="UV106" s="1251"/>
      <c r="UW106" s="1251"/>
      <c r="UX106" s="1251"/>
      <c r="UY106" s="1251"/>
      <c r="UZ106" s="1251"/>
      <c r="VA106" s="1251"/>
      <c r="VB106" s="1251"/>
      <c r="VC106" s="1251"/>
      <c r="VD106" s="1251"/>
      <c r="VE106" s="1251"/>
      <c r="VF106" s="1251"/>
      <c r="VG106" s="1251"/>
      <c r="VH106" s="1251"/>
      <c r="VI106" s="1251"/>
      <c r="VJ106" s="1251"/>
      <c r="VK106" s="1251"/>
      <c r="VL106" s="1251"/>
      <c r="VM106" s="1251"/>
      <c r="VN106" s="1251"/>
      <c r="VO106" s="1251"/>
      <c r="VP106" s="1251"/>
      <c r="VQ106" s="1251"/>
      <c r="VR106" s="1251"/>
      <c r="VS106" s="1251"/>
      <c r="VT106" s="1251"/>
      <c r="VU106" s="1251"/>
      <c r="VV106" s="1251"/>
      <c r="VW106" s="1251"/>
      <c r="VX106" s="1251"/>
      <c r="VY106" s="1251"/>
      <c r="VZ106" s="1251"/>
      <c r="WA106" s="1251"/>
      <c r="WB106" s="1251"/>
      <c r="WC106" s="1251"/>
      <c r="WD106" s="1251"/>
      <c r="WE106" s="1251"/>
      <c r="WF106" s="1251"/>
      <c r="WG106" s="1251"/>
      <c r="WH106" s="1251"/>
      <c r="WI106" s="1251"/>
      <c r="WJ106" s="1251"/>
      <c r="WK106" s="1251"/>
      <c r="WL106" s="1251"/>
      <c r="WM106" s="1251"/>
      <c r="WN106" s="1251"/>
      <c r="WO106" s="1251"/>
      <c r="WP106" s="1251"/>
      <c r="WQ106" s="1251"/>
      <c r="WR106" s="1251"/>
      <c r="WS106" s="1251"/>
      <c r="WT106" s="1251"/>
      <c r="WU106" s="1251"/>
      <c r="WV106" s="1251"/>
      <c r="WW106" s="1251"/>
      <c r="WX106" s="1251"/>
      <c r="WY106" s="1251"/>
      <c r="WZ106" s="1251"/>
      <c r="XA106" s="1251"/>
      <c r="XB106" s="1251"/>
      <c r="XC106" s="1251"/>
      <c r="XD106" s="1251"/>
      <c r="XE106" s="1251"/>
      <c r="XF106" s="1251"/>
      <c r="XG106" s="1251"/>
      <c r="XH106" s="1251"/>
      <c r="XI106" s="1251"/>
      <c r="XJ106" s="1251"/>
      <c r="XK106" s="1251"/>
      <c r="XL106" s="1251"/>
      <c r="XM106" s="1251"/>
      <c r="XN106" s="1251"/>
      <c r="XO106" s="1251"/>
      <c r="XP106" s="1251"/>
      <c r="XQ106" s="1251"/>
      <c r="XR106" s="1251"/>
      <c r="XS106" s="1251"/>
      <c r="XT106" s="1251"/>
      <c r="XU106" s="1251"/>
      <c r="XV106" s="1251"/>
      <c r="XW106" s="1251"/>
      <c r="XX106" s="1251"/>
      <c r="XY106" s="1251"/>
      <c r="XZ106" s="1251"/>
      <c r="YA106" s="1251"/>
      <c r="YB106" s="1251"/>
      <c r="YC106" s="1251"/>
      <c r="YD106" s="1251"/>
      <c r="YE106" s="1251"/>
      <c r="YF106" s="1251"/>
      <c r="YG106" s="1251"/>
      <c r="YH106" s="1251"/>
      <c r="YI106" s="1251"/>
      <c r="YJ106" s="1251"/>
      <c r="YK106" s="1251"/>
      <c r="YL106" s="1251"/>
      <c r="YM106" s="1251"/>
      <c r="YN106" s="1251"/>
      <c r="YO106" s="1251"/>
      <c r="YP106" s="1251"/>
      <c r="YQ106" s="1251"/>
      <c r="YR106" s="1251"/>
      <c r="YS106" s="1251"/>
      <c r="YT106" s="1251"/>
      <c r="YU106" s="1251"/>
      <c r="YV106" s="1251"/>
      <c r="YW106" s="1251"/>
      <c r="YX106" s="1251"/>
      <c r="YY106" s="1251"/>
      <c r="YZ106" s="1251"/>
      <c r="ZA106" s="1251"/>
      <c r="ZB106" s="1251"/>
      <c r="ZC106" s="1251"/>
      <c r="ZD106" s="1251"/>
      <c r="ZE106" s="1251"/>
      <c r="ZF106" s="1251"/>
      <c r="ZG106" s="1251"/>
      <c r="ZH106" s="1251"/>
      <c r="ZI106" s="1251"/>
      <c r="ZJ106" s="1251"/>
      <c r="ZK106" s="1251"/>
      <c r="ZL106" s="1251"/>
      <c r="ZM106" s="1251"/>
      <c r="ZN106" s="1251"/>
      <c r="ZO106" s="1251"/>
      <c r="ZP106" s="1251"/>
      <c r="ZQ106" s="1251"/>
      <c r="ZR106" s="1251"/>
      <c r="ZS106" s="1251"/>
      <c r="ZT106" s="1251"/>
      <c r="ZU106" s="1251"/>
      <c r="ZV106" s="1251"/>
      <c r="ZW106" s="1251"/>
      <c r="ZX106" s="1251"/>
      <c r="ZY106" s="1251"/>
      <c r="ZZ106" s="1251"/>
      <c r="AAA106" s="1251"/>
      <c r="AAB106" s="1251"/>
      <c r="AAC106" s="1251"/>
      <c r="AAD106" s="1251"/>
      <c r="AAE106" s="1251"/>
      <c r="AAF106" s="1251"/>
      <c r="AAG106" s="1251"/>
      <c r="AAH106" s="1251"/>
      <c r="AAI106" s="1251"/>
      <c r="AAJ106" s="1251"/>
      <c r="AAK106" s="1251"/>
      <c r="AAL106" s="1251"/>
      <c r="AAM106" s="1251"/>
      <c r="AAN106" s="1251"/>
      <c r="AAO106" s="1251"/>
      <c r="AAP106" s="1251"/>
      <c r="AAQ106" s="1251"/>
      <c r="AAR106" s="1251"/>
      <c r="AAS106" s="1251"/>
      <c r="AAT106" s="1251"/>
      <c r="AAU106" s="1251"/>
      <c r="AAV106" s="1251"/>
      <c r="AAW106" s="1251"/>
      <c r="AAX106" s="1251"/>
      <c r="AAY106" s="1251"/>
      <c r="AAZ106" s="1251"/>
      <c r="ABA106" s="1251"/>
      <c r="ABB106" s="1251"/>
      <c r="ABC106" s="1251"/>
      <c r="ABD106" s="1251"/>
      <c r="ABE106" s="1251"/>
      <c r="ABF106" s="1251"/>
      <c r="ABG106" s="1251"/>
      <c r="ABH106" s="1251"/>
      <c r="ABI106" s="1251"/>
      <c r="ABJ106" s="1251"/>
      <c r="ABK106" s="1251"/>
      <c r="ABL106" s="1251"/>
      <c r="ABM106" s="1251"/>
      <c r="ABN106" s="1251"/>
      <c r="ABO106" s="1251"/>
      <c r="ABP106" s="1251"/>
      <c r="ABQ106" s="1251"/>
      <c r="ABR106" s="1251"/>
      <c r="ABS106" s="1251"/>
      <c r="ABT106" s="1251"/>
      <c r="ABU106" s="1251"/>
      <c r="ABV106" s="1251"/>
      <c r="ABW106" s="1251"/>
      <c r="ABX106" s="1251"/>
      <c r="ABY106" s="1251"/>
      <c r="ABZ106" s="1251"/>
      <c r="ACA106" s="1251"/>
      <c r="ACB106" s="1251"/>
      <c r="ACC106" s="1251"/>
      <c r="ACD106" s="1251"/>
      <c r="ACE106" s="1251"/>
      <c r="ACF106" s="1251"/>
      <c r="ACG106" s="1251"/>
      <c r="ACH106" s="1251"/>
      <c r="ACI106" s="1251"/>
      <c r="ACJ106" s="1251"/>
      <c r="ACK106" s="1251"/>
      <c r="ACL106" s="1251"/>
      <c r="ACM106" s="1251"/>
      <c r="ACN106" s="1251"/>
      <c r="ACO106" s="1251"/>
      <c r="ACP106" s="1251"/>
      <c r="ACQ106" s="1251"/>
      <c r="ACR106" s="1251"/>
      <c r="ACS106" s="1251"/>
      <c r="ACT106" s="1251"/>
      <c r="ACU106" s="1251"/>
      <c r="ACV106" s="1251"/>
      <c r="ACW106" s="1251"/>
      <c r="ACX106" s="1251"/>
      <c r="ACY106" s="1251"/>
      <c r="ACZ106" s="1251"/>
      <c r="ADA106" s="1251"/>
      <c r="ADB106" s="1251"/>
      <c r="ADC106" s="1251"/>
      <c r="ADD106" s="1251"/>
      <c r="ADE106" s="1251"/>
      <c r="ADF106" s="1251"/>
      <c r="ADG106" s="1251"/>
      <c r="ADH106" s="1251"/>
      <c r="ADI106" s="1251"/>
      <c r="ADJ106" s="1251"/>
      <c r="ADK106" s="1251"/>
      <c r="ADL106" s="1251"/>
      <c r="ADM106" s="1251"/>
      <c r="ADN106" s="1251"/>
      <c r="ADO106" s="1251"/>
      <c r="ADP106" s="1251"/>
      <c r="ADQ106" s="1251"/>
      <c r="ADR106" s="1251"/>
      <c r="ADS106" s="1251"/>
      <c r="ADT106" s="1251"/>
      <c r="ADU106" s="1251"/>
      <c r="ADV106" s="1251"/>
      <c r="ADW106" s="1251"/>
      <c r="ADX106" s="1251"/>
      <c r="ADY106" s="1251"/>
      <c r="ADZ106" s="1251"/>
      <c r="AEA106" s="1251"/>
      <c r="AEB106" s="1251"/>
      <c r="AEC106" s="1251"/>
      <c r="AED106" s="1251"/>
      <c r="AEE106" s="1251"/>
      <c r="AEF106" s="1251"/>
      <c r="AEG106" s="1251"/>
      <c r="AEH106" s="1251"/>
      <c r="AEI106" s="1251"/>
      <c r="AEJ106" s="1251"/>
      <c r="AEK106" s="1251"/>
      <c r="AEL106" s="1251"/>
      <c r="AEM106" s="1251"/>
      <c r="AEN106" s="1251"/>
      <c r="AEO106" s="1251"/>
      <c r="AEP106" s="1251"/>
      <c r="AEQ106" s="1251"/>
      <c r="AER106" s="1251"/>
      <c r="AES106" s="1251"/>
      <c r="AET106" s="1251"/>
      <c r="AEU106" s="1251"/>
      <c r="AEV106" s="1251"/>
      <c r="AEW106" s="1251"/>
      <c r="AEX106" s="1251"/>
      <c r="AEY106" s="1251"/>
      <c r="AEZ106" s="1251"/>
      <c r="AFA106" s="1251"/>
      <c r="AFB106" s="1251"/>
      <c r="AFC106" s="1251"/>
      <c r="AFD106" s="1251"/>
      <c r="AFE106" s="1251"/>
      <c r="AFF106" s="1251"/>
      <c r="AFG106" s="1251"/>
      <c r="AFH106" s="1251"/>
      <c r="AFI106" s="1251"/>
      <c r="AFJ106" s="1251"/>
      <c r="AFK106" s="1251"/>
      <c r="AFL106" s="1251"/>
      <c r="AFM106" s="1251"/>
      <c r="AFN106" s="1251"/>
      <c r="AFO106" s="1251"/>
      <c r="AFP106" s="1251"/>
      <c r="AFQ106" s="1251"/>
      <c r="AFR106" s="1251"/>
      <c r="AFS106" s="1251"/>
      <c r="AFT106" s="1251"/>
      <c r="AFU106" s="1251"/>
      <c r="AFV106" s="1251"/>
      <c r="AFW106" s="1251"/>
      <c r="AFX106" s="1251"/>
      <c r="AFY106" s="1251"/>
      <c r="AFZ106" s="1251"/>
      <c r="AGA106" s="1251"/>
      <c r="AGB106" s="1251"/>
      <c r="AGC106" s="1251"/>
      <c r="AGD106" s="1251"/>
      <c r="AGE106" s="1251"/>
      <c r="AGF106" s="1251"/>
      <c r="AGG106" s="1251"/>
      <c r="AGH106" s="1251"/>
      <c r="AGI106" s="1251"/>
      <c r="AGJ106" s="1251"/>
      <c r="AGK106" s="1251"/>
      <c r="AGL106" s="1251"/>
      <c r="AGM106" s="1251"/>
      <c r="AGN106" s="1251"/>
      <c r="AGO106" s="1251"/>
      <c r="AGP106" s="1251"/>
      <c r="AGQ106" s="1251"/>
      <c r="AGR106" s="1251"/>
      <c r="AGS106" s="1251"/>
      <c r="AGT106" s="1251"/>
      <c r="AGU106" s="1251"/>
      <c r="AGV106" s="1251"/>
      <c r="AGW106" s="1251"/>
      <c r="AGX106" s="1251"/>
      <c r="AGY106" s="1251"/>
      <c r="AGZ106" s="1251"/>
      <c r="AHA106" s="1251"/>
      <c r="AHB106" s="1251"/>
      <c r="AHC106" s="1251"/>
      <c r="AHD106" s="1251"/>
      <c r="AHE106" s="1251"/>
      <c r="AHF106" s="1251"/>
      <c r="AHG106" s="1251"/>
      <c r="AHH106" s="1251"/>
      <c r="AHI106" s="1251"/>
      <c r="AHJ106" s="1251"/>
      <c r="AHK106" s="1251"/>
      <c r="AHL106" s="1251"/>
      <c r="AHM106" s="1251"/>
      <c r="AHN106" s="1251"/>
      <c r="AHO106" s="1251"/>
      <c r="AHP106" s="1251"/>
      <c r="AHQ106" s="1251"/>
      <c r="AHR106" s="1251"/>
      <c r="AHS106" s="1251"/>
      <c r="AHT106" s="1251"/>
      <c r="AHU106" s="1251"/>
      <c r="AHV106" s="1251"/>
      <c r="AHW106" s="1251"/>
      <c r="AHX106" s="1251"/>
      <c r="AHY106" s="1251"/>
      <c r="AHZ106" s="1251"/>
      <c r="AIA106" s="1251"/>
      <c r="AIB106" s="1251"/>
      <c r="AIC106" s="1251"/>
      <c r="AID106" s="1251"/>
      <c r="AIE106" s="1251"/>
      <c r="AIF106" s="1251"/>
      <c r="AIG106" s="1251"/>
      <c r="AIH106" s="1251"/>
      <c r="AII106" s="1251"/>
      <c r="AIJ106" s="1251"/>
      <c r="AIK106" s="1251"/>
      <c r="AIL106" s="1251"/>
      <c r="AIM106" s="1251"/>
      <c r="AIN106" s="1251"/>
      <c r="AIO106" s="1251"/>
      <c r="AIP106" s="1251"/>
      <c r="AIQ106" s="1251"/>
      <c r="AIR106" s="1251"/>
      <c r="AIS106" s="1251"/>
      <c r="AIT106" s="1251"/>
      <c r="AIU106" s="1251"/>
      <c r="AIV106" s="1251"/>
      <c r="AIW106" s="1251"/>
      <c r="AIX106" s="1251"/>
      <c r="AIY106" s="1251"/>
      <c r="AIZ106" s="1251"/>
      <c r="AJA106" s="1251"/>
      <c r="AJB106" s="1251"/>
      <c r="AJC106" s="1251"/>
      <c r="AJD106" s="1251"/>
      <c r="AJE106" s="1251"/>
      <c r="AJF106" s="1251"/>
      <c r="AJG106" s="1251"/>
      <c r="AJH106" s="1251"/>
      <c r="AJI106" s="1251"/>
      <c r="AJJ106" s="1251"/>
      <c r="AJK106" s="1251"/>
      <c r="AJL106" s="1251"/>
      <c r="AJM106" s="1251"/>
      <c r="AJN106" s="1251"/>
      <c r="AJO106" s="1251"/>
      <c r="AJP106" s="1251"/>
      <c r="AJQ106" s="1251"/>
      <c r="AJR106" s="1251"/>
      <c r="AJS106" s="1251"/>
      <c r="AJT106" s="1251"/>
      <c r="AJU106" s="1251"/>
      <c r="AJV106" s="1251"/>
      <c r="AJW106" s="1251"/>
      <c r="AJX106" s="1251"/>
      <c r="AJY106" s="1251"/>
      <c r="AJZ106" s="1251"/>
      <c r="AKA106" s="1251"/>
      <c r="AKB106" s="1251"/>
      <c r="AKC106" s="1251"/>
      <c r="AKD106" s="1251"/>
      <c r="AKE106" s="1251"/>
      <c r="AKF106" s="1251"/>
      <c r="AKG106" s="1251"/>
      <c r="AKH106" s="1251"/>
      <c r="AKI106" s="1251"/>
      <c r="AKJ106" s="1251"/>
      <c r="AKK106" s="1251"/>
      <c r="AKL106" s="1251"/>
      <c r="AKM106" s="1251"/>
      <c r="AKN106" s="1251"/>
      <c r="AKO106" s="1251"/>
      <c r="AKP106" s="1251"/>
      <c r="AKQ106" s="1251"/>
      <c r="AKR106" s="1251"/>
      <c r="AKS106" s="1251"/>
      <c r="AKT106" s="1251"/>
      <c r="AKU106" s="1251"/>
      <c r="AKV106" s="1251"/>
      <c r="AKW106" s="1251"/>
      <c r="AKX106" s="1251"/>
      <c r="AKY106" s="1251"/>
      <c r="AKZ106" s="1251"/>
      <c r="ALA106" s="1251"/>
      <c r="ALB106" s="1251"/>
      <c r="ALC106" s="1251"/>
      <c r="ALD106" s="1251"/>
      <c r="ALE106" s="1251"/>
      <c r="ALF106" s="1251"/>
      <c r="ALG106" s="1251"/>
      <c r="ALH106" s="1251"/>
      <c r="ALI106" s="1251"/>
      <c r="ALJ106" s="1251"/>
      <c r="ALK106" s="1251"/>
      <c r="ALL106" s="1251"/>
      <c r="ALM106" s="1251"/>
      <c r="ALN106" s="1251"/>
      <c r="ALO106" s="1251"/>
      <c r="ALP106" s="1251"/>
      <c r="ALQ106" s="1251"/>
      <c r="ALR106" s="1251"/>
      <c r="ALS106" s="1251"/>
      <c r="ALT106" s="1251"/>
      <c r="ALU106" s="1251"/>
      <c r="ALV106" s="1251"/>
      <c r="ALW106" s="1251"/>
      <c r="ALX106" s="1251"/>
      <c r="ALY106" s="1251"/>
      <c r="ALZ106" s="1251"/>
      <c r="AMA106" s="1251"/>
      <c r="AMB106" s="1251"/>
      <c r="AMC106" s="1251"/>
      <c r="AMD106" s="1251"/>
      <c r="AME106" s="1251"/>
      <c r="AMF106" s="1251"/>
      <c r="AMG106" s="1251"/>
      <c r="AMH106" s="1251"/>
      <c r="AMI106" s="1251"/>
      <c r="AMJ106" s="1251"/>
      <c r="AMK106" s="1251"/>
      <c r="AML106" s="1251"/>
      <c r="AMM106" s="1251"/>
      <c r="AMN106" s="1251"/>
      <c r="AMO106" s="1251"/>
      <c r="AMP106" s="1251"/>
      <c r="AMQ106" s="1251"/>
      <c r="AMR106" s="1251"/>
      <c r="AMS106" s="1251"/>
      <c r="AMT106" s="1251"/>
      <c r="AMU106" s="1251"/>
      <c r="AMV106" s="1251"/>
      <c r="AMW106" s="1251"/>
      <c r="AMX106" s="1251"/>
      <c r="AMY106" s="1251"/>
      <c r="AMZ106" s="1251"/>
      <c r="ANA106" s="1251"/>
      <c r="ANB106" s="1251"/>
      <c r="ANC106" s="1251"/>
      <c r="AND106" s="1251"/>
      <c r="ANE106" s="1251"/>
      <c r="ANF106" s="1251"/>
      <c r="ANG106" s="1251"/>
      <c r="ANH106" s="1251"/>
      <c r="ANI106" s="1251"/>
      <c r="ANJ106" s="1251"/>
      <c r="ANK106" s="1251"/>
      <c r="ANL106" s="1251"/>
      <c r="ANM106" s="1251"/>
      <c r="ANN106" s="1251"/>
      <c r="ANO106" s="1251"/>
      <c r="ANP106" s="1251"/>
      <c r="ANQ106" s="1251"/>
      <c r="ANR106" s="1251"/>
      <c r="ANS106" s="1251"/>
      <c r="ANT106" s="1251"/>
      <c r="ANU106" s="1251"/>
      <c r="ANV106" s="1251"/>
      <c r="ANW106" s="1251"/>
      <c r="ANX106" s="1251"/>
      <c r="ANY106" s="1251"/>
      <c r="ANZ106" s="1251"/>
      <c r="AOA106" s="1251"/>
      <c r="AOB106" s="1251"/>
      <c r="AOC106" s="1251"/>
      <c r="AOD106" s="1251"/>
      <c r="AOE106" s="1251"/>
      <c r="AOF106" s="1251"/>
      <c r="AOG106" s="1251"/>
      <c r="AOH106" s="1251"/>
      <c r="AOI106" s="1251"/>
      <c r="AOJ106" s="1251"/>
      <c r="AOK106" s="1251"/>
      <c r="AOL106" s="1251"/>
      <c r="AOM106" s="1251"/>
      <c r="AON106" s="1251"/>
      <c r="AOO106" s="1251"/>
      <c r="AOP106" s="1251"/>
      <c r="AOQ106" s="1251"/>
      <c r="AOR106" s="1251"/>
      <c r="AOS106" s="1251"/>
      <c r="AOT106" s="1251"/>
      <c r="AOU106" s="1251"/>
      <c r="AOV106" s="1251"/>
      <c r="AOW106" s="1251"/>
      <c r="AOX106" s="1251"/>
      <c r="AOY106" s="1251"/>
      <c r="AOZ106" s="1251"/>
      <c r="APA106" s="1251"/>
      <c r="APB106" s="1251"/>
      <c r="APC106" s="1251"/>
      <c r="APD106" s="1251"/>
      <c r="APE106" s="1251"/>
      <c r="APF106" s="1251"/>
      <c r="APG106" s="1251"/>
      <c r="APH106" s="1251"/>
      <c r="API106" s="1251"/>
      <c r="APJ106" s="1251"/>
      <c r="APK106" s="1251"/>
      <c r="APL106" s="1251"/>
      <c r="APM106" s="1251"/>
      <c r="APN106" s="1251"/>
      <c r="APO106" s="1251"/>
      <c r="APP106" s="1251"/>
      <c r="APQ106" s="1251"/>
      <c r="APR106" s="1251"/>
      <c r="APS106" s="1251"/>
      <c r="APT106" s="1251"/>
      <c r="APU106" s="1251"/>
      <c r="APV106" s="1251"/>
      <c r="APW106" s="1251"/>
      <c r="APX106" s="1251"/>
      <c r="APY106" s="1251"/>
      <c r="APZ106" s="1251"/>
      <c r="AQA106" s="1251"/>
      <c r="AQB106" s="1251"/>
      <c r="AQC106" s="1251"/>
      <c r="AQD106" s="1251"/>
      <c r="AQE106" s="1251"/>
      <c r="AQF106" s="1251"/>
      <c r="AQG106" s="1251"/>
      <c r="AQH106" s="1251"/>
      <c r="AQI106" s="1251"/>
      <c r="AQJ106" s="1251"/>
      <c r="AQK106" s="1251"/>
      <c r="AQL106" s="1251"/>
      <c r="AQM106" s="1251"/>
      <c r="AQN106" s="1251"/>
      <c r="AQO106" s="1251"/>
      <c r="AQP106" s="1251"/>
      <c r="AQQ106" s="1251"/>
      <c r="AQR106" s="1251"/>
      <c r="AQS106" s="1251"/>
      <c r="AQT106" s="1251"/>
      <c r="AQU106" s="1251"/>
      <c r="AQV106" s="1251"/>
      <c r="AQW106" s="1251"/>
      <c r="AQX106" s="1251"/>
      <c r="AQY106" s="1251"/>
      <c r="AQZ106" s="1251"/>
      <c r="ARA106" s="1251"/>
      <c r="ARB106" s="1251"/>
      <c r="ARC106" s="1251"/>
      <c r="ARD106" s="1251"/>
      <c r="ARE106" s="1251"/>
      <c r="ARF106" s="1251"/>
      <c r="ARG106" s="1251"/>
      <c r="ARH106" s="1251"/>
      <c r="ARI106" s="1251"/>
      <c r="ARJ106" s="1251"/>
      <c r="ARK106" s="1251"/>
      <c r="ARL106" s="1251"/>
      <c r="ARM106" s="1251"/>
      <c r="ARN106" s="1251"/>
      <c r="ARO106" s="1251"/>
      <c r="ARP106" s="1251"/>
      <c r="ARQ106" s="1251"/>
      <c r="ARR106" s="1251"/>
      <c r="ARS106" s="1251"/>
      <c r="ART106" s="1251"/>
      <c r="ARU106" s="1251"/>
      <c r="ARV106" s="1251"/>
      <c r="ARW106" s="1251"/>
      <c r="ARX106" s="1251"/>
      <c r="ARY106" s="1251"/>
      <c r="ARZ106" s="1251"/>
      <c r="ASA106" s="1251"/>
      <c r="ASB106" s="1251"/>
      <c r="ASC106" s="1251"/>
      <c r="ASD106" s="1251"/>
      <c r="ASE106" s="1251"/>
      <c r="ASF106" s="1251"/>
      <c r="ASG106" s="1251"/>
      <c r="ASH106" s="1251"/>
      <c r="ASI106" s="1251"/>
      <c r="ASJ106" s="1251"/>
      <c r="ASK106" s="1251"/>
      <c r="ASL106" s="1251"/>
      <c r="ASM106" s="1251"/>
      <c r="ASN106" s="1251"/>
      <c r="ASO106" s="1251"/>
      <c r="ASP106" s="1251"/>
      <c r="ASQ106" s="1251"/>
      <c r="ASR106" s="1251"/>
      <c r="ASS106" s="1251"/>
      <c r="AST106" s="1251"/>
      <c r="ASU106" s="1251"/>
      <c r="ASV106" s="1251"/>
      <c r="ASW106" s="1251"/>
      <c r="ASX106" s="1251"/>
      <c r="ASY106" s="1251"/>
      <c r="ASZ106" s="1251"/>
      <c r="ATA106" s="1251"/>
      <c r="ATB106" s="1251"/>
      <c r="ATC106" s="1251"/>
      <c r="ATD106" s="1251"/>
      <c r="ATE106" s="1251"/>
      <c r="ATF106" s="1251"/>
      <c r="ATG106" s="1251"/>
      <c r="ATH106" s="1251"/>
      <c r="ATI106" s="1251"/>
      <c r="ATJ106" s="1251"/>
      <c r="ATK106" s="1251"/>
      <c r="ATL106" s="1251"/>
      <c r="ATM106" s="1251"/>
      <c r="ATN106" s="1251"/>
      <c r="ATO106" s="1251"/>
      <c r="ATP106" s="1251"/>
      <c r="ATQ106" s="1251"/>
      <c r="ATR106" s="1251"/>
      <c r="ATS106" s="1251"/>
      <c r="ATT106" s="1251"/>
      <c r="ATU106" s="1251"/>
      <c r="ATV106" s="1251"/>
      <c r="ATW106" s="1251"/>
      <c r="ATX106" s="1251"/>
      <c r="ATY106" s="1251"/>
      <c r="ATZ106" s="1251"/>
      <c r="AUA106" s="1251"/>
      <c r="AUB106" s="1251"/>
      <c r="AUC106" s="1251"/>
      <c r="AUD106" s="1251"/>
      <c r="AUE106" s="1251"/>
      <c r="AUF106" s="1251"/>
      <c r="AUG106" s="1251"/>
      <c r="AUH106" s="1251"/>
      <c r="AUI106" s="1251"/>
      <c r="AUJ106" s="1251"/>
      <c r="AUK106" s="1251"/>
      <c r="AUL106" s="1251"/>
      <c r="AUM106" s="1251"/>
      <c r="AUN106" s="1251"/>
      <c r="AUO106" s="1251"/>
      <c r="AUP106" s="1251"/>
      <c r="AUQ106" s="1251"/>
      <c r="AUR106" s="1251"/>
      <c r="AUS106" s="1251"/>
      <c r="AUT106" s="1251"/>
      <c r="AUU106" s="1251"/>
      <c r="AUV106" s="1251"/>
      <c r="AUW106" s="1251"/>
      <c r="AUX106" s="1251"/>
      <c r="AUY106" s="1251"/>
      <c r="AUZ106" s="1251"/>
      <c r="AVA106" s="1251"/>
      <c r="AVB106" s="1251"/>
      <c r="AVC106" s="1251"/>
      <c r="AVD106" s="1251"/>
      <c r="AVE106" s="1251"/>
      <c r="AVF106" s="1251"/>
      <c r="AVG106" s="1251"/>
      <c r="AVH106" s="1251"/>
      <c r="AVI106" s="1251"/>
      <c r="AVJ106" s="1251"/>
      <c r="AVK106" s="1251"/>
      <c r="AVL106" s="1251"/>
      <c r="AVM106" s="1251"/>
      <c r="AVN106" s="1251"/>
      <c r="AVO106" s="1251"/>
      <c r="AVP106" s="1251"/>
      <c r="AVQ106" s="1251"/>
      <c r="AVR106" s="1251"/>
      <c r="AVS106" s="1251"/>
      <c r="AVT106" s="1251"/>
      <c r="AVU106" s="1251"/>
      <c r="AVV106" s="1251"/>
      <c r="AVW106" s="1251"/>
      <c r="AVX106" s="1251"/>
      <c r="AVY106" s="1251"/>
      <c r="AVZ106" s="1251"/>
      <c r="AWA106" s="1251"/>
      <c r="AWB106" s="1251"/>
      <c r="AWC106" s="1251"/>
      <c r="AWD106" s="1251"/>
      <c r="AWE106" s="1251"/>
      <c r="AWF106" s="1251"/>
      <c r="AWG106" s="1251"/>
      <c r="AWH106" s="1251"/>
      <c r="AWI106" s="1251"/>
      <c r="AWJ106" s="1251"/>
      <c r="AWK106" s="1251"/>
      <c r="AWL106" s="1251"/>
      <c r="AWM106" s="1251"/>
      <c r="AWN106" s="1251"/>
      <c r="AWO106" s="1251"/>
      <c r="AWP106" s="1251"/>
      <c r="AWQ106" s="1251"/>
      <c r="AWR106" s="1251"/>
      <c r="AWS106" s="1251"/>
      <c r="AWT106" s="1251"/>
      <c r="AWU106" s="1251"/>
      <c r="AWV106" s="1251"/>
      <c r="AWW106" s="1251"/>
      <c r="AWX106" s="1251"/>
      <c r="AWY106" s="1251"/>
      <c r="AWZ106" s="1251"/>
      <c r="AXA106" s="1251"/>
      <c r="AXB106" s="1251"/>
      <c r="AXC106" s="1251"/>
      <c r="AXD106" s="1251"/>
      <c r="AXE106" s="1251"/>
      <c r="AXF106" s="1251"/>
      <c r="AXG106" s="1251"/>
      <c r="AXH106" s="1251"/>
      <c r="AXI106" s="1251"/>
      <c r="AXJ106" s="1251"/>
      <c r="AXK106" s="1251"/>
      <c r="AXL106" s="1251"/>
      <c r="AXM106" s="1251"/>
      <c r="AXN106" s="1251"/>
      <c r="AXO106" s="1251"/>
      <c r="AXP106" s="1251"/>
      <c r="AXQ106" s="1251"/>
      <c r="AXR106" s="1251"/>
      <c r="AXS106" s="1251"/>
      <c r="AXT106" s="1251"/>
      <c r="AXU106" s="1251"/>
      <c r="AXV106" s="1251"/>
      <c r="AXW106" s="1251"/>
      <c r="AXX106" s="1251"/>
      <c r="AXY106" s="1251"/>
      <c r="AXZ106" s="1251"/>
      <c r="AYA106" s="1251"/>
      <c r="AYB106" s="1251"/>
      <c r="AYC106" s="1251"/>
      <c r="AYD106" s="1251"/>
      <c r="AYE106" s="1251"/>
      <c r="AYF106" s="1251"/>
      <c r="AYG106" s="1251"/>
      <c r="AYH106" s="1251"/>
      <c r="AYI106" s="1251"/>
      <c r="AYJ106" s="1251"/>
      <c r="AYK106" s="1251"/>
      <c r="AYL106" s="1251"/>
      <c r="AYM106" s="1251"/>
      <c r="AYN106" s="1251"/>
      <c r="AYO106" s="1251"/>
      <c r="AYP106" s="1251"/>
      <c r="AYQ106" s="1251"/>
      <c r="AYR106" s="1251"/>
      <c r="AYS106" s="1251"/>
      <c r="AYT106" s="1251"/>
      <c r="AYU106" s="1251"/>
      <c r="AYV106" s="1251"/>
      <c r="AYW106" s="1251"/>
      <c r="AYX106" s="1251"/>
      <c r="AYY106" s="1251"/>
      <c r="AYZ106" s="1251"/>
      <c r="AZA106" s="1251"/>
      <c r="AZB106" s="1251"/>
      <c r="AZC106" s="1251"/>
      <c r="AZD106" s="1251"/>
      <c r="AZE106" s="1251"/>
      <c r="AZF106" s="1251"/>
      <c r="AZG106" s="1251"/>
      <c r="AZH106" s="1251"/>
      <c r="AZI106" s="1251"/>
      <c r="AZJ106" s="1251"/>
      <c r="AZK106" s="1251"/>
      <c r="AZL106" s="1251"/>
      <c r="AZM106" s="1251"/>
      <c r="AZN106" s="1251"/>
      <c r="AZO106" s="1251"/>
      <c r="AZP106" s="1251"/>
      <c r="AZQ106" s="1251"/>
      <c r="AZR106" s="1251"/>
      <c r="AZS106" s="1251"/>
      <c r="AZT106" s="1251"/>
      <c r="AZU106" s="1251"/>
      <c r="AZV106" s="1251"/>
      <c r="AZW106" s="1251"/>
      <c r="AZX106" s="1251"/>
      <c r="AZY106" s="1251"/>
      <c r="AZZ106" s="1251"/>
      <c r="BAA106" s="1251"/>
      <c r="BAB106" s="1251"/>
      <c r="BAC106" s="1251"/>
      <c r="BAD106" s="1251"/>
      <c r="BAE106" s="1251"/>
      <c r="BAF106" s="1251"/>
      <c r="BAG106" s="1251"/>
      <c r="BAH106" s="1251"/>
      <c r="BAI106" s="1251"/>
      <c r="BAJ106" s="1251"/>
      <c r="BAK106" s="1251"/>
      <c r="BAL106" s="1251"/>
      <c r="BAM106" s="1251"/>
      <c r="BAN106" s="1251"/>
      <c r="BAO106" s="1251"/>
      <c r="BAP106" s="1251"/>
      <c r="BAQ106" s="1251"/>
      <c r="BAR106" s="1251"/>
      <c r="BAS106" s="1251"/>
      <c r="BAT106" s="1251"/>
      <c r="BAU106" s="1251"/>
      <c r="BAV106" s="1251"/>
      <c r="BAW106" s="1251"/>
      <c r="BAX106" s="1251"/>
      <c r="BAY106" s="1251"/>
      <c r="BAZ106" s="1251"/>
      <c r="BBA106" s="1251"/>
      <c r="BBB106" s="1251"/>
      <c r="BBC106" s="1251"/>
      <c r="BBD106" s="1251"/>
      <c r="BBE106" s="1251"/>
      <c r="BBF106" s="1251"/>
      <c r="BBG106" s="1251"/>
      <c r="BBH106" s="1251"/>
      <c r="BBI106" s="1251"/>
      <c r="BBJ106" s="1251"/>
      <c r="BBK106" s="1251"/>
      <c r="BBL106" s="1251"/>
      <c r="BBM106" s="1251"/>
      <c r="BBN106" s="1251"/>
      <c r="BBO106" s="1251"/>
      <c r="BBP106" s="1251"/>
      <c r="BBQ106" s="1251"/>
      <c r="BBR106" s="1251"/>
      <c r="BBS106" s="1251"/>
      <c r="BBT106" s="1251"/>
      <c r="BBU106" s="1251"/>
      <c r="BBV106" s="1251"/>
      <c r="BBW106" s="1251"/>
      <c r="BBX106" s="1251"/>
      <c r="BBY106" s="1251"/>
      <c r="BBZ106" s="1251"/>
      <c r="BCA106" s="1251"/>
      <c r="BCB106" s="1251"/>
      <c r="BCC106" s="1251"/>
      <c r="BCD106" s="1251"/>
      <c r="BCE106" s="1251"/>
      <c r="BCF106" s="1251"/>
      <c r="BCG106" s="1251"/>
      <c r="BCH106" s="1251"/>
      <c r="BCI106" s="1251"/>
      <c r="BCJ106" s="1251"/>
      <c r="BCK106" s="1251"/>
      <c r="BCL106" s="1251"/>
      <c r="BCM106" s="1251"/>
      <c r="BCN106" s="1251"/>
      <c r="BCO106" s="1251"/>
      <c r="BCP106" s="1251"/>
      <c r="BCQ106" s="1251"/>
      <c r="BCR106" s="1251"/>
      <c r="BCS106" s="1251"/>
      <c r="BCT106" s="1251"/>
      <c r="BCU106" s="1251"/>
      <c r="BCV106" s="1251"/>
      <c r="BCW106" s="1251"/>
      <c r="BCX106" s="1251"/>
      <c r="BCY106" s="1251"/>
      <c r="BCZ106" s="1251"/>
      <c r="BDA106" s="1251"/>
      <c r="BDB106" s="1251"/>
      <c r="BDC106" s="1251"/>
      <c r="BDD106" s="1251"/>
      <c r="BDE106" s="1251"/>
      <c r="BDF106" s="1251"/>
      <c r="BDG106" s="1251"/>
      <c r="BDH106" s="1251"/>
      <c r="BDI106" s="1251"/>
      <c r="BDJ106" s="1251"/>
      <c r="BDK106" s="1251"/>
      <c r="BDL106" s="1251"/>
      <c r="BDM106" s="1251"/>
      <c r="BDN106" s="1251"/>
      <c r="BDO106" s="1251"/>
      <c r="BDP106" s="1251"/>
      <c r="BDQ106" s="1251"/>
      <c r="BDR106" s="1251"/>
      <c r="BDS106" s="1251"/>
      <c r="BDT106" s="1251"/>
      <c r="BDU106" s="1251"/>
      <c r="BDV106" s="1251"/>
      <c r="BDW106" s="1251"/>
      <c r="BDX106" s="1251"/>
      <c r="BDY106" s="1251"/>
      <c r="BDZ106" s="1251"/>
      <c r="BEA106" s="1251"/>
      <c r="BEB106" s="1251"/>
      <c r="BEC106" s="1251"/>
      <c r="BED106" s="1251"/>
      <c r="BEE106" s="1251"/>
      <c r="BEF106" s="1251"/>
      <c r="BEG106" s="1251"/>
      <c r="BEH106" s="1251"/>
      <c r="BEI106" s="1251"/>
      <c r="BEJ106" s="1251"/>
      <c r="BEK106" s="1251"/>
      <c r="BEL106" s="1251"/>
      <c r="BEM106" s="1251"/>
      <c r="BEN106" s="1251"/>
      <c r="BEO106" s="1251"/>
      <c r="BEP106" s="1251"/>
      <c r="BEQ106" s="1251"/>
      <c r="BER106" s="1251"/>
      <c r="BES106" s="1251"/>
      <c r="BET106" s="1251"/>
      <c r="BEU106" s="1251"/>
      <c r="BEV106" s="1251"/>
      <c r="BEW106" s="1251"/>
      <c r="BEX106" s="1251"/>
      <c r="BEY106" s="1251"/>
      <c r="BEZ106" s="1251"/>
      <c r="BFA106" s="1251"/>
      <c r="BFB106" s="1251"/>
      <c r="BFC106" s="1251"/>
      <c r="BFD106" s="1251"/>
      <c r="BFE106" s="1251"/>
      <c r="BFF106" s="1251"/>
      <c r="BFG106" s="1251"/>
      <c r="BFH106" s="1251"/>
      <c r="BFI106" s="1251"/>
      <c r="BFJ106" s="1251"/>
      <c r="BFK106" s="1251"/>
      <c r="BFL106" s="1251"/>
      <c r="BFM106" s="1251"/>
      <c r="BFN106" s="1251"/>
      <c r="BFO106" s="1251"/>
      <c r="BFP106" s="1251"/>
      <c r="BFQ106" s="1251"/>
      <c r="BFR106" s="1251"/>
      <c r="BFS106" s="1251"/>
      <c r="BFT106" s="1251"/>
      <c r="BFU106" s="1251"/>
      <c r="BFV106" s="1251"/>
      <c r="BFW106" s="1251"/>
      <c r="BFX106" s="1251"/>
      <c r="BFY106" s="1251"/>
      <c r="BFZ106" s="1251"/>
      <c r="BGA106" s="1251"/>
      <c r="BGB106" s="1251"/>
      <c r="BGC106" s="1251"/>
      <c r="BGD106" s="1251"/>
      <c r="BGE106" s="1251"/>
      <c r="BGF106" s="1251"/>
      <c r="BGG106" s="1251"/>
      <c r="BGH106" s="1251"/>
      <c r="BGI106" s="1251"/>
      <c r="BGJ106" s="1251"/>
      <c r="BGK106" s="1251"/>
      <c r="BGL106" s="1251"/>
      <c r="BGM106" s="1251"/>
      <c r="BGN106" s="1251"/>
      <c r="BGO106" s="1251"/>
      <c r="BGP106" s="1251"/>
      <c r="BGQ106" s="1251"/>
      <c r="BGR106" s="1251"/>
      <c r="BGS106" s="1251"/>
      <c r="BGT106" s="1251"/>
      <c r="BGU106" s="1251"/>
      <c r="BGV106" s="1251"/>
      <c r="BGW106" s="1251"/>
      <c r="BGX106" s="1251"/>
      <c r="BGY106" s="1251"/>
      <c r="BGZ106" s="1251"/>
      <c r="BHA106" s="1251"/>
      <c r="BHB106" s="1251"/>
      <c r="BHC106" s="1251"/>
      <c r="BHD106" s="1251"/>
      <c r="BHE106" s="1251"/>
      <c r="BHF106" s="1251"/>
      <c r="BHG106" s="1251"/>
      <c r="BHH106" s="1251"/>
      <c r="BHI106" s="1251"/>
      <c r="BHJ106" s="1251"/>
      <c r="BHK106" s="1251"/>
      <c r="BHL106" s="1251"/>
      <c r="BHM106" s="1251"/>
      <c r="BHN106" s="1251"/>
      <c r="BHO106" s="1251"/>
      <c r="BHP106" s="1251"/>
      <c r="BHQ106" s="1251"/>
      <c r="BHR106" s="1251"/>
      <c r="BHS106" s="1251"/>
      <c r="BHT106" s="1251"/>
      <c r="BHU106" s="1251"/>
      <c r="BHV106" s="1251"/>
      <c r="BHW106" s="1251"/>
      <c r="BHX106" s="1251"/>
      <c r="BHY106" s="1251"/>
      <c r="BHZ106" s="1251"/>
      <c r="BIA106" s="1251"/>
      <c r="BIB106" s="1251"/>
      <c r="BIC106" s="1251"/>
      <c r="BID106" s="1251"/>
      <c r="BIE106" s="1251"/>
      <c r="BIF106" s="1251"/>
      <c r="BIG106" s="1251"/>
      <c r="BIH106" s="1251"/>
      <c r="BII106" s="1251"/>
      <c r="BIJ106" s="1251"/>
      <c r="BIK106" s="1251"/>
      <c r="BIL106" s="1251"/>
      <c r="BIM106" s="1251"/>
      <c r="BIN106" s="1251"/>
      <c r="BIO106" s="1251"/>
      <c r="BIP106" s="1251"/>
      <c r="BIQ106" s="1251"/>
      <c r="BIR106" s="1251"/>
      <c r="BIS106" s="1251"/>
      <c r="BIT106" s="1251"/>
      <c r="BIU106" s="1251"/>
      <c r="BIV106" s="1251"/>
      <c r="BIW106" s="1251"/>
      <c r="BIX106" s="1251"/>
      <c r="BIY106" s="1251"/>
      <c r="BIZ106" s="1251"/>
      <c r="BJA106" s="1251"/>
      <c r="BJB106" s="1251"/>
      <c r="BJC106" s="1251"/>
      <c r="BJD106" s="1251"/>
      <c r="BJE106" s="1251"/>
      <c r="BJF106" s="1251"/>
      <c r="BJG106" s="1251"/>
      <c r="BJH106" s="1251"/>
      <c r="BJI106" s="1251"/>
      <c r="BJJ106" s="1251"/>
      <c r="BJK106" s="1251"/>
      <c r="BJL106" s="1251"/>
      <c r="BJM106" s="1251"/>
      <c r="BJN106" s="1251"/>
      <c r="BJO106" s="1251"/>
      <c r="BJP106" s="1251"/>
      <c r="BJQ106" s="1251"/>
      <c r="BJR106" s="1251"/>
      <c r="BJS106" s="1251"/>
      <c r="BJT106" s="1251"/>
      <c r="BJU106" s="1251"/>
      <c r="BJV106" s="1251"/>
      <c r="BJW106" s="1251"/>
      <c r="BJX106" s="1251"/>
      <c r="BJY106" s="1251"/>
      <c r="BJZ106" s="1251"/>
      <c r="BKA106" s="1251"/>
      <c r="BKB106" s="1251"/>
      <c r="BKC106" s="1251"/>
      <c r="BKD106" s="1251"/>
      <c r="BKE106" s="1251"/>
      <c r="BKF106" s="1251"/>
      <c r="BKG106" s="1251"/>
      <c r="BKH106" s="1251"/>
      <c r="BKI106" s="1251"/>
      <c r="BKJ106" s="1251"/>
      <c r="BKK106" s="1251"/>
      <c r="BKL106" s="1251"/>
      <c r="BKM106" s="1251"/>
      <c r="BKN106" s="1251"/>
      <c r="BKO106" s="1251"/>
      <c r="BKP106" s="1251"/>
      <c r="BKQ106" s="1251"/>
      <c r="BKR106" s="1251"/>
      <c r="BKS106" s="1251"/>
      <c r="BKT106" s="1251"/>
      <c r="BKU106" s="1251"/>
      <c r="BKV106" s="1251"/>
      <c r="BKW106" s="1251"/>
      <c r="BKX106" s="1251"/>
      <c r="BKY106" s="1251"/>
      <c r="BKZ106" s="1251"/>
      <c r="BLA106" s="1251"/>
      <c r="BLB106" s="1251"/>
      <c r="BLC106" s="1251"/>
      <c r="BLD106" s="1251"/>
      <c r="BLE106" s="1251"/>
      <c r="BLF106" s="1251"/>
      <c r="BLG106" s="1251"/>
      <c r="BLH106" s="1251"/>
      <c r="BLI106" s="1251"/>
      <c r="BLJ106" s="1251"/>
      <c r="BLK106" s="1251"/>
      <c r="BLL106" s="1251"/>
      <c r="BLM106" s="1251"/>
      <c r="BLN106" s="1251"/>
      <c r="BLO106" s="1251"/>
      <c r="BLP106" s="1251"/>
      <c r="BLQ106" s="1251"/>
      <c r="BLR106" s="1251"/>
      <c r="BLS106" s="1251"/>
      <c r="BLT106" s="1251"/>
      <c r="BLU106" s="1251"/>
      <c r="BLV106" s="1251"/>
      <c r="BLW106" s="1251"/>
      <c r="BLX106" s="1251"/>
      <c r="BLY106" s="1251"/>
      <c r="BLZ106" s="1251"/>
      <c r="BMA106" s="1251"/>
      <c r="BMB106" s="1251"/>
      <c r="BMC106" s="1251"/>
      <c r="BMD106" s="1251"/>
      <c r="BME106" s="1251"/>
      <c r="BMF106" s="1251"/>
      <c r="BMG106" s="1251"/>
      <c r="BMH106" s="1251"/>
      <c r="BMI106" s="1251"/>
      <c r="BMJ106" s="1251"/>
      <c r="BMK106" s="1251"/>
      <c r="BML106" s="1251"/>
      <c r="BMM106" s="1251"/>
      <c r="BMN106" s="1251"/>
      <c r="BMO106" s="1251"/>
      <c r="BMP106" s="1251"/>
      <c r="BMQ106" s="1251"/>
      <c r="BMR106" s="1251"/>
      <c r="BMS106" s="1251"/>
      <c r="BMT106" s="1251"/>
      <c r="BMU106" s="1251"/>
      <c r="BMV106" s="1251"/>
      <c r="BMW106" s="1251"/>
      <c r="BMX106" s="1251"/>
      <c r="BMY106" s="1251"/>
      <c r="BMZ106" s="1251"/>
      <c r="BNA106" s="1251"/>
      <c r="BNB106" s="1251"/>
      <c r="BNC106" s="1251"/>
      <c r="BND106" s="1251"/>
      <c r="BNE106" s="1251"/>
      <c r="BNF106" s="1251"/>
      <c r="BNG106" s="1251"/>
      <c r="BNH106" s="1251"/>
      <c r="BNI106" s="1251"/>
      <c r="BNJ106" s="1251"/>
      <c r="BNK106" s="1251"/>
      <c r="BNL106" s="1251"/>
      <c r="BNM106" s="1251"/>
      <c r="BNN106" s="1251"/>
      <c r="BNO106" s="1251"/>
      <c r="BNP106" s="1251"/>
      <c r="BNQ106" s="1251"/>
      <c r="BNR106" s="1251"/>
      <c r="BNS106" s="1251"/>
      <c r="BNT106" s="1251"/>
      <c r="BNU106" s="1251"/>
      <c r="BNV106" s="1251"/>
      <c r="BNW106" s="1251"/>
      <c r="BNX106" s="1251"/>
      <c r="BNY106" s="1251"/>
      <c r="BNZ106" s="1251"/>
      <c r="BOA106" s="1251"/>
      <c r="BOB106" s="1251"/>
      <c r="BOC106" s="1251"/>
      <c r="BOD106" s="1251"/>
      <c r="BOE106" s="1251"/>
      <c r="BOF106" s="1251"/>
      <c r="BOG106" s="1251"/>
      <c r="BOH106" s="1251"/>
      <c r="BOI106" s="1251"/>
      <c r="BOJ106" s="1251"/>
      <c r="BOK106" s="1251"/>
      <c r="BOL106" s="1251"/>
      <c r="BOM106" s="1251"/>
      <c r="BON106" s="1251"/>
      <c r="BOO106" s="1251"/>
      <c r="BOP106" s="1251"/>
      <c r="BOQ106" s="1251"/>
      <c r="BOR106" s="1251"/>
      <c r="BOS106" s="1251"/>
      <c r="BOT106" s="1251"/>
      <c r="BOU106" s="1251"/>
      <c r="BOV106" s="1251"/>
      <c r="BOW106" s="1251"/>
      <c r="BOX106" s="1251"/>
      <c r="BOY106" s="1251"/>
      <c r="BOZ106" s="1251"/>
      <c r="BPA106" s="1251"/>
      <c r="BPB106" s="1251"/>
      <c r="BPC106" s="1251"/>
      <c r="BPD106" s="1251"/>
      <c r="BPE106" s="1251"/>
      <c r="BPF106" s="1251"/>
      <c r="BPG106" s="1251"/>
      <c r="BPH106" s="1251"/>
      <c r="BPI106" s="1251"/>
      <c r="BPJ106" s="1251"/>
      <c r="BPK106" s="1251"/>
      <c r="BPL106" s="1251"/>
      <c r="BPM106" s="1251"/>
      <c r="BPN106" s="1251"/>
      <c r="BPO106" s="1251"/>
      <c r="BPP106" s="1251"/>
      <c r="BPQ106" s="1251"/>
      <c r="BPR106" s="1251"/>
      <c r="BPS106" s="1251"/>
      <c r="BPT106" s="1251"/>
      <c r="BPU106" s="1251"/>
      <c r="BPV106" s="1251"/>
      <c r="BPW106" s="1251"/>
      <c r="BPX106" s="1251"/>
      <c r="BPY106" s="1251"/>
      <c r="BPZ106" s="1251"/>
      <c r="BQA106" s="1251"/>
      <c r="BQB106" s="1251"/>
      <c r="BQC106" s="1251"/>
      <c r="BQD106" s="1251"/>
      <c r="BQE106" s="1251"/>
      <c r="BQF106" s="1251"/>
      <c r="BQG106" s="1251"/>
      <c r="BQH106" s="1251"/>
      <c r="BQI106" s="1251"/>
      <c r="BQJ106" s="1251"/>
      <c r="BQK106" s="1251"/>
      <c r="BQL106" s="1251"/>
      <c r="BQM106" s="1251"/>
      <c r="BQN106" s="1251"/>
      <c r="BQO106" s="1251"/>
      <c r="BQP106" s="1251"/>
      <c r="BQQ106" s="1251"/>
      <c r="BQR106" s="1251"/>
      <c r="BQS106" s="1251"/>
      <c r="BQT106" s="1251"/>
      <c r="BQU106" s="1251"/>
      <c r="BQV106" s="1251"/>
      <c r="BQW106" s="1251"/>
      <c r="BQX106" s="1251"/>
      <c r="BQY106" s="1251"/>
      <c r="BQZ106" s="1251"/>
      <c r="BRA106" s="1251"/>
      <c r="BRB106" s="1251"/>
      <c r="BRC106" s="1251"/>
      <c r="BRD106" s="1251"/>
      <c r="BRE106" s="1251"/>
      <c r="BRF106" s="1251"/>
      <c r="BRG106" s="1251"/>
      <c r="BRH106" s="1251"/>
      <c r="BRI106" s="1251"/>
      <c r="BRJ106" s="1251"/>
      <c r="BRK106" s="1251"/>
      <c r="BRL106" s="1251"/>
      <c r="BRM106" s="1251"/>
      <c r="BRN106" s="1251"/>
      <c r="BRO106" s="1251"/>
      <c r="BRP106" s="1251"/>
      <c r="BRQ106" s="1251"/>
      <c r="BRR106" s="1251"/>
      <c r="BRS106" s="1251"/>
      <c r="BRT106" s="1251"/>
      <c r="BRU106" s="1251"/>
      <c r="BRV106" s="1251"/>
      <c r="BRW106" s="1251"/>
      <c r="BRX106" s="1251"/>
      <c r="BRY106" s="1251"/>
      <c r="BRZ106" s="1251"/>
      <c r="BSA106" s="1251"/>
      <c r="BSB106" s="1251"/>
      <c r="BSC106" s="1251"/>
      <c r="BSD106" s="1251"/>
      <c r="BSE106" s="1251"/>
      <c r="BSF106" s="1251"/>
      <c r="BSG106" s="1251"/>
      <c r="BSH106" s="1251"/>
      <c r="BSI106" s="1251"/>
      <c r="BSJ106" s="1251"/>
      <c r="BSK106" s="1251"/>
      <c r="BSL106" s="1251"/>
      <c r="BSM106" s="1251"/>
      <c r="BSN106" s="1251"/>
      <c r="BSO106" s="1251"/>
      <c r="BSP106" s="1251"/>
      <c r="BSQ106" s="1251"/>
      <c r="BSR106" s="1251"/>
      <c r="BSS106" s="1251"/>
      <c r="BST106" s="1251"/>
      <c r="BSU106" s="1251"/>
      <c r="BSV106" s="1251"/>
      <c r="BSW106" s="1251"/>
      <c r="BSX106" s="1251"/>
      <c r="BSY106" s="1251"/>
      <c r="BSZ106" s="1251"/>
      <c r="BTA106" s="1251"/>
      <c r="BTB106" s="1251"/>
      <c r="BTC106" s="1251"/>
      <c r="BTD106" s="1251"/>
      <c r="BTE106" s="1251"/>
      <c r="BTF106" s="1251"/>
      <c r="BTG106" s="1251"/>
      <c r="BTH106" s="1251"/>
      <c r="BTI106" s="1251"/>
    </row>
    <row r="107" spans="1:1881" s="1261" customFormat="1" ht="129.75" hidden="1" customHeight="1" thickBot="1" x14ac:dyDescent="0.35">
      <c r="A107" s="1274">
        <v>571</v>
      </c>
      <c r="B107" s="1272" t="s">
        <v>567</v>
      </c>
      <c r="C107" s="1276" t="s">
        <v>1301</v>
      </c>
      <c r="D107" s="1276" t="s">
        <v>1302</v>
      </c>
      <c r="E107" s="1249" t="e">
        <f>HLOOKUP($D$2,'2020 Data(H)'!$C$1:$CZ$426,221,FALSE)</f>
        <v>#N/A</v>
      </c>
      <c r="F107" s="1263">
        <v>0</v>
      </c>
      <c r="G107" s="727"/>
      <c r="H107" s="17"/>
      <c r="I107" s="760"/>
      <c r="J107" s="1252"/>
      <c r="K107" s="1251"/>
      <c r="L107" s="701"/>
      <c r="M107" s="1251"/>
      <c r="N107" s="1253"/>
      <c r="O107" s="1251"/>
      <c r="P107" s="1251"/>
      <c r="Q107" s="1251"/>
      <c r="R107" s="1251"/>
      <c r="S107" s="1251"/>
      <c r="T107" s="1251"/>
      <c r="U107" s="1251"/>
      <c r="V107" s="1251"/>
      <c r="W107" s="1251"/>
      <c r="X107" s="1251"/>
      <c r="Y107" s="1251"/>
      <c r="Z107" s="1274"/>
      <c r="AA107" s="1274"/>
      <c r="AB107" s="1274"/>
      <c r="AC107" s="1274"/>
      <c r="AD107" s="1274"/>
      <c r="AE107" s="1274"/>
      <c r="AF107" s="1274"/>
      <c r="AG107" s="1274"/>
      <c r="AH107" s="1274"/>
      <c r="AI107" s="1274"/>
      <c r="AJ107" s="1274"/>
      <c r="AK107" s="1274"/>
      <c r="AL107" s="1274"/>
      <c r="AM107" s="1274"/>
      <c r="AN107" s="1274"/>
      <c r="AO107" s="1274"/>
      <c r="AP107" s="1274"/>
      <c r="AQ107" s="1274"/>
      <c r="AR107" s="1274"/>
      <c r="AS107" s="1251"/>
      <c r="AT107" s="1251"/>
      <c r="AU107" s="1251"/>
      <c r="AV107" s="1251"/>
      <c r="AW107" s="1251"/>
      <c r="AX107" s="1251"/>
      <c r="AY107" s="1251"/>
      <c r="AZ107" s="1251"/>
      <c r="BA107" s="1251"/>
      <c r="BB107" s="1251"/>
      <c r="BC107" s="1251"/>
      <c r="BD107" s="1251"/>
      <c r="BE107" s="1251"/>
      <c r="BF107" s="1251"/>
      <c r="BG107" s="1251"/>
      <c r="BH107" s="1251"/>
      <c r="BI107" s="1251"/>
      <c r="BJ107" s="1251"/>
      <c r="BK107" s="1251"/>
      <c r="BL107" s="1251"/>
      <c r="BM107" s="1251"/>
      <c r="BN107" s="1251"/>
      <c r="BO107" s="1251"/>
      <c r="BP107" s="1251"/>
      <c r="BQ107" s="1251"/>
      <c r="BR107" s="1251"/>
      <c r="BS107" s="1251"/>
      <c r="BT107" s="1251"/>
      <c r="BU107" s="1251"/>
      <c r="BV107" s="1251"/>
      <c r="BW107" s="1251"/>
      <c r="BX107" s="1251"/>
      <c r="BY107" s="1251"/>
      <c r="BZ107" s="1251"/>
      <c r="CA107" s="1251"/>
      <c r="CB107" s="1251"/>
      <c r="CC107" s="1251"/>
      <c r="CD107" s="1251"/>
      <c r="CE107" s="1251"/>
      <c r="CF107" s="1251"/>
      <c r="CG107" s="1251"/>
      <c r="CH107" s="1251"/>
      <c r="CI107" s="1251"/>
      <c r="CJ107" s="1251"/>
      <c r="CK107" s="1251"/>
      <c r="CL107" s="1251"/>
      <c r="CM107" s="1251"/>
      <c r="CN107" s="1251"/>
      <c r="CO107" s="1251"/>
      <c r="CP107" s="1251"/>
      <c r="CQ107" s="1251"/>
      <c r="CR107" s="1251"/>
      <c r="CS107" s="1251"/>
      <c r="CT107" s="1251"/>
      <c r="CU107" s="1251"/>
      <c r="CV107" s="1251"/>
      <c r="CW107" s="1251"/>
      <c r="CX107" s="1251"/>
      <c r="CY107" s="1251"/>
      <c r="CZ107" s="1251"/>
      <c r="DA107" s="1251"/>
      <c r="DB107" s="1251"/>
      <c r="DC107" s="1251"/>
      <c r="DD107" s="1251"/>
      <c r="DE107" s="1251"/>
      <c r="DF107" s="1251"/>
      <c r="DG107" s="1251"/>
      <c r="DH107" s="1251"/>
      <c r="DI107" s="1251"/>
      <c r="DJ107" s="1251"/>
      <c r="DK107" s="1251"/>
      <c r="DL107" s="1251"/>
      <c r="DM107" s="1251"/>
      <c r="DN107" s="1251"/>
      <c r="DO107" s="1251"/>
      <c r="DP107" s="1251"/>
      <c r="DQ107" s="1251"/>
      <c r="DR107" s="1251"/>
      <c r="DS107" s="1251"/>
      <c r="DT107" s="1251"/>
      <c r="DU107" s="1251"/>
      <c r="DV107" s="1251"/>
      <c r="DW107" s="1251"/>
      <c r="DX107" s="1251"/>
      <c r="DY107" s="1251"/>
      <c r="DZ107" s="1251"/>
      <c r="EA107" s="1251"/>
      <c r="EB107" s="1251"/>
      <c r="EC107" s="1251"/>
      <c r="ED107" s="1251"/>
      <c r="EE107" s="1251"/>
      <c r="EF107" s="1251"/>
      <c r="EG107" s="1251"/>
      <c r="EH107" s="1251"/>
      <c r="EI107" s="1251"/>
      <c r="EJ107" s="1251"/>
      <c r="EK107" s="1251"/>
      <c r="EL107" s="1251"/>
      <c r="EM107" s="1251"/>
      <c r="EN107" s="1251"/>
      <c r="EO107" s="1251"/>
      <c r="EP107" s="1251"/>
      <c r="EQ107" s="1251"/>
      <c r="ER107" s="1251"/>
      <c r="ES107" s="1251"/>
      <c r="ET107" s="1251"/>
      <c r="EU107" s="1251"/>
      <c r="EV107" s="1251"/>
      <c r="EW107" s="1251"/>
      <c r="EX107" s="1251"/>
      <c r="EY107" s="1251"/>
      <c r="EZ107" s="1251"/>
      <c r="FA107" s="1251"/>
      <c r="FB107" s="1251"/>
      <c r="FC107" s="1251"/>
      <c r="FD107" s="1251"/>
      <c r="FE107" s="1251"/>
      <c r="FF107" s="1251"/>
      <c r="FG107" s="1251"/>
      <c r="FH107" s="1251"/>
      <c r="FI107" s="1251"/>
      <c r="FJ107" s="1251"/>
      <c r="FK107" s="1251"/>
      <c r="FL107" s="1251"/>
      <c r="FM107" s="1251"/>
      <c r="FN107" s="1251"/>
      <c r="FO107" s="1251"/>
      <c r="FP107" s="1251"/>
      <c r="FQ107" s="1251"/>
      <c r="FR107" s="1251"/>
      <c r="FS107" s="1251"/>
      <c r="FT107" s="1251"/>
      <c r="FU107" s="1251"/>
      <c r="FV107" s="1251"/>
      <c r="FW107" s="1251"/>
      <c r="FX107" s="1251"/>
      <c r="FY107" s="1251"/>
      <c r="FZ107" s="1251"/>
      <c r="GA107" s="1251"/>
      <c r="GB107" s="1251"/>
      <c r="GC107" s="1251"/>
      <c r="GD107" s="1251"/>
      <c r="GE107" s="1251"/>
      <c r="GF107" s="1251"/>
      <c r="GG107" s="1251"/>
      <c r="GH107" s="1251"/>
      <c r="GI107" s="1251"/>
      <c r="GJ107" s="1251"/>
      <c r="GK107" s="1251"/>
      <c r="GL107" s="1251"/>
      <c r="GM107" s="1251"/>
      <c r="GN107" s="1251"/>
      <c r="GO107" s="1251"/>
      <c r="GP107" s="1251"/>
      <c r="GQ107" s="1251"/>
      <c r="GR107" s="1251"/>
      <c r="GS107" s="1251"/>
      <c r="GT107" s="1251"/>
      <c r="GU107" s="1251"/>
      <c r="GV107" s="1251"/>
      <c r="GW107" s="1251"/>
      <c r="GX107" s="1251"/>
      <c r="GY107" s="1251"/>
      <c r="GZ107" s="1251"/>
      <c r="HA107" s="1251"/>
      <c r="HB107" s="1251"/>
      <c r="HC107" s="1251"/>
      <c r="HD107" s="1251"/>
      <c r="HE107" s="1251"/>
      <c r="HF107" s="1251"/>
      <c r="HG107" s="1251"/>
      <c r="HH107" s="1251"/>
      <c r="HI107" s="1251"/>
      <c r="HJ107" s="1251"/>
      <c r="HK107" s="1251"/>
      <c r="HL107" s="1251"/>
      <c r="HM107" s="1251"/>
      <c r="HN107" s="1251"/>
      <c r="HO107" s="1251"/>
      <c r="HP107" s="1251"/>
      <c r="HQ107" s="1251"/>
      <c r="HR107" s="1251"/>
      <c r="HS107" s="1251"/>
      <c r="HT107" s="1251"/>
      <c r="HU107" s="1251"/>
      <c r="HV107" s="1251"/>
      <c r="HW107" s="1251"/>
      <c r="HX107" s="1251"/>
      <c r="HY107" s="1251"/>
      <c r="HZ107" s="1251"/>
      <c r="IA107" s="1251"/>
      <c r="IB107" s="1251"/>
      <c r="IC107" s="1251"/>
      <c r="ID107" s="1251"/>
      <c r="IE107" s="1251"/>
      <c r="IF107" s="1251"/>
      <c r="IG107" s="1251"/>
      <c r="IH107" s="1251"/>
      <c r="II107" s="1251"/>
      <c r="IJ107" s="1251"/>
      <c r="IK107" s="1251"/>
      <c r="IL107" s="1251"/>
      <c r="IM107" s="1251"/>
      <c r="IN107" s="1251"/>
      <c r="IO107" s="1251"/>
      <c r="IP107" s="1251"/>
      <c r="IQ107" s="1251"/>
      <c r="IR107" s="1251"/>
      <c r="IS107" s="1251"/>
      <c r="IT107" s="1251"/>
      <c r="IU107" s="1251"/>
      <c r="IV107" s="1251"/>
      <c r="IW107" s="1251"/>
      <c r="IX107" s="1251"/>
      <c r="IY107" s="1251"/>
      <c r="IZ107" s="1251"/>
      <c r="JA107" s="1251"/>
      <c r="JB107" s="1251"/>
      <c r="JC107" s="1251"/>
      <c r="JD107" s="1251"/>
      <c r="JE107" s="1251"/>
      <c r="JF107" s="1251"/>
      <c r="JG107" s="1251"/>
      <c r="JH107" s="1251"/>
      <c r="JI107" s="1251"/>
      <c r="JJ107" s="1251"/>
      <c r="JK107" s="1251"/>
      <c r="JL107" s="1251"/>
      <c r="JM107" s="1251"/>
      <c r="JN107" s="1251"/>
      <c r="JO107" s="1251"/>
      <c r="JP107" s="1251"/>
      <c r="JQ107" s="1251"/>
      <c r="JR107" s="1251"/>
      <c r="JS107" s="1251"/>
      <c r="JT107" s="1251"/>
      <c r="JU107" s="1251"/>
      <c r="JV107" s="1251"/>
      <c r="JW107" s="1251"/>
      <c r="JX107" s="1251"/>
      <c r="JY107" s="1251"/>
      <c r="JZ107" s="1251"/>
      <c r="KA107" s="1251"/>
      <c r="KB107" s="1251"/>
      <c r="KC107" s="1251"/>
      <c r="KD107" s="1251"/>
      <c r="KE107" s="1251"/>
      <c r="KF107" s="1251"/>
      <c r="KG107" s="1251"/>
      <c r="KH107" s="1251"/>
      <c r="KI107" s="1251"/>
      <c r="KJ107" s="1251"/>
      <c r="KK107" s="1251"/>
      <c r="KL107" s="1251"/>
      <c r="KM107" s="1251"/>
      <c r="KN107" s="1251"/>
      <c r="KO107" s="1251"/>
      <c r="KP107" s="1251"/>
      <c r="KQ107" s="1251"/>
      <c r="KR107" s="1251"/>
      <c r="KS107" s="1251"/>
      <c r="KT107" s="1251"/>
      <c r="KU107" s="1251"/>
      <c r="KV107" s="1251"/>
      <c r="KW107" s="1251"/>
      <c r="KX107" s="1251"/>
      <c r="KY107" s="1251"/>
      <c r="KZ107" s="1251"/>
      <c r="LA107" s="1251"/>
      <c r="LB107" s="1251"/>
      <c r="LC107" s="1251"/>
      <c r="LD107" s="1251"/>
      <c r="LE107" s="1251"/>
      <c r="LF107" s="1251"/>
      <c r="LG107" s="1251"/>
      <c r="LH107" s="1251"/>
      <c r="LI107" s="1251"/>
      <c r="LJ107" s="1251"/>
      <c r="LK107" s="1251"/>
      <c r="LL107" s="1251"/>
      <c r="LM107" s="1251"/>
      <c r="LN107" s="1251"/>
      <c r="LO107" s="1251"/>
      <c r="LP107" s="1251"/>
      <c r="LQ107" s="1251"/>
      <c r="LR107" s="1251"/>
      <c r="LS107" s="1251"/>
      <c r="LT107" s="1251"/>
      <c r="LU107" s="1251"/>
      <c r="LV107" s="1251"/>
      <c r="LW107" s="1251"/>
      <c r="LX107" s="1251"/>
      <c r="LY107" s="1251"/>
      <c r="LZ107" s="1251"/>
      <c r="MA107" s="1251"/>
      <c r="MB107" s="1251"/>
      <c r="MC107" s="1251"/>
      <c r="MD107" s="1251"/>
      <c r="ME107" s="1251"/>
      <c r="MF107" s="1251"/>
      <c r="MG107" s="1251"/>
      <c r="MH107" s="1251"/>
      <c r="MI107" s="1251"/>
      <c r="MJ107" s="1251"/>
      <c r="MK107" s="1251"/>
      <c r="ML107" s="1251"/>
      <c r="MM107" s="1251"/>
      <c r="MN107" s="1251"/>
      <c r="MO107" s="1251"/>
      <c r="MP107" s="1251"/>
      <c r="MQ107" s="1251"/>
      <c r="MR107" s="1251"/>
      <c r="MS107" s="1251"/>
      <c r="MT107" s="1251"/>
      <c r="MU107" s="1251"/>
      <c r="MV107" s="1251"/>
      <c r="MW107" s="1251"/>
      <c r="MX107" s="1251"/>
      <c r="MY107" s="1251"/>
      <c r="MZ107" s="1251"/>
      <c r="NA107" s="1251"/>
      <c r="NB107" s="1251"/>
      <c r="NC107" s="1251"/>
      <c r="ND107" s="1251"/>
      <c r="NE107" s="1251"/>
      <c r="NF107" s="1251"/>
      <c r="NG107" s="1251"/>
      <c r="NH107" s="1251"/>
      <c r="NI107" s="1251"/>
      <c r="NJ107" s="1251"/>
      <c r="NK107" s="1251"/>
      <c r="NL107" s="1251"/>
      <c r="NM107" s="1251"/>
      <c r="NN107" s="1251"/>
      <c r="NO107" s="1251"/>
      <c r="NP107" s="1251"/>
      <c r="NQ107" s="1251"/>
      <c r="NR107" s="1251"/>
      <c r="NS107" s="1251"/>
      <c r="NT107" s="1251"/>
      <c r="NU107" s="1251"/>
      <c r="NV107" s="1251"/>
      <c r="NW107" s="1251"/>
      <c r="NX107" s="1251"/>
      <c r="NY107" s="1251"/>
      <c r="NZ107" s="1251"/>
      <c r="OA107" s="1251"/>
      <c r="OB107" s="1251"/>
      <c r="OC107" s="1251"/>
      <c r="OD107" s="1251"/>
      <c r="OE107" s="1251"/>
      <c r="OF107" s="1251"/>
      <c r="OG107" s="1251"/>
      <c r="OH107" s="1251"/>
      <c r="OI107" s="1251"/>
      <c r="OJ107" s="1251"/>
      <c r="OK107" s="1251"/>
      <c r="OL107" s="1251"/>
      <c r="OM107" s="1251"/>
      <c r="ON107" s="1251"/>
      <c r="OO107" s="1251"/>
      <c r="OP107" s="1251"/>
      <c r="OQ107" s="1251"/>
      <c r="OR107" s="1251"/>
      <c r="OS107" s="1251"/>
      <c r="OT107" s="1251"/>
      <c r="OU107" s="1251"/>
      <c r="OV107" s="1251"/>
      <c r="OW107" s="1251"/>
      <c r="OX107" s="1251"/>
      <c r="OY107" s="1251"/>
      <c r="OZ107" s="1251"/>
      <c r="PA107" s="1251"/>
      <c r="PB107" s="1251"/>
      <c r="PC107" s="1251"/>
      <c r="PD107" s="1251"/>
      <c r="PE107" s="1251"/>
      <c r="PF107" s="1251"/>
      <c r="PG107" s="1251"/>
      <c r="PH107" s="1251"/>
      <c r="PI107" s="1251"/>
      <c r="PJ107" s="1251"/>
      <c r="PK107" s="1251"/>
      <c r="PL107" s="1251"/>
      <c r="PM107" s="1251"/>
      <c r="PN107" s="1251"/>
      <c r="PO107" s="1251"/>
      <c r="PP107" s="1251"/>
      <c r="PQ107" s="1251"/>
      <c r="PR107" s="1251"/>
      <c r="PS107" s="1251"/>
      <c r="PT107" s="1251"/>
      <c r="PU107" s="1251"/>
      <c r="PV107" s="1251"/>
      <c r="PW107" s="1251"/>
      <c r="PX107" s="1251"/>
      <c r="PY107" s="1251"/>
      <c r="PZ107" s="1251"/>
      <c r="QA107" s="1251"/>
      <c r="QB107" s="1251"/>
      <c r="QC107" s="1251"/>
      <c r="QD107" s="1251"/>
      <c r="QE107" s="1251"/>
      <c r="QF107" s="1251"/>
      <c r="QG107" s="1251"/>
      <c r="QH107" s="1251"/>
      <c r="QI107" s="1251"/>
      <c r="QJ107" s="1251"/>
      <c r="QK107" s="1251"/>
      <c r="QL107" s="1251"/>
      <c r="QM107" s="1251"/>
      <c r="QN107" s="1251"/>
      <c r="QO107" s="1251"/>
      <c r="QP107" s="1251"/>
      <c r="QQ107" s="1251"/>
      <c r="QR107" s="1251"/>
      <c r="QS107" s="1251"/>
      <c r="QT107" s="1251"/>
      <c r="QU107" s="1251"/>
      <c r="QV107" s="1251"/>
      <c r="QW107" s="1251"/>
      <c r="QX107" s="1251"/>
      <c r="QY107" s="1251"/>
      <c r="QZ107" s="1251"/>
      <c r="RA107" s="1251"/>
      <c r="RB107" s="1251"/>
      <c r="RC107" s="1251"/>
      <c r="RD107" s="1251"/>
      <c r="RE107" s="1251"/>
      <c r="RF107" s="1251"/>
      <c r="RG107" s="1251"/>
      <c r="RH107" s="1251"/>
      <c r="RI107" s="1251"/>
      <c r="RJ107" s="1251"/>
      <c r="RK107" s="1251"/>
      <c r="RL107" s="1251"/>
      <c r="RM107" s="1251"/>
      <c r="RN107" s="1251"/>
      <c r="RO107" s="1251"/>
      <c r="RP107" s="1251"/>
      <c r="RQ107" s="1251"/>
      <c r="RR107" s="1251"/>
      <c r="RS107" s="1251"/>
      <c r="RT107" s="1251"/>
      <c r="RU107" s="1251"/>
      <c r="RV107" s="1251"/>
      <c r="RW107" s="1251"/>
      <c r="RX107" s="1251"/>
      <c r="RY107" s="1251"/>
      <c r="RZ107" s="1251"/>
      <c r="SA107" s="1251"/>
      <c r="SB107" s="1251"/>
      <c r="SC107" s="1251"/>
      <c r="SD107" s="1251"/>
      <c r="SE107" s="1251"/>
      <c r="SF107" s="1251"/>
      <c r="SG107" s="1251"/>
      <c r="SH107" s="1251"/>
      <c r="SI107" s="1251"/>
      <c r="SJ107" s="1251"/>
      <c r="SK107" s="1251"/>
      <c r="SL107" s="1251"/>
      <c r="SM107" s="1251"/>
      <c r="SN107" s="1251"/>
      <c r="SO107" s="1251"/>
      <c r="SP107" s="1251"/>
      <c r="SQ107" s="1251"/>
      <c r="SR107" s="1251"/>
      <c r="SS107" s="1251"/>
      <c r="ST107" s="1251"/>
      <c r="SU107" s="1251"/>
      <c r="SV107" s="1251"/>
      <c r="SW107" s="1251"/>
      <c r="SX107" s="1251"/>
      <c r="SY107" s="1251"/>
      <c r="SZ107" s="1251"/>
      <c r="TA107" s="1251"/>
      <c r="TB107" s="1251"/>
      <c r="TC107" s="1251"/>
      <c r="TD107" s="1251"/>
      <c r="TE107" s="1251"/>
      <c r="TF107" s="1251"/>
      <c r="TG107" s="1251"/>
      <c r="TH107" s="1251"/>
      <c r="TI107" s="1251"/>
      <c r="TJ107" s="1251"/>
      <c r="TK107" s="1251"/>
      <c r="TL107" s="1251"/>
      <c r="TM107" s="1251"/>
      <c r="TN107" s="1251"/>
      <c r="TO107" s="1251"/>
      <c r="TP107" s="1251"/>
      <c r="TQ107" s="1251"/>
      <c r="TR107" s="1251"/>
      <c r="TS107" s="1251"/>
      <c r="TT107" s="1251"/>
      <c r="TU107" s="1251"/>
      <c r="TV107" s="1251"/>
      <c r="TW107" s="1251"/>
      <c r="TX107" s="1251"/>
      <c r="TY107" s="1251"/>
      <c r="TZ107" s="1251"/>
      <c r="UA107" s="1251"/>
      <c r="UB107" s="1251"/>
      <c r="UC107" s="1251"/>
      <c r="UD107" s="1251"/>
      <c r="UE107" s="1251"/>
      <c r="UF107" s="1251"/>
      <c r="UG107" s="1251"/>
      <c r="UH107" s="1251"/>
      <c r="UI107" s="1251"/>
      <c r="UJ107" s="1251"/>
      <c r="UK107" s="1251"/>
      <c r="UL107" s="1251"/>
      <c r="UM107" s="1251"/>
      <c r="UN107" s="1251"/>
      <c r="UO107" s="1251"/>
      <c r="UP107" s="1251"/>
      <c r="UQ107" s="1251"/>
      <c r="UR107" s="1251"/>
      <c r="US107" s="1251"/>
      <c r="UT107" s="1251"/>
      <c r="UU107" s="1251"/>
      <c r="UV107" s="1251"/>
      <c r="UW107" s="1251"/>
      <c r="UX107" s="1251"/>
      <c r="UY107" s="1251"/>
      <c r="UZ107" s="1251"/>
      <c r="VA107" s="1251"/>
      <c r="VB107" s="1251"/>
      <c r="VC107" s="1251"/>
      <c r="VD107" s="1251"/>
      <c r="VE107" s="1251"/>
      <c r="VF107" s="1251"/>
      <c r="VG107" s="1251"/>
      <c r="VH107" s="1251"/>
      <c r="VI107" s="1251"/>
      <c r="VJ107" s="1251"/>
      <c r="VK107" s="1251"/>
      <c r="VL107" s="1251"/>
      <c r="VM107" s="1251"/>
      <c r="VN107" s="1251"/>
      <c r="VO107" s="1251"/>
      <c r="VP107" s="1251"/>
      <c r="VQ107" s="1251"/>
      <c r="VR107" s="1251"/>
      <c r="VS107" s="1251"/>
      <c r="VT107" s="1251"/>
      <c r="VU107" s="1251"/>
      <c r="VV107" s="1251"/>
      <c r="VW107" s="1251"/>
      <c r="VX107" s="1251"/>
      <c r="VY107" s="1251"/>
      <c r="VZ107" s="1251"/>
      <c r="WA107" s="1251"/>
      <c r="WB107" s="1251"/>
      <c r="WC107" s="1251"/>
      <c r="WD107" s="1251"/>
      <c r="WE107" s="1251"/>
      <c r="WF107" s="1251"/>
      <c r="WG107" s="1251"/>
      <c r="WH107" s="1251"/>
      <c r="WI107" s="1251"/>
      <c r="WJ107" s="1251"/>
      <c r="WK107" s="1251"/>
      <c r="WL107" s="1251"/>
      <c r="WM107" s="1251"/>
      <c r="WN107" s="1251"/>
      <c r="WO107" s="1251"/>
      <c r="WP107" s="1251"/>
      <c r="WQ107" s="1251"/>
      <c r="WR107" s="1251"/>
      <c r="WS107" s="1251"/>
      <c r="WT107" s="1251"/>
      <c r="WU107" s="1251"/>
      <c r="WV107" s="1251"/>
      <c r="WW107" s="1251"/>
      <c r="WX107" s="1251"/>
      <c r="WY107" s="1251"/>
      <c r="WZ107" s="1251"/>
      <c r="XA107" s="1251"/>
      <c r="XB107" s="1251"/>
      <c r="XC107" s="1251"/>
      <c r="XD107" s="1251"/>
      <c r="XE107" s="1251"/>
      <c r="XF107" s="1251"/>
      <c r="XG107" s="1251"/>
      <c r="XH107" s="1251"/>
      <c r="XI107" s="1251"/>
      <c r="XJ107" s="1251"/>
      <c r="XK107" s="1251"/>
      <c r="XL107" s="1251"/>
      <c r="XM107" s="1251"/>
      <c r="XN107" s="1251"/>
      <c r="XO107" s="1251"/>
      <c r="XP107" s="1251"/>
      <c r="XQ107" s="1251"/>
      <c r="XR107" s="1251"/>
      <c r="XS107" s="1251"/>
      <c r="XT107" s="1251"/>
      <c r="XU107" s="1251"/>
      <c r="XV107" s="1251"/>
      <c r="XW107" s="1251"/>
      <c r="XX107" s="1251"/>
      <c r="XY107" s="1251"/>
      <c r="XZ107" s="1251"/>
      <c r="YA107" s="1251"/>
      <c r="YB107" s="1251"/>
      <c r="YC107" s="1251"/>
      <c r="YD107" s="1251"/>
      <c r="YE107" s="1251"/>
      <c r="YF107" s="1251"/>
      <c r="YG107" s="1251"/>
      <c r="YH107" s="1251"/>
      <c r="YI107" s="1251"/>
      <c r="YJ107" s="1251"/>
      <c r="YK107" s="1251"/>
      <c r="YL107" s="1251"/>
      <c r="YM107" s="1251"/>
      <c r="YN107" s="1251"/>
      <c r="YO107" s="1251"/>
      <c r="YP107" s="1251"/>
      <c r="YQ107" s="1251"/>
      <c r="YR107" s="1251"/>
      <c r="YS107" s="1251"/>
      <c r="YT107" s="1251"/>
      <c r="YU107" s="1251"/>
      <c r="YV107" s="1251"/>
      <c r="YW107" s="1251"/>
      <c r="YX107" s="1251"/>
      <c r="YY107" s="1251"/>
      <c r="YZ107" s="1251"/>
      <c r="ZA107" s="1251"/>
      <c r="ZB107" s="1251"/>
      <c r="ZC107" s="1251"/>
      <c r="ZD107" s="1251"/>
      <c r="ZE107" s="1251"/>
      <c r="ZF107" s="1251"/>
      <c r="ZG107" s="1251"/>
      <c r="ZH107" s="1251"/>
      <c r="ZI107" s="1251"/>
      <c r="ZJ107" s="1251"/>
      <c r="ZK107" s="1251"/>
      <c r="ZL107" s="1251"/>
      <c r="ZM107" s="1251"/>
      <c r="ZN107" s="1251"/>
      <c r="ZO107" s="1251"/>
      <c r="ZP107" s="1251"/>
      <c r="ZQ107" s="1251"/>
      <c r="ZR107" s="1251"/>
      <c r="ZS107" s="1251"/>
      <c r="ZT107" s="1251"/>
      <c r="ZU107" s="1251"/>
      <c r="ZV107" s="1251"/>
      <c r="ZW107" s="1251"/>
      <c r="ZX107" s="1251"/>
      <c r="ZY107" s="1251"/>
      <c r="ZZ107" s="1251"/>
      <c r="AAA107" s="1251"/>
      <c r="AAB107" s="1251"/>
      <c r="AAC107" s="1251"/>
      <c r="AAD107" s="1251"/>
      <c r="AAE107" s="1251"/>
      <c r="AAF107" s="1251"/>
      <c r="AAG107" s="1251"/>
      <c r="AAH107" s="1251"/>
      <c r="AAI107" s="1251"/>
      <c r="AAJ107" s="1251"/>
      <c r="AAK107" s="1251"/>
      <c r="AAL107" s="1251"/>
      <c r="AAM107" s="1251"/>
      <c r="AAN107" s="1251"/>
      <c r="AAO107" s="1251"/>
      <c r="AAP107" s="1251"/>
      <c r="AAQ107" s="1251"/>
      <c r="AAR107" s="1251"/>
      <c r="AAS107" s="1251"/>
      <c r="AAT107" s="1251"/>
      <c r="AAU107" s="1251"/>
      <c r="AAV107" s="1251"/>
      <c r="AAW107" s="1251"/>
      <c r="AAX107" s="1251"/>
      <c r="AAY107" s="1251"/>
      <c r="AAZ107" s="1251"/>
      <c r="ABA107" s="1251"/>
      <c r="ABB107" s="1251"/>
      <c r="ABC107" s="1251"/>
      <c r="ABD107" s="1251"/>
      <c r="ABE107" s="1251"/>
      <c r="ABF107" s="1251"/>
      <c r="ABG107" s="1251"/>
      <c r="ABH107" s="1251"/>
      <c r="ABI107" s="1251"/>
      <c r="ABJ107" s="1251"/>
      <c r="ABK107" s="1251"/>
      <c r="ABL107" s="1251"/>
      <c r="ABM107" s="1251"/>
      <c r="ABN107" s="1251"/>
      <c r="ABO107" s="1251"/>
      <c r="ABP107" s="1251"/>
      <c r="ABQ107" s="1251"/>
      <c r="ABR107" s="1251"/>
      <c r="ABS107" s="1251"/>
      <c r="ABT107" s="1251"/>
      <c r="ABU107" s="1251"/>
      <c r="ABV107" s="1251"/>
      <c r="ABW107" s="1251"/>
      <c r="ABX107" s="1251"/>
      <c r="ABY107" s="1251"/>
      <c r="ABZ107" s="1251"/>
      <c r="ACA107" s="1251"/>
      <c r="ACB107" s="1251"/>
      <c r="ACC107" s="1251"/>
      <c r="ACD107" s="1251"/>
      <c r="ACE107" s="1251"/>
      <c r="ACF107" s="1251"/>
      <c r="ACG107" s="1251"/>
      <c r="ACH107" s="1251"/>
      <c r="ACI107" s="1251"/>
      <c r="ACJ107" s="1251"/>
      <c r="ACK107" s="1251"/>
      <c r="ACL107" s="1251"/>
      <c r="ACM107" s="1251"/>
      <c r="ACN107" s="1251"/>
      <c r="ACO107" s="1251"/>
      <c r="ACP107" s="1251"/>
      <c r="ACQ107" s="1251"/>
      <c r="ACR107" s="1251"/>
      <c r="ACS107" s="1251"/>
      <c r="ACT107" s="1251"/>
      <c r="ACU107" s="1251"/>
      <c r="ACV107" s="1251"/>
      <c r="ACW107" s="1251"/>
      <c r="ACX107" s="1251"/>
      <c r="ACY107" s="1251"/>
      <c r="ACZ107" s="1251"/>
      <c r="ADA107" s="1251"/>
      <c r="ADB107" s="1251"/>
      <c r="ADC107" s="1251"/>
      <c r="ADD107" s="1251"/>
      <c r="ADE107" s="1251"/>
      <c r="ADF107" s="1251"/>
      <c r="ADG107" s="1251"/>
      <c r="ADH107" s="1251"/>
      <c r="ADI107" s="1251"/>
      <c r="ADJ107" s="1251"/>
      <c r="ADK107" s="1251"/>
      <c r="ADL107" s="1251"/>
      <c r="ADM107" s="1251"/>
      <c r="ADN107" s="1251"/>
      <c r="ADO107" s="1251"/>
      <c r="ADP107" s="1251"/>
      <c r="ADQ107" s="1251"/>
      <c r="ADR107" s="1251"/>
      <c r="ADS107" s="1251"/>
      <c r="ADT107" s="1251"/>
      <c r="ADU107" s="1251"/>
      <c r="ADV107" s="1251"/>
      <c r="ADW107" s="1251"/>
      <c r="ADX107" s="1251"/>
      <c r="ADY107" s="1251"/>
      <c r="ADZ107" s="1251"/>
      <c r="AEA107" s="1251"/>
      <c r="AEB107" s="1251"/>
      <c r="AEC107" s="1251"/>
      <c r="AED107" s="1251"/>
      <c r="AEE107" s="1251"/>
      <c r="AEF107" s="1251"/>
      <c r="AEG107" s="1251"/>
      <c r="AEH107" s="1251"/>
      <c r="AEI107" s="1251"/>
      <c r="AEJ107" s="1251"/>
      <c r="AEK107" s="1251"/>
      <c r="AEL107" s="1251"/>
      <c r="AEM107" s="1251"/>
      <c r="AEN107" s="1251"/>
      <c r="AEO107" s="1251"/>
      <c r="AEP107" s="1251"/>
      <c r="AEQ107" s="1251"/>
      <c r="AER107" s="1251"/>
      <c r="AES107" s="1251"/>
      <c r="AET107" s="1251"/>
      <c r="AEU107" s="1251"/>
      <c r="AEV107" s="1251"/>
      <c r="AEW107" s="1251"/>
      <c r="AEX107" s="1251"/>
      <c r="AEY107" s="1251"/>
      <c r="AEZ107" s="1251"/>
      <c r="AFA107" s="1251"/>
      <c r="AFB107" s="1251"/>
      <c r="AFC107" s="1251"/>
      <c r="AFD107" s="1251"/>
      <c r="AFE107" s="1251"/>
      <c r="AFF107" s="1251"/>
      <c r="AFG107" s="1251"/>
      <c r="AFH107" s="1251"/>
      <c r="AFI107" s="1251"/>
      <c r="AFJ107" s="1251"/>
      <c r="AFK107" s="1251"/>
      <c r="AFL107" s="1251"/>
      <c r="AFM107" s="1251"/>
      <c r="AFN107" s="1251"/>
      <c r="AFO107" s="1251"/>
      <c r="AFP107" s="1251"/>
      <c r="AFQ107" s="1251"/>
      <c r="AFR107" s="1251"/>
      <c r="AFS107" s="1251"/>
      <c r="AFT107" s="1251"/>
      <c r="AFU107" s="1251"/>
      <c r="AFV107" s="1251"/>
      <c r="AFW107" s="1251"/>
      <c r="AFX107" s="1251"/>
      <c r="AFY107" s="1251"/>
      <c r="AFZ107" s="1251"/>
      <c r="AGA107" s="1251"/>
      <c r="AGB107" s="1251"/>
      <c r="AGC107" s="1251"/>
      <c r="AGD107" s="1251"/>
      <c r="AGE107" s="1251"/>
      <c r="AGF107" s="1251"/>
      <c r="AGG107" s="1251"/>
      <c r="AGH107" s="1251"/>
      <c r="AGI107" s="1251"/>
      <c r="AGJ107" s="1251"/>
      <c r="AGK107" s="1251"/>
      <c r="AGL107" s="1251"/>
      <c r="AGM107" s="1251"/>
      <c r="AGN107" s="1251"/>
      <c r="AGO107" s="1251"/>
      <c r="AGP107" s="1251"/>
      <c r="AGQ107" s="1251"/>
      <c r="AGR107" s="1251"/>
      <c r="AGS107" s="1251"/>
      <c r="AGT107" s="1251"/>
      <c r="AGU107" s="1251"/>
      <c r="AGV107" s="1251"/>
      <c r="AGW107" s="1251"/>
      <c r="AGX107" s="1251"/>
      <c r="AGY107" s="1251"/>
      <c r="AGZ107" s="1251"/>
      <c r="AHA107" s="1251"/>
      <c r="AHB107" s="1251"/>
      <c r="AHC107" s="1251"/>
      <c r="AHD107" s="1251"/>
      <c r="AHE107" s="1251"/>
      <c r="AHF107" s="1251"/>
      <c r="AHG107" s="1251"/>
      <c r="AHH107" s="1251"/>
      <c r="AHI107" s="1251"/>
      <c r="AHJ107" s="1251"/>
      <c r="AHK107" s="1251"/>
      <c r="AHL107" s="1251"/>
      <c r="AHM107" s="1251"/>
      <c r="AHN107" s="1251"/>
      <c r="AHO107" s="1251"/>
      <c r="AHP107" s="1251"/>
      <c r="AHQ107" s="1251"/>
      <c r="AHR107" s="1251"/>
      <c r="AHS107" s="1251"/>
      <c r="AHT107" s="1251"/>
      <c r="AHU107" s="1251"/>
      <c r="AHV107" s="1251"/>
      <c r="AHW107" s="1251"/>
      <c r="AHX107" s="1251"/>
      <c r="AHY107" s="1251"/>
      <c r="AHZ107" s="1251"/>
      <c r="AIA107" s="1251"/>
      <c r="AIB107" s="1251"/>
      <c r="AIC107" s="1251"/>
      <c r="AID107" s="1251"/>
      <c r="AIE107" s="1251"/>
      <c r="AIF107" s="1251"/>
      <c r="AIG107" s="1251"/>
      <c r="AIH107" s="1251"/>
      <c r="AII107" s="1251"/>
      <c r="AIJ107" s="1251"/>
      <c r="AIK107" s="1251"/>
      <c r="AIL107" s="1251"/>
      <c r="AIM107" s="1251"/>
      <c r="AIN107" s="1251"/>
      <c r="AIO107" s="1251"/>
      <c r="AIP107" s="1251"/>
      <c r="AIQ107" s="1251"/>
      <c r="AIR107" s="1251"/>
      <c r="AIS107" s="1251"/>
      <c r="AIT107" s="1251"/>
      <c r="AIU107" s="1251"/>
      <c r="AIV107" s="1251"/>
      <c r="AIW107" s="1251"/>
      <c r="AIX107" s="1251"/>
      <c r="AIY107" s="1251"/>
      <c r="AIZ107" s="1251"/>
      <c r="AJA107" s="1251"/>
      <c r="AJB107" s="1251"/>
      <c r="AJC107" s="1251"/>
      <c r="AJD107" s="1251"/>
      <c r="AJE107" s="1251"/>
      <c r="AJF107" s="1251"/>
      <c r="AJG107" s="1251"/>
      <c r="AJH107" s="1251"/>
      <c r="AJI107" s="1251"/>
      <c r="AJJ107" s="1251"/>
      <c r="AJK107" s="1251"/>
      <c r="AJL107" s="1251"/>
      <c r="AJM107" s="1251"/>
      <c r="AJN107" s="1251"/>
      <c r="AJO107" s="1251"/>
      <c r="AJP107" s="1251"/>
      <c r="AJQ107" s="1251"/>
      <c r="AJR107" s="1251"/>
      <c r="AJS107" s="1251"/>
      <c r="AJT107" s="1251"/>
      <c r="AJU107" s="1251"/>
      <c r="AJV107" s="1251"/>
      <c r="AJW107" s="1251"/>
      <c r="AJX107" s="1251"/>
      <c r="AJY107" s="1251"/>
      <c r="AJZ107" s="1251"/>
      <c r="AKA107" s="1251"/>
      <c r="AKB107" s="1251"/>
      <c r="AKC107" s="1251"/>
      <c r="AKD107" s="1251"/>
      <c r="AKE107" s="1251"/>
      <c r="AKF107" s="1251"/>
      <c r="AKG107" s="1251"/>
      <c r="AKH107" s="1251"/>
      <c r="AKI107" s="1251"/>
      <c r="AKJ107" s="1251"/>
      <c r="AKK107" s="1251"/>
      <c r="AKL107" s="1251"/>
      <c r="AKM107" s="1251"/>
      <c r="AKN107" s="1251"/>
      <c r="AKO107" s="1251"/>
      <c r="AKP107" s="1251"/>
      <c r="AKQ107" s="1251"/>
      <c r="AKR107" s="1251"/>
      <c r="AKS107" s="1251"/>
      <c r="AKT107" s="1251"/>
      <c r="AKU107" s="1251"/>
      <c r="AKV107" s="1251"/>
      <c r="AKW107" s="1251"/>
      <c r="AKX107" s="1251"/>
      <c r="AKY107" s="1251"/>
      <c r="AKZ107" s="1251"/>
      <c r="ALA107" s="1251"/>
      <c r="ALB107" s="1251"/>
      <c r="ALC107" s="1251"/>
      <c r="ALD107" s="1251"/>
      <c r="ALE107" s="1251"/>
      <c r="ALF107" s="1251"/>
      <c r="ALG107" s="1251"/>
      <c r="ALH107" s="1251"/>
      <c r="ALI107" s="1251"/>
      <c r="ALJ107" s="1251"/>
      <c r="ALK107" s="1251"/>
      <c r="ALL107" s="1251"/>
      <c r="ALM107" s="1251"/>
      <c r="ALN107" s="1251"/>
      <c r="ALO107" s="1251"/>
      <c r="ALP107" s="1251"/>
      <c r="ALQ107" s="1251"/>
      <c r="ALR107" s="1251"/>
      <c r="ALS107" s="1251"/>
      <c r="ALT107" s="1251"/>
      <c r="ALU107" s="1251"/>
      <c r="ALV107" s="1251"/>
      <c r="ALW107" s="1251"/>
      <c r="ALX107" s="1251"/>
      <c r="ALY107" s="1251"/>
      <c r="ALZ107" s="1251"/>
      <c r="AMA107" s="1251"/>
      <c r="AMB107" s="1251"/>
      <c r="AMC107" s="1251"/>
      <c r="AMD107" s="1251"/>
      <c r="AME107" s="1251"/>
      <c r="AMF107" s="1251"/>
      <c r="AMG107" s="1251"/>
      <c r="AMH107" s="1251"/>
      <c r="AMI107" s="1251"/>
      <c r="AMJ107" s="1251"/>
      <c r="AMK107" s="1251"/>
      <c r="AML107" s="1251"/>
      <c r="AMM107" s="1251"/>
      <c r="AMN107" s="1251"/>
      <c r="AMO107" s="1251"/>
      <c r="AMP107" s="1251"/>
      <c r="AMQ107" s="1251"/>
      <c r="AMR107" s="1251"/>
      <c r="AMS107" s="1251"/>
      <c r="AMT107" s="1251"/>
      <c r="AMU107" s="1251"/>
      <c r="AMV107" s="1251"/>
      <c r="AMW107" s="1251"/>
      <c r="AMX107" s="1251"/>
      <c r="AMY107" s="1251"/>
      <c r="AMZ107" s="1251"/>
      <c r="ANA107" s="1251"/>
      <c r="ANB107" s="1251"/>
      <c r="ANC107" s="1251"/>
      <c r="AND107" s="1251"/>
      <c r="ANE107" s="1251"/>
      <c r="ANF107" s="1251"/>
      <c r="ANG107" s="1251"/>
      <c r="ANH107" s="1251"/>
      <c r="ANI107" s="1251"/>
      <c r="ANJ107" s="1251"/>
      <c r="ANK107" s="1251"/>
      <c r="ANL107" s="1251"/>
      <c r="ANM107" s="1251"/>
      <c r="ANN107" s="1251"/>
      <c r="ANO107" s="1251"/>
      <c r="ANP107" s="1251"/>
      <c r="ANQ107" s="1251"/>
      <c r="ANR107" s="1251"/>
      <c r="ANS107" s="1251"/>
      <c r="ANT107" s="1251"/>
      <c r="ANU107" s="1251"/>
      <c r="ANV107" s="1251"/>
      <c r="ANW107" s="1251"/>
      <c r="ANX107" s="1251"/>
      <c r="ANY107" s="1251"/>
      <c r="ANZ107" s="1251"/>
      <c r="AOA107" s="1251"/>
      <c r="AOB107" s="1251"/>
      <c r="AOC107" s="1251"/>
      <c r="AOD107" s="1251"/>
      <c r="AOE107" s="1251"/>
      <c r="AOF107" s="1251"/>
      <c r="AOG107" s="1251"/>
      <c r="AOH107" s="1251"/>
      <c r="AOI107" s="1251"/>
      <c r="AOJ107" s="1251"/>
      <c r="AOK107" s="1251"/>
      <c r="AOL107" s="1251"/>
      <c r="AOM107" s="1251"/>
      <c r="AON107" s="1251"/>
      <c r="AOO107" s="1251"/>
      <c r="AOP107" s="1251"/>
      <c r="AOQ107" s="1251"/>
      <c r="AOR107" s="1251"/>
      <c r="AOS107" s="1251"/>
      <c r="AOT107" s="1251"/>
      <c r="AOU107" s="1251"/>
      <c r="AOV107" s="1251"/>
      <c r="AOW107" s="1251"/>
      <c r="AOX107" s="1251"/>
      <c r="AOY107" s="1251"/>
      <c r="AOZ107" s="1251"/>
      <c r="APA107" s="1251"/>
      <c r="APB107" s="1251"/>
      <c r="APC107" s="1251"/>
      <c r="APD107" s="1251"/>
      <c r="APE107" s="1251"/>
      <c r="APF107" s="1251"/>
      <c r="APG107" s="1251"/>
      <c r="APH107" s="1251"/>
      <c r="API107" s="1251"/>
      <c r="APJ107" s="1251"/>
      <c r="APK107" s="1251"/>
      <c r="APL107" s="1251"/>
      <c r="APM107" s="1251"/>
      <c r="APN107" s="1251"/>
      <c r="APO107" s="1251"/>
      <c r="APP107" s="1251"/>
      <c r="APQ107" s="1251"/>
      <c r="APR107" s="1251"/>
      <c r="APS107" s="1251"/>
      <c r="APT107" s="1251"/>
      <c r="APU107" s="1251"/>
      <c r="APV107" s="1251"/>
      <c r="APW107" s="1251"/>
      <c r="APX107" s="1251"/>
      <c r="APY107" s="1251"/>
      <c r="APZ107" s="1251"/>
      <c r="AQA107" s="1251"/>
      <c r="AQB107" s="1251"/>
      <c r="AQC107" s="1251"/>
      <c r="AQD107" s="1251"/>
      <c r="AQE107" s="1251"/>
      <c r="AQF107" s="1251"/>
      <c r="AQG107" s="1251"/>
      <c r="AQH107" s="1251"/>
      <c r="AQI107" s="1251"/>
      <c r="AQJ107" s="1251"/>
      <c r="AQK107" s="1251"/>
      <c r="AQL107" s="1251"/>
      <c r="AQM107" s="1251"/>
      <c r="AQN107" s="1251"/>
      <c r="AQO107" s="1251"/>
      <c r="AQP107" s="1251"/>
      <c r="AQQ107" s="1251"/>
      <c r="AQR107" s="1251"/>
      <c r="AQS107" s="1251"/>
      <c r="AQT107" s="1251"/>
      <c r="AQU107" s="1251"/>
      <c r="AQV107" s="1251"/>
      <c r="AQW107" s="1251"/>
      <c r="AQX107" s="1251"/>
      <c r="AQY107" s="1251"/>
      <c r="AQZ107" s="1251"/>
      <c r="ARA107" s="1251"/>
      <c r="ARB107" s="1251"/>
      <c r="ARC107" s="1251"/>
      <c r="ARD107" s="1251"/>
      <c r="ARE107" s="1251"/>
      <c r="ARF107" s="1251"/>
      <c r="ARG107" s="1251"/>
      <c r="ARH107" s="1251"/>
      <c r="ARI107" s="1251"/>
      <c r="ARJ107" s="1251"/>
      <c r="ARK107" s="1251"/>
      <c r="ARL107" s="1251"/>
      <c r="ARM107" s="1251"/>
      <c r="ARN107" s="1251"/>
      <c r="ARO107" s="1251"/>
      <c r="ARP107" s="1251"/>
      <c r="ARQ107" s="1251"/>
      <c r="ARR107" s="1251"/>
      <c r="ARS107" s="1251"/>
      <c r="ART107" s="1251"/>
      <c r="ARU107" s="1251"/>
      <c r="ARV107" s="1251"/>
      <c r="ARW107" s="1251"/>
      <c r="ARX107" s="1251"/>
      <c r="ARY107" s="1251"/>
      <c r="ARZ107" s="1251"/>
      <c r="ASA107" s="1251"/>
      <c r="ASB107" s="1251"/>
      <c r="ASC107" s="1251"/>
      <c r="ASD107" s="1251"/>
      <c r="ASE107" s="1251"/>
      <c r="ASF107" s="1251"/>
      <c r="ASG107" s="1251"/>
      <c r="ASH107" s="1251"/>
      <c r="ASI107" s="1251"/>
      <c r="ASJ107" s="1251"/>
      <c r="ASK107" s="1251"/>
      <c r="ASL107" s="1251"/>
      <c r="ASM107" s="1251"/>
      <c r="ASN107" s="1251"/>
      <c r="ASO107" s="1251"/>
      <c r="ASP107" s="1251"/>
      <c r="ASQ107" s="1251"/>
      <c r="ASR107" s="1251"/>
      <c r="ASS107" s="1251"/>
      <c r="AST107" s="1251"/>
      <c r="ASU107" s="1251"/>
      <c r="ASV107" s="1251"/>
      <c r="ASW107" s="1251"/>
      <c r="ASX107" s="1251"/>
      <c r="ASY107" s="1251"/>
      <c r="ASZ107" s="1251"/>
      <c r="ATA107" s="1251"/>
      <c r="ATB107" s="1251"/>
      <c r="ATC107" s="1251"/>
      <c r="ATD107" s="1251"/>
      <c r="ATE107" s="1251"/>
      <c r="ATF107" s="1251"/>
      <c r="ATG107" s="1251"/>
      <c r="ATH107" s="1251"/>
      <c r="ATI107" s="1251"/>
      <c r="ATJ107" s="1251"/>
      <c r="ATK107" s="1251"/>
      <c r="ATL107" s="1251"/>
      <c r="ATM107" s="1251"/>
      <c r="ATN107" s="1251"/>
      <c r="ATO107" s="1251"/>
      <c r="ATP107" s="1251"/>
      <c r="ATQ107" s="1251"/>
      <c r="ATR107" s="1251"/>
      <c r="ATS107" s="1251"/>
      <c r="ATT107" s="1251"/>
      <c r="ATU107" s="1251"/>
      <c r="ATV107" s="1251"/>
      <c r="ATW107" s="1251"/>
      <c r="ATX107" s="1251"/>
      <c r="ATY107" s="1251"/>
      <c r="ATZ107" s="1251"/>
      <c r="AUA107" s="1251"/>
      <c r="AUB107" s="1251"/>
      <c r="AUC107" s="1251"/>
      <c r="AUD107" s="1251"/>
      <c r="AUE107" s="1251"/>
      <c r="AUF107" s="1251"/>
      <c r="AUG107" s="1251"/>
      <c r="AUH107" s="1251"/>
      <c r="AUI107" s="1251"/>
      <c r="AUJ107" s="1251"/>
      <c r="AUK107" s="1251"/>
      <c r="AUL107" s="1251"/>
      <c r="AUM107" s="1251"/>
      <c r="AUN107" s="1251"/>
      <c r="AUO107" s="1251"/>
      <c r="AUP107" s="1251"/>
      <c r="AUQ107" s="1251"/>
      <c r="AUR107" s="1251"/>
      <c r="AUS107" s="1251"/>
      <c r="AUT107" s="1251"/>
      <c r="AUU107" s="1251"/>
      <c r="AUV107" s="1251"/>
      <c r="AUW107" s="1251"/>
      <c r="AUX107" s="1251"/>
      <c r="AUY107" s="1251"/>
      <c r="AUZ107" s="1251"/>
      <c r="AVA107" s="1251"/>
      <c r="AVB107" s="1251"/>
      <c r="AVC107" s="1251"/>
      <c r="AVD107" s="1251"/>
      <c r="AVE107" s="1251"/>
      <c r="AVF107" s="1251"/>
      <c r="AVG107" s="1251"/>
      <c r="AVH107" s="1251"/>
      <c r="AVI107" s="1251"/>
      <c r="AVJ107" s="1251"/>
      <c r="AVK107" s="1251"/>
      <c r="AVL107" s="1251"/>
      <c r="AVM107" s="1251"/>
      <c r="AVN107" s="1251"/>
      <c r="AVO107" s="1251"/>
      <c r="AVP107" s="1251"/>
      <c r="AVQ107" s="1251"/>
      <c r="AVR107" s="1251"/>
      <c r="AVS107" s="1251"/>
      <c r="AVT107" s="1251"/>
      <c r="AVU107" s="1251"/>
      <c r="AVV107" s="1251"/>
      <c r="AVW107" s="1251"/>
      <c r="AVX107" s="1251"/>
      <c r="AVY107" s="1251"/>
      <c r="AVZ107" s="1251"/>
      <c r="AWA107" s="1251"/>
      <c r="AWB107" s="1251"/>
      <c r="AWC107" s="1251"/>
      <c r="AWD107" s="1251"/>
      <c r="AWE107" s="1251"/>
      <c r="AWF107" s="1251"/>
      <c r="AWG107" s="1251"/>
      <c r="AWH107" s="1251"/>
      <c r="AWI107" s="1251"/>
      <c r="AWJ107" s="1251"/>
      <c r="AWK107" s="1251"/>
      <c r="AWL107" s="1251"/>
      <c r="AWM107" s="1251"/>
      <c r="AWN107" s="1251"/>
      <c r="AWO107" s="1251"/>
      <c r="AWP107" s="1251"/>
      <c r="AWQ107" s="1251"/>
      <c r="AWR107" s="1251"/>
      <c r="AWS107" s="1251"/>
      <c r="AWT107" s="1251"/>
      <c r="AWU107" s="1251"/>
      <c r="AWV107" s="1251"/>
      <c r="AWW107" s="1251"/>
      <c r="AWX107" s="1251"/>
      <c r="AWY107" s="1251"/>
      <c r="AWZ107" s="1251"/>
      <c r="AXA107" s="1251"/>
      <c r="AXB107" s="1251"/>
      <c r="AXC107" s="1251"/>
      <c r="AXD107" s="1251"/>
      <c r="AXE107" s="1251"/>
      <c r="AXF107" s="1251"/>
      <c r="AXG107" s="1251"/>
      <c r="AXH107" s="1251"/>
      <c r="AXI107" s="1251"/>
      <c r="AXJ107" s="1251"/>
      <c r="AXK107" s="1251"/>
      <c r="AXL107" s="1251"/>
      <c r="AXM107" s="1251"/>
      <c r="AXN107" s="1251"/>
      <c r="AXO107" s="1251"/>
      <c r="AXP107" s="1251"/>
      <c r="AXQ107" s="1251"/>
      <c r="AXR107" s="1251"/>
      <c r="AXS107" s="1251"/>
      <c r="AXT107" s="1251"/>
      <c r="AXU107" s="1251"/>
      <c r="AXV107" s="1251"/>
      <c r="AXW107" s="1251"/>
      <c r="AXX107" s="1251"/>
      <c r="AXY107" s="1251"/>
      <c r="AXZ107" s="1251"/>
      <c r="AYA107" s="1251"/>
      <c r="AYB107" s="1251"/>
      <c r="AYC107" s="1251"/>
      <c r="AYD107" s="1251"/>
      <c r="AYE107" s="1251"/>
      <c r="AYF107" s="1251"/>
      <c r="AYG107" s="1251"/>
      <c r="AYH107" s="1251"/>
      <c r="AYI107" s="1251"/>
      <c r="AYJ107" s="1251"/>
      <c r="AYK107" s="1251"/>
      <c r="AYL107" s="1251"/>
      <c r="AYM107" s="1251"/>
      <c r="AYN107" s="1251"/>
      <c r="AYO107" s="1251"/>
      <c r="AYP107" s="1251"/>
      <c r="AYQ107" s="1251"/>
      <c r="AYR107" s="1251"/>
      <c r="AYS107" s="1251"/>
      <c r="AYT107" s="1251"/>
      <c r="AYU107" s="1251"/>
      <c r="AYV107" s="1251"/>
      <c r="AYW107" s="1251"/>
      <c r="AYX107" s="1251"/>
      <c r="AYY107" s="1251"/>
      <c r="AYZ107" s="1251"/>
      <c r="AZA107" s="1251"/>
      <c r="AZB107" s="1251"/>
      <c r="AZC107" s="1251"/>
      <c r="AZD107" s="1251"/>
      <c r="AZE107" s="1251"/>
      <c r="AZF107" s="1251"/>
      <c r="AZG107" s="1251"/>
      <c r="AZH107" s="1251"/>
      <c r="AZI107" s="1251"/>
      <c r="AZJ107" s="1251"/>
      <c r="AZK107" s="1251"/>
      <c r="AZL107" s="1251"/>
      <c r="AZM107" s="1251"/>
      <c r="AZN107" s="1251"/>
      <c r="AZO107" s="1251"/>
      <c r="AZP107" s="1251"/>
      <c r="AZQ107" s="1251"/>
      <c r="AZR107" s="1251"/>
      <c r="AZS107" s="1251"/>
      <c r="AZT107" s="1251"/>
      <c r="AZU107" s="1251"/>
      <c r="AZV107" s="1251"/>
      <c r="AZW107" s="1251"/>
      <c r="AZX107" s="1251"/>
      <c r="AZY107" s="1251"/>
      <c r="AZZ107" s="1251"/>
      <c r="BAA107" s="1251"/>
      <c r="BAB107" s="1251"/>
      <c r="BAC107" s="1251"/>
      <c r="BAD107" s="1251"/>
      <c r="BAE107" s="1251"/>
      <c r="BAF107" s="1251"/>
      <c r="BAG107" s="1251"/>
      <c r="BAH107" s="1251"/>
      <c r="BAI107" s="1251"/>
      <c r="BAJ107" s="1251"/>
      <c r="BAK107" s="1251"/>
      <c r="BAL107" s="1251"/>
      <c r="BAM107" s="1251"/>
      <c r="BAN107" s="1251"/>
      <c r="BAO107" s="1251"/>
      <c r="BAP107" s="1251"/>
      <c r="BAQ107" s="1251"/>
      <c r="BAR107" s="1251"/>
      <c r="BAS107" s="1251"/>
      <c r="BAT107" s="1251"/>
      <c r="BAU107" s="1251"/>
      <c r="BAV107" s="1251"/>
      <c r="BAW107" s="1251"/>
      <c r="BAX107" s="1251"/>
      <c r="BAY107" s="1251"/>
      <c r="BAZ107" s="1251"/>
      <c r="BBA107" s="1251"/>
      <c r="BBB107" s="1251"/>
      <c r="BBC107" s="1251"/>
      <c r="BBD107" s="1251"/>
      <c r="BBE107" s="1251"/>
      <c r="BBF107" s="1251"/>
      <c r="BBG107" s="1251"/>
      <c r="BBH107" s="1251"/>
      <c r="BBI107" s="1251"/>
      <c r="BBJ107" s="1251"/>
      <c r="BBK107" s="1251"/>
      <c r="BBL107" s="1251"/>
      <c r="BBM107" s="1251"/>
      <c r="BBN107" s="1251"/>
      <c r="BBO107" s="1251"/>
      <c r="BBP107" s="1251"/>
      <c r="BBQ107" s="1251"/>
      <c r="BBR107" s="1251"/>
      <c r="BBS107" s="1251"/>
      <c r="BBT107" s="1251"/>
      <c r="BBU107" s="1251"/>
      <c r="BBV107" s="1251"/>
      <c r="BBW107" s="1251"/>
      <c r="BBX107" s="1251"/>
      <c r="BBY107" s="1251"/>
      <c r="BBZ107" s="1251"/>
      <c r="BCA107" s="1251"/>
      <c r="BCB107" s="1251"/>
      <c r="BCC107" s="1251"/>
      <c r="BCD107" s="1251"/>
      <c r="BCE107" s="1251"/>
      <c r="BCF107" s="1251"/>
      <c r="BCG107" s="1251"/>
      <c r="BCH107" s="1251"/>
      <c r="BCI107" s="1251"/>
      <c r="BCJ107" s="1251"/>
      <c r="BCK107" s="1251"/>
      <c r="BCL107" s="1251"/>
      <c r="BCM107" s="1251"/>
      <c r="BCN107" s="1251"/>
      <c r="BCO107" s="1251"/>
      <c r="BCP107" s="1251"/>
      <c r="BCQ107" s="1251"/>
      <c r="BCR107" s="1251"/>
      <c r="BCS107" s="1251"/>
      <c r="BCT107" s="1251"/>
      <c r="BCU107" s="1251"/>
      <c r="BCV107" s="1251"/>
      <c r="BCW107" s="1251"/>
      <c r="BCX107" s="1251"/>
      <c r="BCY107" s="1251"/>
      <c r="BCZ107" s="1251"/>
      <c r="BDA107" s="1251"/>
      <c r="BDB107" s="1251"/>
      <c r="BDC107" s="1251"/>
      <c r="BDD107" s="1251"/>
      <c r="BDE107" s="1251"/>
      <c r="BDF107" s="1251"/>
      <c r="BDG107" s="1251"/>
      <c r="BDH107" s="1251"/>
      <c r="BDI107" s="1251"/>
      <c r="BDJ107" s="1251"/>
      <c r="BDK107" s="1251"/>
      <c r="BDL107" s="1251"/>
      <c r="BDM107" s="1251"/>
      <c r="BDN107" s="1251"/>
      <c r="BDO107" s="1251"/>
      <c r="BDP107" s="1251"/>
      <c r="BDQ107" s="1251"/>
      <c r="BDR107" s="1251"/>
      <c r="BDS107" s="1251"/>
      <c r="BDT107" s="1251"/>
      <c r="BDU107" s="1251"/>
      <c r="BDV107" s="1251"/>
      <c r="BDW107" s="1251"/>
      <c r="BDX107" s="1251"/>
      <c r="BDY107" s="1251"/>
      <c r="BDZ107" s="1251"/>
      <c r="BEA107" s="1251"/>
      <c r="BEB107" s="1251"/>
      <c r="BEC107" s="1251"/>
      <c r="BED107" s="1251"/>
      <c r="BEE107" s="1251"/>
      <c r="BEF107" s="1251"/>
      <c r="BEG107" s="1251"/>
      <c r="BEH107" s="1251"/>
      <c r="BEI107" s="1251"/>
      <c r="BEJ107" s="1251"/>
      <c r="BEK107" s="1251"/>
      <c r="BEL107" s="1251"/>
      <c r="BEM107" s="1251"/>
      <c r="BEN107" s="1251"/>
      <c r="BEO107" s="1251"/>
      <c r="BEP107" s="1251"/>
      <c r="BEQ107" s="1251"/>
      <c r="BER107" s="1251"/>
      <c r="BES107" s="1251"/>
      <c r="BET107" s="1251"/>
      <c r="BEU107" s="1251"/>
      <c r="BEV107" s="1251"/>
      <c r="BEW107" s="1251"/>
      <c r="BEX107" s="1251"/>
      <c r="BEY107" s="1251"/>
      <c r="BEZ107" s="1251"/>
      <c r="BFA107" s="1251"/>
      <c r="BFB107" s="1251"/>
      <c r="BFC107" s="1251"/>
      <c r="BFD107" s="1251"/>
      <c r="BFE107" s="1251"/>
      <c r="BFF107" s="1251"/>
      <c r="BFG107" s="1251"/>
      <c r="BFH107" s="1251"/>
      <c r="BFI107" s="1251"/>
      <c r="BFJ107" s="1251"/>
      <c r="BFK107" s="1251"/>
      <c r="BFL107" s="1251"/>
      <c r="BFM107" s="1251"/>
      <c r="BFN107" s="1251"/>
      <c r="BFO107" s="1251"/>
      <c r="BFP107" s="1251"/>
      <c r="BFQ107" s="1251"/>
      <c r="BFR107" s="1251"/>
      <c r="BFS107" s="1251"/>
      <c r="BFT107" s="1251"/>
      <c r="BFU107" s="1251"/>
      <c r="BFV107" s="1251"/>
      <c r="BFW107" s="1251"/>
      <c r="BFX107" s="1251"/>
      <c r="BFY107" s="1251"/>
      <c r="BFZ107" s="1251"/>
      <c r="BGA107" s="1251"/>
      <c r="BGB107" s="1251"/>
      <c r="BGC107" s="1251"/>
      <c r="BGD107" s="1251"/>
      <c r="BGE107" s="1251"/>
      <c r="BGF107" s="1251"/>
      <c r="BGG107" s="1251"/>
      <c r="BGH107" s="1251"/>
      <c r="BGI107" s="1251"/>
      <c r="BGJ107" s="1251"/>
      <c r="BGK107" s="1251"/>
      <c r="BGL107" s="1251"/>
      <c r="BGM107" s="1251"/>
      <c r="BGN107" s="1251"/>
      <c r="BGO107" s="1251"/>
      <c r="BGP107" s="1251"/>
      <c r="BGQ107" s="1251"/>
      <c r="BGR107" s="1251"/>
      <c r="BGS107" s="1251"/>
      <c r="BGT107" s="1251"/>
      <c r="BGU107" s="1251"/>
      <c r="BGV107" s="1251"/>
      <c r="BGW107" s="1251"/>
      <c r="BGX107" s="1251"/>
      <c r="BGY107" s="1251"/>
      <c r="BGZ107" s="1251"/>
      <c r="BHA107" s="1251"/>
      <c r="BHB107" s="1251"/>
      <c r="BHC107" s="1251"/>
      <c r="BHD107" s="1251"/>
      <c r="BHE107" s="1251"/>
      <c r="BHF107" s="1251"/>
      <c r="BHG107" s="1251"/>
      <c r="BHH107" s="1251"/>
      <c r="BHI107" s="1251"/>
      <c r="BHJ107" s="1251"/>
      <c r="BHK107" s="1251"/>
      <c r="BHL107" s="1251"/>
      <c r="BHM107" s="1251"/>
      <c r="BHN107" s="1251"/>
      <c r="BHO107" s="1251"/>
      <c r="BHP107" s="1251"/>
      <c r="BHQ107" s="1251"/>
      <c r="BHR107" s="1251"/>
      <c r="BHS107" s="1251"/>
      <c r="BHT107" s="1251"/>
      <c r="BHU107" s="1251"/>
      <c r="BHV107" s="1251"/>
      <c r="BHW107" s="1251"/>
      <c r="BHX107" s="1251"/>
      <c r="BHY107" s="1251"/>
      <c r="BHZ107" s="1251"/>
      <c r="BIA107" s="1251"/>
      <c r="BIB107" s="1251"/>
      <c r="BIC107" s="1251"/>
      <c r="BID107" s="1251"/>
      <c r="BIE107" s="1251"/>
      <c r="BIF107" s="1251"/>
      <c r="BIG107" s="1251"/>
      <c r="BIH107" s="1251"/>
      <c r="BII107" s="1251"/>
      <c r="BIJ107" s="1251"/>
      <c r="BIK107" s="1251"/>
      <c r="BIL107" s="1251"/>
      <c r="BIM107" s="1251"/>
      <c r="BIN107" s="1251"/>
      <c r="BIO107" s="1251"/>
      <c r="BIP107" s="1251"/>
      <c r="BIQ107" s="1251"/>
      <c r="BIR107" s="1251"/>
      <c r="BIS107" s="1251"/>
      <c r="BIT107" s="1251"/>
      <c r="BIU107" s="1251"/>
      <c r="BIV107" s="1251"/>
      <c r="BIW107" s="1251"/>
      <c r="BIX107" s="1251"/>
      <c r="BIY107" s="1251"/>
      <c r="BIZ107" s="1251"/>
      <c r="BJA107" s="1251"/>
      <c r="BJB107" s="1251"/>
      <c r="BJC107" s="1251"/>
      <c r="BJD107" s="1251"/>
      <c r="BJE107" s="1251"/>
      <c r="BJF107" s="1251"/>
      <c r="BJG107" s="1251"/>
      <c r="BJH107" s="1251"/>
      <c r="BJI107" s="1251"/>
      <c r="BJJ107" s="1251"/>
      <c r="BJK107" s="1251"/>
      <c r="BJL107" s="1251"/>
      <c r="BJM107" s="1251"/>
      <c r="BJN107" s="1251"/>
      <c r="BJO107" s="1251"/>
      <c r="BJP107" s="1251"/>
      <c r="BJQ107" s="1251"/>
      <c r="BJR107" s="1251"/>
      <c r="BJS107" s="1251"/>
      <c r="BJT107" s="1251"/>
      <c r="BJU107" s="1251"/>
      <c r="BJV107" s="1251"/>
      <c r="BJW107" s="1251"/>
      <c r="BJX107" s="1251"/>
      <c r="BJY107" s="1251"/>
      <c r="BJZ107" s="1251"/>
      <c r="BKA107" s="1251"/>
      <c r="BKB107" s="1251"/>
      <c r="BKC107" s="1251"/>
      <c r="BKD107" s="1251"/>
      <c r="BKE107" s="1251"/>
      <c r="BKF107" s="1251"/>
      <c r="BKG107" s="1251"/>
      <c r="BKH107" s="1251"/>
      <c r="BKI107" s="1251"/>
      <c r="BKJ107" s="1251"/>
      <c r="BKK107" s="1251"/>
      <c r="BKL107" s="1251"/>
      <c r="BKM107" s="1251"/>
      <c r="BKN107" s="1251"/>
      <c r="BKO107" s="1251"/>
      <c r="BKP107" s="1251"/>
      <c r="BKQ107" s="1251"/>
      <c r="BKR107" s="1251"/>
      <c r="BKS107" s="1251"/>
      <c r="BKT107" s="1251"/>
      <c r="BKU107" s="1251"/>
      <c r="BKV107" s="1251"/>
      <c r="BKW107" s="1251"/>
      <c r="BKX107" s="1251"/>
      <c r="BKY107" s="1251"/>
      <c r="BKZ107" s="1251"/>
      <c r="BLA107" s="1251"/>
      <c r="BLB107" s="1251"/>
      <c r="BLC107" s="1251"/>
      <c r="BLD107" s="1251"/>
      <c r="BLE107" s="1251"/>
      <c r="BLF107" s="1251"/>
      <c r="BLG107" s="1251"/>
      <c r="BLH107" s="1251"/>
      <c r="BLI107" s="1251"/>
      <c r="BLJ107" s="1251"/>
      <c r="BLK107" s="1251"/>
      <c r="BLL107" s="1251"/>
      <c r="BLM107" s="1251"/>
      <c r="BLN107" s="1251"/>
      <c r="BLO107" s="1251"/>
      <c r="BLP107" s="1251"/>
      <c r="BLQ107" s="1251"/>
      <c r="BLR107" s="1251"/>
      <c r="BLS107" s="1251"/>
      <c r="BLT107" s="1251"/>
      <c r="BLU107" s="1251"/>
      <c r="BLV107" s="1251"/>
      <c r="BLW107" s="1251"/>
      <c r="BLX107" s="1251"/>
      <c r="BLY107" s="1251"/>
      <c r="BLZ107" s="1251"/>
      <c r="BMA107" s="1251"/>
      <c r="BMB107" s="1251"/>
      <c r="BMC107" s="1251"/>
      <c r="BMD107" s="1251"/>
      <c r="BME107" s="1251"/>
      <c r="BMF107" s="1251"/>
      <c r="BMG107" s="1251"/>
      <c r="BMH107" s="1251"/>
      <c r="BMI107" s="1251"/>
      <c r="BMJ107" s="1251"/>
      <c r="BMK107" s="1251"/>
      <c r="BML107" s="1251"/>
      <c r="BMM107" s="1251"/>
      <c r="BMN107" s="1251"/>
      <c r="BMO107" s="1251"/>
      <c r="BMP107" s="1251"/>
      <c r="BMQ107" s="1251"/>
      <c r="BMR107" s="1251"/>
      <c r="BMS107" s="1251"/>
      <c r="BMT107" s="1251"/>
      <c r="BMU107" s="1251"/>
      <c r="BMV107" s="1251"/>
      <c r="BMW107" s="1251"/>
      <c r="BMX107" s="1251"/>
      <c r="BMY107" s="1251"/>
      <c r="BMZ107" s="1251"/>
      <c r="BNA107" s="1251"/>
      <c r="BNB107" s="1251"/>
      <c r="BNC107" s="1251"/>
      <c r="BND107" s="1251"/>
      <c r="BNE107" s="1251"/>
      <c r="BNF107" s="1251"/>
      <c r="BNG107" s="1251"/>
      <c r="BNH107" s="1251"/>
      <c r="BNI107" s="1251"/>
      <c r="BNJ107" s="1251"/>
      <c r="BNK107" s="1251"/>
      <c r="BNL107" s="1251"/>
      <c r="BNM107" s="1251"/>
      <c r="BNN107" s="1251"/>
      <c r="BNO107" s="1251"/>
      <c r="BNP107" s="1251"/>
      <c r="BNQ107" s="1251"/>
      <c r="BNR107" s="1251"/>
      <c r="BNS107" s="1251"/>
      <c r="BNT107" s="1251"/>
      <c r="BNU107" s="1251"/>
      <c r="BNV107" s="1251"/>
      <c r="BNW107" s="1251"/>
      <c r="BNX107" s="1251"/>
      <c r="BNY107" s="1251"/>
      <c r="BNZ107" s="1251"/>
      <c r="BOA107" s="1251"/>
      <c r="BOB107" s="1251"/>
      <c r="BOC107" s="1251"/>
      <c r="BOD107" s="1251"/>
      <c r="BOE107" s="1251"/>
      <c r="BOF107" s="1251"/>
      <c r="BOG107" s="1251"/>
      <c r="BOH107" s="1251"/>
      <c r="BOI107" s="1251"/>
      <c r="BOJ107" s="1251"/>
      <c r="BOK107" s="1251"/>
      <c r="BOL107" s="1251"/>
      <c r="BOM107" s="1251"/>
      <c r="BON107" s="1251"/>
      <c r="BOO107" s="1251"/>
      <c r="BOP107" s="1251"/>
      <c r="BOQ107" s="1251"/>
      <c r="BOR107" s="1251"/>
      <c r="BOS107" s="1251"/>
      <c r="BOT107" s="1251"/>
      <c r="BOU107" s="1251"/>
      <c r="BOV107" s="1251"/>
      <c r="BOW107" s="1251"/>
      <c r="BOX107" s="1251"/>
      <c r="BOY107" s="1251"/>
      <c r="BOZ107" s="1251"/>
      <c r="BPA107" s="1251"/>
      <c r="BPB107" s="1251"/>
      <c r="BPC107" s="1251"/>
      <c r="BPD107" s="1251"/>
      <c r="BPE107" s="1251"/>
      <c r="BPF107" s="1251"/>
      <c r="BPG107" s="1251"/>
      <c r="BPH107" s="1251"/>
      <c r="BPI107" s="1251"/>
      <c r="BPJ107" s="1251"/>
      <c r="BPK107" s="1251"/>
      <c r="BPL107" s="1251"/>
      <c r="BPM107" s="1251"/>
      <c r="BPN107" s="1251"/>
      <c r="BPO107" s="1251"/>
      <c r="BPP107" s="1251"/>
      <c r="BPQ107" s="1251"/>
      <c r="BPR107" s="1251"/>
      <c r="BPS107" s="1251"/>
      <c r="BPT107" s="1251"/>
      <c r="BPU107" s="1251"/>
      <c r="BPV107" s="1251"/>
      <c r="BPW107" s="1251"/>
      <c r="BPX107" s="1251"/>
      <c r="BPY107" s="1251"/>
      <c r="BPZ107" s="1251"/>
      <c r="BQA107" s="1251"/>
      <c r="BQB107" s="1251"/>
      <c r="BQC107" s="1251"/>
      <c r="BQD107" s="1251"/>
      <c r="BQE107" s="1251"/>
      <c r="BQF107" s="1251"/>
      <c r="BQG107" s="1251"/>
      <c r="BQH107" s="1251"/>
      <c r="BQI107" s="1251"/>
      <c r="BQJ107" s="1251"/>
      <c r="BQK107" s="1251"/>
      <c r="BQL107" s="1251"/>
      <c r="BQM107" s="1251"/>
      <c r="BQN107" s="1251"/>
      <c r="BQO107" s="1251"/>
      <c r="BQP107" s="1251"/>
      <c r="BQQ107" s="1251"/>
      <c r="BQR107" s="1251"/>
      <c r="BQS107" s="1251"/>
      <c r="BQT107" s="1251"/>
      <c r="BQU107" s="1251"/>
      <c r="BQV107" s="1251"/>
      <c r="BQW107" s="1251"/>
      <c r="BQX107" s="1251"/>
      <c r="BQY107" s="1251"/>
      <c r="BQZ107" s="1251"/>
      <c r="BRA107" s="1251"/>
      <c r="BRB107" s="1251"/>
      <c r="BRC107" s="1251"/>
      <c r="BRD107" s="1251"/>
      <c r="BRE107" s="1251"/>
      <c r="BRF107" s="1251"/>
      <c r="BRG107" s="1251"/>
      <c r="BRH107" s="1251"/>
      <c r="BRI107" s="1251"/>
      <c r="BRJ107" s="1251"/>
      <c r="BRK107" s="1251"/>
      <c r="BRL107" s="1251"/>
      <c r="BRM107" s="1251"/>
      <c r="BRN107" s="1251"/>
      <c r="BRO107" s="1251"/>
      <c r="BRP107" s="1251"/>
      <c r="BRQ107" s="1251"/>
      <c r="BRR107" s="1251"/>
      <c r="BRS107" s="1251"/>
      <c r="BRT107" s="1251"/>
      <c r="BRU107" s="1251"/>
      <c r="BRV107" s="1251"/>
      <c r="BRW107" s="1251"/>
      <c r="BRX107" s="1251"/>
      <c r="BRY107" s="1251"/>
      <c r="BRZ107" s="1251"/>
      <c r="BSA107" s="1251"/>
      <c r="BSB107" s="1251"/>
      <c r="BSC107" s="1251"/>
      <c r="BSD107" s="1251"/>
      <c r="BSE107" s="1251"/>
      <c r="BSF107" s="1251"/>
      <c r="BSG107" s="1251"/>
      <c r="BSH107" s="1251"/>
      <c r="BSI107" s="1251"/>
      <c r="BSJ107" s="1251"/>
      <c r="BSK107" s="1251"/>
      <c r="BSL107" s="1251"/>
      <c r="BSM107" s="1251"/>
      <c r="BSN107" s="1251"/>
      <c r="BSO107" s="1251"/>
      <c r="BSP107" s="1251"/>
      <c r="BSQ107" s="1251"/>
      <c r="BSR107" s="1251"/>
      <c r="BSS107" s="1251"/>
      <c r="BST107" s="1251"/>
      <c r="BSU107" s="1251"/>
      <c r="BSV107" s="1251"/>
      <c r="BSW107" s="1251"/>
      <c r="BSX107" s="1251"/>
      <c r="BSY107" s="1251"/>
      <c r="BSZ107" s="1251"/>
      <c r="BTA107" s="1251"/>
      <c r="BTB107" s="1251"/>
      <c r="BTC107" s="1251"/>
      <c r="BTD107" s="1251"/>
      <c r="BTE107" s="1251"/>
      <c r="BTF107" s="1251"/>
      <c r="BTG107" s="1251"/>
      <c r="BTH107" s="1251"/>
      <c r="BTI107" s="1251"/>
    </row>
    <row r="108" spans="1:1881" s="1261" customFormat="1" ht="128.25" hidden="1" customHeight="1" thickBot="1" x14ac:dyDescent="0.35">
      <c r="A108" s="1274">
        <v>572</v>
      </c>
      <c r="B108" s="1272" t="s">
        <v>59</v>
      </c>
      <c r="C108" s="1276" t="s">
        <v>1301</v>
      </c>
      <c r="D108" s="1276" t="s">
        <v>1303</v>
      </c>
      <c r="E108" s="1249" t="e">
        <f>HLOOKUP($D$2,'2020 Data(H)'!$C$1:$CZ$426,222,FALSE)</f>
        <v>#N/A</v>
      </c>
      <c r="F108" s="1263">
        <v>0</v>
      </c>
      <c r="G108" s="727"/>
      <c r="H108" s="17"/>
      <c r="I108" s="760"/>
      <c r="J108" s="1252"/>
      <c r="K108" s="1251"/>
      <c r="L108" s="701"/>
      <c r="M108" s="1251"/>
      <c r="N108" s="1253"/>
      <c r="O108" s="1251"/>
      <c r="P108" s="1251"/>
      <c r="Q108" s="1251"/>
      <c r="R108" s="1251"/>
      <c r="S108" s="1251"/>
      <c r="T108" s="1251"/>
      <c r="U108" s="1251"/>
      <c r="V108" s="1251"/>
      <c r="W108" s="1251"/>
      <c r="X108" s="1251"/>
      <c r="Y108" s="1251"/>
      <c r="Z108" s="1274"/>
      <c r="AA108" s="1274"/>
      <c r="AB108" s="1274"/>
      <c r="AC108" s="1274"/>
      <c r="AD108" s="1274"/>
      <c r="AE108" s="1274"/>
      <c r="AF108" s="1274"/>
      <c r="AG108" s="1274"/>
      <c r="AH108" s="1274"/>
      <c r="AI108" s="1274"/>
      <c r="AJ108" s="1274"/>
      <c r="AK108" s="1274"/>
      <c r="AL108" s="1274"/>
      <c r="AM108" s="1274"/>
      <c r="AN108" s="1274"/>
      <c r="AO108" s="1274"/>
      <c r="AP108" s="1274"/>
      <c r="AQ108" s="1274"/>
      <c r="AR108" s="1274"/>
      <c r="AS108" s="1251"/>
      <c r="AT108" s="1251"/>
      <c r="AU108" s="1251"/>
      <c r="AV108" s="1251"/>
      <c r="AW108" s="1251"/>
      <c r="AX108" s="1251"/>
      <c r="AY108" s="1251"/>
      <c r="AZ108" s="1251"/>
      <c r="BA108" s="1251"/>
      <c r="BB108" s="1251"/>
      <c r="BC108" s="1251"/>
      <c r="BD108" s="1251"/>
      <c r="BE108" s="1251"/>
      <c r="BF108" s="1251"/>
      <c r="BG108" s="1251"/>
      <c r="BH108" s="1251"/>
      <c r="BI108" s="1251"/>
      <c r="BJ108" s="1251"/>
      <c r="BK108" s="1251"/>
      <c r="BL108" s="1251"/>
      <c r="BM108" s="1251"/>
      <c r="BN108" s="1251"/>
      <c r="BO108" s="1251"/>
      <c r="BP108" s="1251"/>
      <c r="BQ108" s="1251"/>
      <c r="BR108" s="1251"/>
      <c r="BS108" s="1251"/>
      <c r="BT108" s="1251"/>
      <c r="BU108" s="1251"/>
      <c r="BV108" s="1251"/>
      <c r="BW108" s="1251"/>
      <c r="BX108" s="1251"/>
      <c r="BY108" s="1251"/>
      <c r="BZ108" s="1251"/>
      <c r="CA108" s="1251"/>
      <c r="CB108" s="1251"/>
      <c r="CC108" s="1251"/>
      <c r="CD108" s="1251"/>
      <c r="CE108" s="1251"/>
      <c r="CF108" s="1251"/>
      <c r="CG108" s="1251"/>
      <c r="CH108" s="1251"/>
      <c r="CI108" s="1251"/>
      <c r="CJ108" s="1251"/>
      <c r="CK108" s="1251"/>
      <c r="CL108" s="1251"/>
      <c r="CM108" s="1251"/>
      <c r="CN108" s="1251"/>
      <c r="CO108" s="1251"/>
      <c r="CP108" s="1251"/>
      <c r="CQ108" s="1251"/>
      <c r="CR108" s="1251"/>
      <c r="CS108" s="1251"/>
      <c r="CT108" s="1251"/>
      <c r="CU108" s="1251"/>
      <c r="CV108" s="1251"/>
      <c r="CW108" s="1251"/>
      <c r="CX108" s="1251"/>
      <c r="CY108" s="1251"/>
      <c r="CZ108" s="1251"/>
      <c r="DA108" s="1251"/>
      <c r="DB108" s="1251"/>
      <c r="DC108" s="1251"/>
      <c r="DD108" s="1251"/>
      <c r="DE108" s="1251"/>
      <c r="DF108" s="1251"/>
      <c r="DG108" s="1251"/>
      <c r="DH108" s="1251"/>
      <c r="DI108" s="1251"/>
      <c r="DJ108" s="1251"/>
      <c r="DK108" s="1251"/>
      <c r="DL108" s="1251"/>
      <c r="DM108" s="1251"/>
      <c r="DN108" s="1251"/>
      <c r="DO108" s="1251"/>
      <c r="DP108" s="1251"/>
      <c r="DQ108" s="1251"/>
      <c r="DR108" s="1251"/>
      <c r="DS108" s="1251"/>
      <c r="DT108" s="1251"/>
      <c r="DU108" s="1251"/>
      <c r="DV108" s="1251"/>
      <c r="DW108" s="1251"/>
      <c r="DX108" s="1251"/>
      <c r="DY108" s="1251"/>
      <c r="DZ108" s="1251"/>
      <c r="EA108" s="1251"/>
      <c r="EB108" s="1251"/>
      <c r="EC108" s="1251"/>
      <c r="ED108" s="1251"/>
      <c r="EE108" s="1251"/>
      <c r="EF108" s="1251"/>
      <c r="EG108" s="1251"/>
      <c r="EH108" s="1251"/>
      <c r="EI108" s="1251"/>
      <c r="EJ108" s="1251"/>
      <c r="EK108" s="1251"/>
      <c r="EL108" s="1251"/>
      <c r="EM108" s="1251"/>
      <c r="EN108" s="1251"/>
      <c r="EO108" s="1251"/>
      <c r="EP108" s="1251"/>
      <c r="EQ108" s="1251"/>
      <c r="ER108" s="1251"/>
      <c r="ES108" s="1251"/>
      <c r="ET108" s="1251"/>
      <c r="EU108" s="1251"/>
      <c r="EV108" s="1251"/>
      <c r="EW108" s="1251"/>
      <c r="EX108" s="1251"/>
      <c r="EY108" s="1251"/>
      <c r="EZ108" s="1251"/>
      <c r="FA108" s="1251"/>
      <c r="FB108" s="1251"/>
      <c r="FC108" s="1251"/>
      <c r="FD108" s="1251"/>
      <c r="FE108" s="1251"/>
      <c r="FF108" s="1251"/>
      <c r="FG108" s="1251"/>
      <c r="FH108" s="1251"/>
      <c r="FI108" s="1251"/>
      <c r="FJ108" s="1251"/>
      <c r="FK108" s="1251"/>
      <c r="FL108" s="1251"/>
      <c r="FM108" s="1251"/>
      <c r="FN108" s="1251"/>
      <c r="FO108" s="1251"/>
      <c r="FP108" s="1251"/>
      <c r="FQ108" s="1251"/>
      <c r="FR108" s="1251"/>
      <c r="FS108" s="1251"/>
      <c r="FT108" s="1251"/>
      <c r="FU108" s="1251"/>
      <c r="FV108" s="1251"/>
      <c r="FW108" s="1251"/>
      <c r="FX108" s="1251"/>
      <c r="FY108" s="1251"/>
      <c r="FZ108" s="1251"/>
      <c r="GA108" s="1251"/>
      <c r="GB108" s="1251"/>
      <c r="GC108" s="1251"/>
      <c r="GD108" s="1251"/>
      <c r="GE108" s="1251"/>
      <c r="GF108" s="1251"/>
      <c r="GG108" s="1251"/>
      <c r="GH108" s="1251"/>
      <c r="GI108" s="1251"/>
      <c r="GJ108" s="1251"/>
      <c r="GK108" s="1251"/>
      <c r="GL108" s="1251"/>
      <c r="GM108" s="1251"/>
      <c r="GN108" s="1251"/>
      <c r="GO108" s="1251"/>
      <c r="GP108" s="1251"/>
      <c r="GQ108" s="1251"/>
      <c r="GR108" s="1251"/>
      <c r="GS108" s="1251"/>
      <c r="GT108" s="1251"/>
      <c r="GU108" s="1251"/>
      <c r="GV108" s="1251"/>
      <c r="GW108" s="1251"/>
      <c r="GX108" s="1251"/>
      <c r="GY108" s="1251"/>
      <c r="GZ108" s="1251"/>
      <c r="HA108" s="1251"/>
      <c r="HB108" s="1251"/>
      <c r="HC108" s="1251"/>
      <c r="HD108" s="1251"/>
      <c r="HE108" s="1251"/>
      <c r="HF108" s="1251"/>
      <c r="HG108" s="1251"/>
      <c r="HH108" s="1251"/>
      <c r="HI108" s="1251"/>
      <c r="HJ108" s="1251"/>
      <c r="HK108" s="1251"/>
      <c r="HL108" s="1251"/>
      <c r="HM108" s="1251"/>
      <c r="HN108" s="1251"/>
      <c r="HO108" s="1251"/>
      <c r="HP108" s="1251"/>
      <c r="HQ108" s="1251"/>
      <c r="HR108" s="1251"/>
      <c r="HS108" s="1251"/>
      <c r="HT108" s="1251"/>
      <c r="HU108" s="1251"/>
      <c r="HV108" s="1251"/>
      <c r="HW108" s="1251"/>
      <c r="HX108" s="1251"/>
      <c r="HY108" s="1251"/>
      <c r="HZ108" s="1251"/>
      <c r="IA108" s="1251"/>
      <c r="IB108" s="1251"/>
      <c r="IC108" s="1251"/>
      <c r="ID108" s="1251"/>
      <c r="IE108" s="1251"/>
      <c r="IF108" s="1251"/>
      <c r="IG108" s="1251"/>
      <c r="IH108" s="1251"/>
      <c r="II108" s="1251"/>
      <c r="IJ108" s="1251"/>
      <c r="IK108" s="1251"/>
      <c r="IL108" s="1251"/>
      <c r="IM108" s="1251"/>
      <c r="IN108" s="1251"/>
      <c r="IO108" s="1251"/>
      <c r="IP108" s="1251"/>
      <c r="IQ108" s="1251"/>
      <c r="IR108" s="1251"/>
      <c r="IS108" s="1251"/>
      <c r="IT108" s="1251"/>
      <c r="IU108" s="1251"/>
      <c r="IV108" s="1251"/>
      <c r="IW108" s="1251"/>
      <c r="IX108" s="1251"/>
      <c r="IY108" s="1251"/>
      <c r="IZ108" s="1251"/>
      <c r="JA108" s="1251"/>
      <c r="JB108" s="1251"/>
      <c r="JC108" s="1251"/>
      <c r="JD108" s="1251"/>
      <c r="JE108" s="1251"/>
      <c r="JF108" s="1251"/>
      <c r="JG108" s="1251"/>
      <c r="JH108" s="1251"/>
      <c r="JI108" s="1251"/>
      <c r="JJ108" s="1251"/>
      <c r="JK108" s="1251"/>
      <c r="JL108" s="1251"/>
      <c r="JM108" s="1251"/>
      <c r="JN108" s="1251"/>
      <c r="JO108" s="1251"/>
      <c r="JP108" s="1251"/>
      <c r="JQ108" s="1251"/>
      <c r="JR108" s="1251"/>
      <c r="JS108" s="1251"/>
      <c r="JT108" s="1251"/>
      <c r="JU108" s="1251"/>
      <c r="JV108" s="1251"/>
      <c r="JW108" s="1251"/>
      <c r="JX108" s="1251"/>
      <c r="JY108" s="1251"/>
      <c r="JZ108" s="1251"/>
      <c r="KA108" s="1251"/>
      <c r="KB108" s="1251"/>
      <c r="KC108" s="1251"/>
      <c r="KD108" s="1251"/>
      <c r="KE108" s="1251"/>
      <c r="KF108" s="1251"/>
      <c r="KG108" s="1251"/>
      <c r="KH108" s="1251"/>
      <c r="KI108" s="1251"/>
      <c r="KJ108" s="1251"/>
      <c r="KK108" s="1251"/>
      <c r="KL108" s="1251"/>
      <c r="KM108" s="1251"/>
      <c r="KN108" s="1251"/>
      <c r="KO108" s="1251"/>
      <c r="KP108" s="1251"/>
      <c r="KQ108" s="1251"/>
      <c r="KR108" s="1251"/>
      <c r="KS108" s="1251"/>
      <c r="KT108" s="1251"/>
      <c r="KU108" s="1251"/>
      <c r="KV108" s="1251"/>
      <c r="KW108" s="1251"/>
      <c r="KX108" s="1251"/>
      <c r="KY108" s="1251"/>
      <c r="KZ108" s="1251"/>
      <c r="LA108" s="1251"/>
      <c r="LB108" s="1251"/>
      <c r="LC108" s="1251"/>
      <c r="LD108" s="1251"/>
      <c r="LE108" s="1251"/>
      <c r="LF108" s="1251"/>
      <c r="LG108" s="1251"/>
      <c r="LH108" s="1251"/>
      <c r="LI108" s="1251"/>
      <c r="LJ108" s="1251"/>
      <c r="LK108" s="1251"/>
      <c r="LL108" s="1251"/>
      <c r="LM108" s="1251"/>
      <c r="LN108" s="1251"/>
      <c r="LO108" s="1251"/>
      <c r="LP108" s="1251"/>
      <c r="LQ108" s="1251"/>
      <c r="LR108" s="1251"/>
      <c r="LS108" s="1251"/>
      <c r="LT108" s="1251"/>
      <c r="LU108" s="1251"/>
      <c r="LV108" s="1251"/>
      <c r="LW108" s="1251"/>
      <c r="LX108" s="1251"/>
      <c r="LY108" s="1251"/>
      <c r="LZ108" s="1251"/>
      <c r="MA108" s="1251"/>
      <c r="MB108" s="1251"/>
      <c r="MC108" s="1251"/>
      <c r="MD108" s="1251"/>
      <c r="ME108" s="1251"/>
      <c r="MF108" s="1251"/>
      <c r="MG108" s="1251"/>
      <c r="MH108" s="1251"/>
      <c r="MI108" s="1251"/>
      <c r="MJ108" s="1251"/>
      <c r="MK108" s="1251"/>
      <c r="ML108" s="1251"/>
      <c r="MM108" s="1251"/>
      <c r="MN108" s="1251"/>
      <c r="MO108" s="1251"/>
      <c r="MP108" s="1251"/>
      <c r="MQ108" s="1251"/>
      <c r="MR108" s="1251"/>
      <c r="MS108" s="1251"/>
      <c r="MT108" s="1251"/>
      <c r="MU108" s="1251"/>
      <c r="MV108" s="1251"/>
      <c r="MW108" s="1251"/>
      <c r="MX108" s="1251"/>
      <c r="MY108" s="1251"/>
      <c r="MZ108" s="1251"/>
      <c r="NA108" s="1251"/>
      <c r="NB108" s="1251"/>
      <c r="NC108" s="1251"/>
      <c r="ND108" s="1251"/>
      <c r="NE108" s="1251"/>
      <c r="NF108" s="1251"/>
      <c r="NG108" s="1251"/>
      <c r="NH108" s="1251"/>
      <c r="NI108" s="1251"/>
      <c r="NJ108" s="1251"/>
      <c r="NK108" s="1251"/>
      <c r="NL108" s="1251"/>
      <c r="NM108" s="1251"/>
      <c r="NN108" s="1251"/>
      <c r="NO108" s="1251"/>
      <c r="NP108" s="1251"/>
      <c r="NQ108" s="1251"/>
      <c r="NR108" s="1251"/>
      <c r="NS108" s="1251"/>
      <c r="NT108" s="1251"/>
      <c r="NU108" s="1251"/>
      <c r="NV108" s="1251"/>
      <c r="NW108" s="1251"/>
      <c r="NX108" s="1251"/>
      <c r="NY108" s="1251"/>
      <c r="NZ108" s="1251"/>
      <c r="OA108" s="1251"/>
      <c r="OB108" s="1251"/>
      <c r="OC108" s="1251"/>
      <c r="OD108" s="1251"/>
      <c r="OE108" s="1251"/>
      <c r="OF108" s="1251"/>
      <c r="OG108" s="1251"/>
      <c r="OH108" s="1251"/>
      <c r="OI108" s="1251"/>
      <c r="OJ108" s="1251"/>
      <c r="OK108" s="1251"/>
      <c r="OL108" s="1251"/>
      <c r="OM108" s="1251"/>
      <c r="ON108" s="1251"/>
      <c r="OO108" s="1251"/>
      <c r="OP108" s="1251"/>
      <c r="OQ108" s="1251"/>
      <c r="OR108" s="1251"/>
      <c r="OS108" s="1251"/>
      <c r="OT108" s="1251"/>
      <c r="OU108" s="1251"/>
      <c r="OV108" s="1251"/>
      <c r="OW108" s="1251"/>
      <c r="OX108" s="1251"/>
      <c r="OY108" s="1251"/>
      <c r="OZ108" s="1251"/>
      <c r="PA108" s="1251"/>
      <c r="PB108" s="1251"/>
      <c r="PC108" s="1251"/>
      <c r="PD108" s="1251"/>
      <c r="PE108" s="1251"/>
      <c r="PF108" s="1251"/>
      <c r="PG108" s="1251"/>
      <c r="PH108" s="1251"/>
      <c r="PI108" s="1251"/>
      <c r="PJ108" s="1251"/>
      <c r="PK108" s="1251"/>
      <c r="PL108" s="1251"/>
      <c r="PM108" s="1251"/>
      <c r="PN108" s="1251"/>
      <c r="PO108" s="1251"/>
      <c r="PP108" s="1251"/>
      <c r="PQ108" s="1251"/>
      <c r="PR108" s="1251"/>
      <c r="PS108" s="1251"/>
      <c r="PT108" s="1251"/>
      <c r="PU108" s="1251"/>
      <c r="PV108" s="1251"/>
      <c r="PW108" s="1251"/>
      <c r="PX108" s="1251"/>
      <c r="PY108" s="1251"/>
      <c r="PZ108" s="1251"/>
      <c r="QA108" s="1251"/>
      <c r="QB108" s="1251"/>
      <c r="QC108" s="1251"/>
      <c r="QD108" s="1251"/>
      <c r="QE108" s="1251"/>
      <c r="QF108" s="1251"/>
      <c r="QG108" s="1251"/>
      <c r="QH108" s="1251"/>
      <c r="QI108" s="1251"/>
      <c r="QJ108" s="1251"/>
      <c r="QK108" s="1251"/>
      <c r="QL108" s="1251"/>
      <c r="QM108" s="1251"/>
      <c r="QN108" s="1251"/>
      <c r="QO108" s="1251"/>
      <c r="QP108" s="1251"/>
      <c r="QQ108" s="1251"/>
      <c r="QR108" s="1251"/>
      <c r="QS108" s="1251"/>
      <c r="QT108" s="1251"/>
      <c r="QU108" s="1251"/>
      <c r="QV108" s="1251"/>
      <c r="QW108" s="1251"/>
      <c r="QX108" s="1251"/>
      <c r="QY108" s="1251"/>
      <c r="QZ108" s="1251"/>
      <c r="RA108" s="1251"/>
      <c r="RB108" s="1251"/>
      <c r="RC108" s="1251"/>
      <c r="RD108" s="1251"/>
      <c r="RE108" s="1251"/>
      <c r="RF108" s="1251"/>
      <c r="RG108" s="1251"/>
      <c r="RH108" s="1251"/>
      <c r="RI108" s="1251"/>
      <c r="RJ108" s="1251"/>
      <c r="RK108" s="1251"/>
      <c r="RL108" s="1251"/>
      <c r="RM108" s="1251"/>
      <c r="RN108" s="1251"/>
      <c r="RO108" s="1251"/>
      <c r="RP108" s="1251"/>
      <c r="RQ108" s="1251"/>
      <c r="RR108" s="1251"/>
      <c r="RS108" s="1251"/>
      <c r="RT108" s="1251"/>
      <c r="RU108" s="1251"/>
      <c r="RV108" s="1251"/>
      <c r="RW108" s="1251"/>
      <c r="RX108" s="1251"/>
      <c r="RY108" s="1251"/>
      <c r="RZ108" s="1251"/>
      <c r="SA108" s="1251"/>
      <c r="SB108" s="1251"/>
      <c r="SC108" s="1251"/>
      <c r="SD108" s="1251"/>
      <c r="SE108" s="1251"/>
      <c r="SF108" s="1251"/>
      <c r="SG108" s="1251"/>
      <c r="SH108" s="1251"/>
      <c r="SI108" s="1251"/>
      <c r="SJ108" s="1251"/>
      <c r="SK108" s="1251"/>
      <c r="SL108" s="1251"/>
      <c r="SM108" s="1251"/>
      <c r="SN108" s="1251"/>
      <c r="SO108" s="1251"/>
      <c r="SP108" s="1251"/>
      <c r="SQ108" s="1251"/>
      <c r="SR108" s="1251"/>
      <c r="SS108" s="1251"/>
      <c r="ST108" s="1251"/>
      <c r="SU108" s="1251"/>
      <c r="SV108" s="1251"/>
      <c r="SW108" s="1251"/>
      <c r="SX108" s="1251"/>
      <c r="SY108" s="1251"/>
      <c r="SZ108" s="1251"/>
      <c r="TA108" s="1251"/>
      <c r="TB108" s="1251"/>
      <c r="TC108" s="1251"/>
      <c r="TD108" s="1251"/>
      <c r="TE108" s="1251"/>
      <c r="TF108" s="1251"/>
      <c r="TG108" s="1251"/>
      <c r="TH108" s="1251"/>
      <c r="TI108" s="1251"/>
      <c r="TJ108" s="1251"/>
      <c r="TK108" s="1251"/>
      <c r="TL108" s="1251"/>
      <c r="TM108" s="1251"/>
      <c r="TN108" s="1251"/>
      <c r="TO108" s="1251"/>
      <c r="TP108" s="1251"/>
      <c r="TQ108" s="1251"/>
      <c r="TR108" s="1251"/>
      <c r="TS108" s="1251"/>
      <c r="TT108" s="1251"/>
      <c r="TU108" s="1251"/>
      <c r="TV108" s="1251"/>
      <c r="TW108" s="1251"/>
      <c r="TX108" s="1251"/>
      <c r="TY108" s="1251"/>
      <c r="TZ108" s="1251"/>
      <c r="UA108" s="1251"/>
      <c r="UB108" s="1251"/>
      <c r="UC108" s="1251"/>
      <c r="UD108" s="1251"/>
      <c r="UE108" s="1251"/>
      <c r="UF108" s="1251"/>
      <c r="UG108" s="1251"/>
      <c r="UH108" s="1251"/>
      <c r="UI108" s="1251"/>
      <c r="UJ108" s="1251"/>
      <c r="UK108" s="1251"/>
      <c r="UL108" s="1251"/>
      <c r="UM108" s="1251"/>
      <c r="UN108" s="1251"/>
      <c r="UO108" s="1251"/>
      <c r="UP108" s="1251"/>
      <c r="UQ108" s="1251"/>
      <c r="UR108" s="1251"/>
      <c r="US108" s="1251"/>
      <c r="UT108" s="1251"/>
      <c r="UU108" s="1251"/>
      <c r="UV108" s="1251"/>
      <c r="UW108" s="1251"/>
      <c r="UX108" s="1251"/>
      <c r="UY108" s="1251"/>
      <c r="UZ108" s="1251"/>
      <c r="VA108" s="1251"/>
      <c r="VB108" s="1251"/>
      <c r="VC108" s="1251"/>
      <c r="VD108" s="1251"/>
      <c r="VE108" s="1251"/>
      <c r="VF108" s="1251"/>
      <c r="VG108" s="1251"/>
      <c r="VH108" s="1251"/>
      <c r="VI108" s="1251"/>
      <c r="VJ108" s="1251"/>
      <c r="VK108" s="1251"/>
      <c r="VL108" s="1251"/>
      <c r="VM108" s="1251"/>
      <c r="VN108" s="1251"/>
      <c r="VO108" s="1251"/>
      <c r="VP108" s="1251"/>
      <c r="VQ108" s="1251"/>
      <c r="VR108" s="1251"/>
      <c r="VS108" s="1251"/>
      <c r="VT108" s="1251"/>
      <c r="VU108" s="1251"/>
      <c r="VV108" s="1251"/>
      <c r="VW108" s="1251"/>
      <c r="VX108" s="1251"/>
      <c r="VY108" s="1251"/>
      <c r="VZ108" s="1251"/>
      <c r="WA108" s="1251"/>
      <c r="WB108" s="1251"/>
      <c r="WC108" s="1251"/>
      <c r="WD108" s="1251"/>
      <c r="WE108" s="1251"/>
      <c r="WF108" s="1251"/>
      <c r="WG108" s="1251"/>
      <c r="WH108" s="1251"/>
      <c r="WI108" s="1251"/>
      <c r="WJ108" s="1251"/>
      <c r="WK108" s="1251"/>
      <c r="WL108" s="1251"/>
      <c r="WM108" s="1251"/>
      <c r="WN108" s="1251"/>
      <c r="WO108" s="1251"/>
      <c r="WP108" s="1251"/>
      <c r="WQ108" s="1251"/>
      <c r="WR108" s="1251"/>
      <c r="WS108" s="1251"/>
      <c r="WT108" s="1251"/>
      <c r="WU108" s="1251"/>
      <c r="WV108" s="1251"/>
      <c r="WW108" s="1251"/>
      <c r="WX108" s="1251"/>
      <c r="WY108" s="1251"/>
      <c r="WZ108" s="1251"/>
      <c r="XA108" s="1251"/>
      <c r="XB108" s="1251"/>
      <c r="XC108" s="1251"/>
      <c r="XD108" s="1251"/>
      <c r="XE108" s="1251"/>
      <c r="XF108" s="1251"/>
      <c r="XG108" s="1251"/>
      <c r="XH108" s="1251"/>
      <c r="XI108" s="1251"/>
      <c r="XJ108" s="1251"/>
      <c r="XK108" s="1251"/>
      <c r="XL108" s="1251"/>
      <c r="XM108" s="1251"/>
      <c r="XN108" s="1251"/>
      <c r="XO108" s="1251"/>
      <c r="XP108" s="1251"/>
      <c r="XQ108" s="1251"/>
      <c r="XR108" s="1251"/>
      <c r="XS108" s="1251"/>
      <c r="XT108" s="1251"/>
      <c r="XU108" s="1251"/>
      <c r="XV108" s="1251"/>
      <c r="XW108" s="1251"/>
      <c r="XX108" s="1251"/>
      <c r="XY108" s="1251"/>
      <c r="XZ108" s="1251"/>
      <c r="YA108" s="1251"/>
      <c r="YB108" s="1251"/>
      <c r="YC108" s="1251"/>
      <c r="YD108" s="1251"/>
      <c r="YE108" s="1251"/>
      <c r="YF108" s="1251"/>
      <c r="YG108" s="1251"/>
      <c r="YH108" s="1251"/>
      <c r="YI108" s="1251"/>
      <c r="YJ108" s="1251"/>
      <c r="YK108" s="1251"/>
      <c r="YL108" s="1251"/>
      <c r="YM108" s="1251"/>
      <c r="YN108" s="1251"/>
      <c r="YO108" s="1251"/>
      <c r="YP108" s="1251"/>
      <c r="YQ108" s="1251"/>
      <c r="YR108" s="1251"/>
      <c r="YS108" s="1251"/>
      <c r="YT108" s="1251"/>
      <c r="YU108" s="1251"/>
      <c r="YV108" s="1251"/>
      <c r="YW108" s="1251"/>
      <c r="YX108" s="1251"/>
      <c r="YY108" s="1251"/>
      <c r="YZ108" s="1251"/>
      <c r="ZA108" s="1251"/>
      <c r="ZB108" s="1251"/>
      <c r="ZC108" s="1251"/>
      <c r="ZD108" s="1251"/>
      <c r="ZE108" s="1251"/>
      <c r="ZF108" s="1251"/>
      <c r="ZG108" s="1251"/>
      <c r="ZH108" s="1251"/>
      <c r="ZI108" s="1251"/>
      <c r="ZJ108" s="1251"/>
      <c r="ZK108" s="1251"/>
      <c r="ZL108" s="1251"/>
      <c r="ZM108" s="1251"/>
      <c r="ZN108" s="1251"/>
      <c r="ZO108" s="1251"/>
      <c r="ZP108" s="1251"/>
      <c r="ZQ108" s="1251"/>
      <c r="ZR108" s="1251"/>
      <c r="ZS108" s="1251"/>
      <c r="ZT108" s="1251"/>
      <c r="ZU108" s="1251"/>
      <c r="ZV108" s="1251"/>
      <c r="ZW108" s="1251"/>
      <c r="ZX108" s="1251"/>
      <c r="ZY108" s="1251"/>
      <c r="ZZ108" s="1251"/>
      <c r="AAA108" s="1251"/>
      <c r="AAB108" s="1251"/>
      <c r="AAC108" s="1251"/>
      <c r="AAD108" s="1251"/>
      <c r="AAE108" s="1251"/>
      <c r="AAF108" s="1251"/>
      <c r="AAG108" s="1251"/>
      <c r="AAH108" s="1251"/>
      <c r="AAI108" s="1251"/>
      <c r="AAJ108" s="1251"/>
      <c r="AAK108" s="1251"/>
      <c r="AAL108" s="1251"/>
      <c r="AAM108" s="1251"/>
      <c r="AAN108" s="1251"/>
      <c r="AAO108" s="1251"/>
      <c r="AAP108" s="1251"/>
      <c r="AAQ108" s="1251"/>
      <c r="AAR108" s="1251"/>
      <c r="AAS108" s="1251"/>
      <c r="AAT108" s="1251"/>
      <c r="AAU108" s="1251"/>
      <c r="AAV108" s="1251"/>
      <c r="AAW108" s="1251"/>
      <c r="AAX108" s="1251"/>
      <c r="AAY108" s="1251"/>
      <c r="AAZ108" s="1251"/>
      <c r="ABA108" s="1251"/>
      <c r="ABB108" s="1251"/>
      <c r="ABC108" s="1251"/>
      <c r="ABD108" s="1251"/>
      <c r="ABE108" s="1251"/>
      <c r="ABF108" s="1251"/>
      <c r="ABG108" s="1251"/>
      <c r="ABH108" s="1251"/>
      <c r="ABI108" s="1251"/>
      <c r="ABJ108" s="1251"/>
      <c r="ABK108" s="1251"/>
      <c r="ABL108" s="1251"/>
      <c r="ABM108" s="1251"/>
      <c r="ABN108" s="1251"/>
      <c r="ABO108" s="1251"/>
      <c r="ABP108" s="1251"/>
      <c r="ABQ108" s="1251"/>
      <c r="ABR108" s="1251"/>
      <c r="ABS108" s="1251"/>
      <c r="ABT108" s="1251"/>
      <c r="ABU108" s="1251"/>
      <c r="ABV108" s="1251"/>
      <c r="ABW108" s="1251"/>
      <c r="ABX108" s="1251"/>
      <c r="ABY108" s="1251"/>
      <c r="ABZ108" s="1251"/>
      <c r="ACA108" s="1251"/>
      <c r="ACB108" s="1251"/>
      <c r="ACC108" s="1251"/>
      <c r="ACD108" s="1251"/>
      <c r="ACE108" s="1251"/>
      <c r="ACF108" s="1251"/>
      <c r="ACG108" s="1251"/>
      <c r="ACH108" s="1251"/>
      <c r="ACI108" s="1251"/>
      <c r="ACJ108" s="1251"/>
      <c r="ACK108" s="1251"/>
      <c r="ACL108" s="1251"/>
      <c r="ACM108" s="1251"/>
      <c r="ACN108" s="1251"/>
      <c r="ACO108" s="1251"/>
      <c r="ACP108" s="1251"/>
      <c r="ACQ108" s="1251"/>
      <c r="ACR108" s="1251"/>
      <c r="ACS108" s="1251"/>
      <c r="ACT108" s="1251"/>
      <c r="ACU108" s="1251"/>
      <c r="ACV108" s="1251"/>
      <c r="ACW108" s="1251"/>
      <c r="ACX108" s="1251"/>
      <c r="ACY108" s="1251"/>
      <c r="ACZ108" s="1251"/>
      <c r="ADA108" s="1251"/>
      <c r="ADB108" s="1251"/>
      <c r="ADC108" s="1251"/>
      <c r="ADD108" s="1251"/>
      <c r="ADE108" s="1251"/>
      <c r="ADF108" s="1251"/>
      <c r="ADG108" s="1251"/>
      <c r="ADH108" s="1251"/>
      <c r="ADI108" s="1251"/>
      <c r="ADJ108" s="1251"/>
      <c r="ADK108" s="1251"/>
      <c r="ADL108" s="1251"/>
      <c r="ADM108" s="1251"/>
      <c r="ADN108" s="1251"/>
      <c r="ADO108" s="1251"/>
      <c r="ADP108" s="1251"/>
      <c r="ADQ108" s="1251"/>
      <c r="ADR108" s="1251"/>
      <c r="ADS108" s="1251"/>
      <c r="ADT108" s="1251"/>
      <c r="ADU108" s="1251"/>
      <c r="ADV108" s="1251"/>
      <c r="ADW108" s="1251"/>
      <c r="ADX108" s="1251"/>
      <c r="ADY108" s="1251"/>
      <c r="ADZ108" s="1251"/>
      <c r="AEA108" s="1251"/>
      <c r="AEB108" s="1251"/>
      <c r="AEC108" s="1251"/>
      <c r="AED108" s="1251"/>
      <c r="AEE108" s="1251"/>
      <c r="AEF108" s="1251"/>
      <c r="AEG108" s="1251"/>
      <c r="AEH108" s="1251"/>
      <c r="AEI108" s="1251"/>
      <c r="AEJ108" s="1251"/>
      <c r="AEK108" s="1251"/>
      <c r="AEL108" s="1251"/>
      <c r="AEM108" s="1251"/>
      <c r="AEN108" s="1251"/>
      <c r="AEO108" s="1251"/>
      <c r="AEP108" s="1251"/>
      <c r="AEQ108" s="1251"/>
      <c r="AER108" s="1251"/>
      <c r="AES108" s="1251"/>
      <c r="AET108" s="1251"/>
      <c r="AEU108" s="1251"/>
      <c r="AEV108" s="1251"/>
      <c r="AEW108" s="1251"/>
      <c r="AEX108" s="1251"/>
      <c r="AEY108" s="1251"/>
      <c r="AEZ108" s="1251"/>
      <c r="AFA108" s="1251"/>
      <c r="AFB108" s="1251"/>
      <c r="AFC108" s="1251"/>
      <c r="AFD108" s="1251"/>
      <c r="AFE108" s="1251"/>
      <c r="AFF108" s="1251"/>
      <c r="AFG108" s="1251"/>
      <c r="AFH108" s="1251"/>
      <c r="AFI108" s="1251"/>
      <c r="AFJ108" s="1251"/>
      <c r="AFK108" s="1251"/>
      <c r="AFL108" s="1251"/>
      <c r="AFM108" s="1251"/>
      <c r="AFN108" s="1251"/>
      <c r="AFO108" s="1251"/>
      <c r="AFP108" s="1251"/>
      <c r="AFQ108" s="1251"/>
      <c r="AFR108" s="1251"/>
      <c r="AFS108" s="1251"/>
      <c r="AFT108" s="1251"/>
      <c r="AFU108" s="1251"/>
      <c r="AFV108" s="1251"/>
      <c r="AFW108" s="1251"/>
      <c r="AFX108" s="1251"/>
      <c r="AFY108" s="1251"/>
      <c r="AFZ108" s="1251"/>
      <c r="AGA108" s="1251"/>
      <c r="AGB108" s="1251"/>
      <c r="AGC108" s="1251"/>
      <c r="AGD108" s="1251"/>
      <c r="AGE108" s="1251"/>
      <c r="AGF108" s="1251"/>
      <c r="AGG108" s="1251"/>
      <c r="AGH108" s="1251"/>
      <c r="AGI108" s="1251"/>
      <c r="AGJ108" s="1251"/>
      <c r="AGK108" s="1251"/>
      <c r="AGL108" s="1251"/>
      <c r="AGM108" s="1251"/>
      <c r="AGN108" s="1251"/>
      <c r="AGO108" s="1251"/>
      <c r="AGP108" s="1251"/>
      <c r="AGQ108" s="1251"/>
      <c r="AGR108" s="1251"/>
      <c r="AGS108" s="1251"/>
      <c r="AGT108" s="1251"/>
      <c r="AGU108" s="1251"/>
      <c r="AGV108" s="1251"/>
      <c r="AGW108" s="1251"/>
      <c r="AGX108" s="1251"/>
      <c r="AGY108" s="1251"/>
      <c r="AGZ108" s="1251"/>
      <c r="AHA108" s="1251"/>
      <c r="AHB108" s="1251"/>
      <c r="AHC108" s="1251"/>
      <c r="AHD108" s="1251"/>
      <c r="AHE108" s="1251"/>
      <c r="AHF108" s="1251"/>
      <c r="AHG108" s="1251"/>
      <c r="AHH108" s="1251"/>
      <c r="AHI108" s="1251"/>
      <c r="AHJ108" s="1251"/>
      <c r="AHK108" s="1251"/>
      <c r="AHL108" s="1251"/>
      <c r="AHM108" s="1251"/>
      <c r="AHN108" s="1251"/>
      <c r="AHO108" s="1251"/>
      <c r="AHP108" s="1251"/>
      <c r="AHQ108" s="1251"/>
      <c r="AHR108" s="1251"/>
      <c r="AHS108" s="1251"/>
      <c r="AHT108" s="1251"/>
      <c r="AHU108" s="1251"/>
      <c r="AHV108" s="1251"/>
      <c r="AHW108" s="1251"/>
      <c r="AHX108" s="1251"/>
      <c r="AHY108" s="1251"/>
      <c r="AHZ108" s="1251"/>
      <c r="AIA108" s="1251"/>
      <c r="AIB108" s="1251"/>
      <c r="AIC108" s="1251"/>
      <c r="AID108" s="1251"/>
      <c r="AIE108" s="1251"/>
      <c r="AIF108" s="1251"/>
      <c r="AIG108" s="1251"/>
      <c r="AIH108" s="1251"/>
      <c r="AII108" s="1251"/>
      <c r="AIJ108" s="1251"/>
      <c r="AIK108" s="1251"/>
      <c r="AIL108" s="1251"/>
      <c r="AIM108" s="1251"/>
      <c r="AIN108" s="1251"/>
      <c r="AIO108" s="1251"/>
      <c r="AIP108" s="1251"/>
      <c r="AIQ108" s="1251"/>
      <c r="AIR108" s="1251"/>
      <c r="AIS108" s="1251"/>
      <c r="AIT108" s="1251"/>
      <c r="AIU108" s="1251"/>
      <c r="AIV108" s="1251"/>
      <c r="AIW108" s="1251"/>
      <c r="AIX108" s="1251"/>
      <c r="AIY108" s="1251"/>
      <c r="AIZ108" s="1251"/>
      <c r="AJA108" s="1251"/>
      <c r="AJB108" s="1251"/>
      <c r="AJC108" s="1251"/>
      <c r="AJD108" s="1251"/>
      <c r="AJE108" s="1251"/>
      <c r="AJF108" s="1251"/>
      <c r="AJG108" s="1251"/>
      <c r="AJH108" s="1251"/>
      <c r="AJI108" s="1251"/>
      <c r="AJJ108" s="1251"/>
      <c r="AJK108" s="1251"/>
      <c r="AJL108" s="1251"/>
      <c r="AJM108" s="1251"/>
      <c r="AJN108" s="1251"/>
      <c r="AJO108" s="1251"/>
      <c r="AJP108" s="1251"/>
      <c r="AJQ108" s="1251"/>
      <c r="AJR108" s="1251"/>
      <c r="AJS108" s="1251"/>
      <c r="AJT108" s="1251"/>
      <c r="AJU108" s="1251"/>
      <c r="AJV108" s="1251"/>
      <c r="AJW108" s="1251"/>
      <c r="AJX108" s="1251"/>
      <c r="AJY108" s="1251"/>
      <c r="AJZ108" s="1251"/>
      <c r="AKA108" s="1251"/>
      <c r="AKB108" s="1251"/>
      <c r="AKC108" s="1251"/>
      <c r="AKD108" s="1251"/>
      <c r="AKE108" s="1251"/>
      <c r="AKF108" s="1251"/>
      <c r="AKG108" s="1251"/>
      <c r="AKH108" s="1251"/>
      <c r="AKI108" s="1251"/>
      <c r="AKJ108" s="1251"/>
      <c r="AKK108" s="1251"/>
      <c r="AKL108" s="1251"/>
      <c r="AKM108" s="1251"/>
      <c r="AKN108" s="1251"/>
      <c r="AKO108" s="1251"/>
      <c r="AKP108" s="1251"/>
      <c r="AKQ108" s="1251"/>
      <c r="AKR108" s="1251"/>
      <c r="AKS108" s="1251"/>
      <c r="AKT108" s="1251"/>
      <c r="AKU108" s="1251"/>
      <c r="AKV108" s="1251"/>
      <c r="AKW108" s="1251"/>
      <c r="AKX108" s="1251"/>
      <c r="AKY108" s="1251"/>
      <c r="AKZ108" s="1251"/>
      <c r="ALA108" s="1251"/>
      <c r="ALB108" s="1251"/>
      <c r="ALC108" s="1251"/>
      <c r="ALD108" s="1251"/>
      <c r="ALE108" s="1251"/>
      <c r="ALF108" s="1251"/>
      <c r="ALG108" s="1251"/>
      <c r="ALH108" s="1251"/>
      <c r="ALI108" s="1251"/>
      <c r="ALJ108" s="1251"/>
      <c r="ALK108" s="1251"/>
      <c r="ALL108" s="1251"/>
      <c r="ALM108" s="1251"/>
      <c r="ALN108" s="1251"/>
      <c r="ALO108" s="1251"/>
      <c r="ALP108" s="1251"/>
      <c r="ALQ108" s="1251"/>
      <c r="ALR108" s="1251"/>
      <c r="ALS108" s="1251"/>
      <c r="ALT108" s="1251"/>
      <c r="ALU108" s="1251"/>
      <c r="ALV108" s="1251"/>
      <c r="ALW108" s="1251"/>
      <c r="ALX108" s="1251"/>
      <c r="ALY108" s="1251"/>
      <c r="ALZ108" s="1251"/>
      <c r="AMA108" s="1251"/>
      <c r="AMB108" s="1251"/>
      <c r="AMC108" s="1251"/>
      <c r="AMD108" s="1251"/>
      <c r="AME108" s="1251"/>
      <c r="AMF108" s="1251"/>
      <c r="AMG108" s="1251"/>
      <c r="AMH108" s="1251"/>
      <c r="AMI108" s="1251"/>
      <c r="AMJ108" s="1251"/>
      <c r="AMK108" s="1251"/>
      <c r="AML108" s="1251"/>
      <c r="AMM108" s="1251"/>
      <c r="AMN108" s="1251"/>
      <c r="AMO108" s="1251"/>
      <c r="AMP108" s="1251"/>
      <c r="AMQ108" s="1251"/>
      <c r="AMR108" s="1251"/>
      <c r="AMS108" s="1251"/>
      <c r="AMT108" s="1251"/>
      <c r="AMU108" s="1251"/>
      <c r="AMV108" s="1251"/>
      <c r="AMW108" s="1251"/>
      <c r="AMX108" s="1251"/>
      <c r="AMY108" s="1251"/>
      <c r="AMZ108" s="1251"/>
      <c r="ANA108" s="1251"/>
      <c r="ANB108" s="1251"/>
      <c r="ANC108" s="1251"/>
      <c r="AND108" s="1251"/>
      <c r="ANE108" s="1251"/>
      <c r="ANF108" s="1251"/>
      <c r="ANG108" s="1251"/>
      <c r="ANH108" s="1251"/>
      <c r="ANI108" s="1251"/>
      <c r="ANJ108" s="1251"/>
      <c r="ANK108" s="1251"/>
      <c r="ANL108" s="1251"/>
      <c r="ANM108" s="1251"/>
      <c r="ANN108" s="1251"/>
      <c r="ANO108" s="1251"/>
      <c r="ANP108" s="1251"/>
      <c r="ANQ108" s="1251"/>
      <c r="ANR108" s="1251"/>
      <c r="ANS108" s="1251"/>
      <c r="ANT108" s="1251"/>
      <c r="ANU108" s="1251"/>
      <c r="ANV108" s="1251"/>
      <c r="ANW108" s="1251"/>
      <c r="ANX108" s="1251"/>
      <c r="ANY108" s="1251"/>
      <c r="ANZ108" s="1251"/>
      <c r="AOA108" s="1251"/>
      <c r="AOB108" s="1251"/>
      <c r="AOC108" s="1251"/>
      <c r="AOD108" s="1251"/>
      <c r="AOE108" s="1251"/>
      <c r="AOF108" s="1251"/>
      <c r="AOG108" s="1251"/>
      <c r="AOH108" s="1251"/>
      <c r="AOI108" s="1251"/>
      <c r="AOJ108" s="1251"/>
      <c r="AOK108" s="1251"/>
      <c r="AOL108" s="1251"/>
      <c r="AOM108" s="1251"/>
      <c r="AON108" s="1251"/>
      <c r="AOO108" s="1251"/>
      <c r="AOP108" s="1251"/>
      <c r="AOQ108" s="1251"/>
      <c r="AOR108" s="1251"/>
      <c r="AOS108" s="1251"/>
      <c r="AOT108" s="1251"/>
      <c r="AOU108" s="1251"/>
      <c r="AOV108" s="1251"/>
      <c r="AOW108" s="1251"/>
      <c r="AOX108" s="1251"/>
      <c r="AOY108" s="1251"/>
      <c r="AOZ108" s="1251"/>
      <c r="APA108" s="1251"/>
      <c r="APB108" s="1251"/>
      <c r="APC108" s="1251"/>
      <c r="APD108" s="1251"/>
      <c r="APE108" s="1251"/>
      <c r="APF108" s="1251"/>
      <c r="APG108" s="1251"/>
      <c r="APH108" s="1251"/>
      <c r="API108" s="1251"/>
      <c r="APJ108" s="1251"/>
      <c r="APK108" s="1251"/>
      <c r="APL108" s="1251"/>
      <c r="APM108" s="1251"/>
      <c r="APN108" s="1251"/>
      <c r="APO108" s="1251"/>
      <c r="APP108" s="1251"/>
      <c r="APQ108" s="1251"/>
      <c r="APR108" s="1251"/>
      <c r="APS108" s="1251"/>
      <c r="APT108" s="1251"/>
      <c r="APU108" s="1251"/>
      <c r="APV108" s="1251"/>
      <c r="APW108" s="1251"/>
      <c r="APX108" s="1251"/>
      <c r="APY108" s="1251"/>
      <c r="APZ108" s="1251"/>
      <c r="AQA108" s="1251"/>
      <c r="AQB108" s="1251"/>
      <c r="AQC108" s="1251"/>
      <c r="AQD108" s="1251"/>
      <c r="AQE108" s="1251"/>
      <c r="AQF108" s="1251"/>
      <c r="AQG108" s="1251"/>
      <c r="AQH108" s="1251"/>
      <c r="AQI108" s="1251"/>
      <c r="AQJ108" s="1251"/>
      <c r="AQK108" s="1251"/>
      <c r="AQL108" s="1251"/>
      <c r="AQM108" s="1251"/>
      <c r="AQN108" s="1251"/>
      <c r="AQO108" s="1251"/>
      <c r="AQP108" s="1251"/>
      <c r="AQQ108" s="1251"/>
      <c r="AQR108" s="1251"/>
      <c r="AQS108" s="1251"/>
      <c r="AQT108" s="1251"/>
      <c r="AQU108" s="1251"/>
      <c r="AQV108" s="1251"/>
      <c r="AQW108" s="1251"/>
      <c r="AQX108" s="1251"/>
      <c r="AQY108" s="1251"/>
      <c r="AQZ108" s="1251"/>
      <c r="ARA108" s="1251"/>
      <c r="ARB108" s="1251"/>
      <c r="ARC108" s="1251"/>
      <c r="ARD108" s="1251"/>
      <c r="ARE108" s="1251"/>
      <c r="ARF108" s="1251"/>
      <c r="ARG108" s="1251"/>
      <c r="ARH108" s="1251"/>
      <c r="ARI108" s="1251"/>
      <c r="ARJ108" s="1251"/>
      <c r="ARK108" s="1251"/>
      <c r="ARL108" s="1251"/>
      <c r="ARM108" s="1251"/>
      <c r="ARN108" s="1251"/>
      <c r="ARO108" s="1251"/>
      <c r="ARP108" s="1251"/>
      <c r="ARQ108" s="1251"/>
      <c r="ARR108" s="1251"/>
      <c r="ARS108" s="1251"/>
      <c r="ART108" s="1251"/>
      <c r="ARU108" s="1251"/>
      <c r="ARV108" s="1251"/>
      <c r="ARW108" s="1251"/>
      <c r="ARX108" s="1251"/>
      <c r="ARY108" s="1251"/>
      <c r="ARZ108" s="1251"/>
      <c r="ASA108" s="1251"/>
      <c r="ASB108" s="1251"/>
      <c r="ASC108" s="1251"/>
      <c r="ASD108" s="1251"/>
      <c r="ASE108" s="1251"/>
      <c r="ASF108" s="1251"/>
      <c r="ASG108" s="1251"/>
      <c r="ASH108" s="1251"/>
      <c r="ASI108" s="1251"/>
      <c r="ASJ108" s="1251"/>
      <c r="ASK108" s="1251"/>
      <c r="ASL108" s="1251"/>
      <c r="ASM108" s="1251"/>
      <c r="ASN108" s="1251"/>
      <c r="ASO108" s="1251"/>
      <c r="ASP108" s="1251"/>
      <c r="ASQ108" s="1251"/>
      <c r="ASR108" s="1251"/>
      <c r="ASS108" s="1251"/>
      <c r="AST108" s="1251"/>
      <c r="ASU108" s="1251"/>
      <c r="ASV108" s="1251"/>
      <c r="ASW108" s="1251"/>
      <c r="ASX108" s="1251"/>
      <c r="ASY108" s="1251"/>
      <c r="ASZ108" s="1251"/>
      <c r="ATA108" s="1251"/>
      <c r="ATB108" s="1251"/>
      <c r="ATC108" s="1251"/>
      <c r="ATD108" s="1251"/>
      <c r="ATE108" s="1251"/>
      <c r="ATF108" s="1251"/>
      <c r="ATG108" s="1251"/>
      <c r="ATH108" s="1251"/>
      <c r="ATI108" s="1251"/>
      <c r="ATJ108" s="1251"/>
      <c r="ATK108" s="1251"/>
      <c r="ATL108" s="1251"/>
      <c r="ATM108" s="1251"/>
      <c r="ATN108" s="1251"/>
      <c r="ATO108" s="1251"/>
      <c r="ATP108" s="1251"/>
      <c r="ATQ108" s="1251"/>
      <c r="ATR108" s="1251"/>
      <c r="ATS108" s="1251"/>
      <c r="ATT108" s="1251"/>
      <c r="ATU108" s="1251"/>
      <c r="ATV108" s="1251"/>
      <c r="ATW108" s="1251"/>
      <c r="ATX108" s="1251"/>
      <c r="ATY108" s="1251"/>
      <c r="ATZ108" s="1251"/>
      <c r="AUA108" s="1251"/>
      <c r="AUB108" s="1251"/>
      <c r="AUC108" s="1251"/>
      <c r="AUD108" s="1251"/>
      <c r="AUE108" s="1251"/>
      <c r="AUF108" s="1251"/>
      <c r="AUG108" s="1251"/>
      <c r="AUH108" s="1251"/>
      <c r="AUI108" s="1251"/>
      <c r="AUJ108" s="1251"/>
      <c r="AUK108" s="1251"/>
      <c r="AUL108" s="1251"/>
      <c r="AUM108" s="1251"/>
      <c r="AUN108" s="1251"/>
      <c r="AUO108" s="1251"/>
      <c r="AUP108" s="1251"/>
      <c r="AUQ108" s="1251"/>
      <c r="AUR108" s="1251"/>
      <c r="AUS108" s="1251"/>
      <c r="AUT108" s="1251"/>
      <c r="AUU108" s="1251"/>
      <c r="AUV108" s="1251"/>
      <c r="AUW108" s="1251"/>
      <c r="AUX108" s="1251"/>
      <c r="AUY108" s="1251"/>
      <c r="AUZ108" s="1251"/>
      <c r="AVA108" s="1251"/>
      <c r="AVB108" s="1251"/>
      <c r="AVC108" s="1251"/>
      <c r="AVD108" s="1251"/>
      <c r="AVE108" s="1251"/>
      <c r="AVF108" s="1251"/>
      <c r="AVG108" s="1251"/>
      <c r="AVH108" s="1251"/>
      <c r="AVI108" s="1251"/>
      <c r="AVJ108" s="1251"/>
      <c r="AVK108" s="1251"/>
      <c r="AVL108" s="1251"/>
      <c r="AVM108" s="1251"/>
      <c r="AVN108" s="1251"/>
      <c r="AVO108" s="1251"/>
      <c r="AVP108" s="1251"/>
      <c r="AVQ108" s="1251"/>
      <c r="AVR108" s="1251"/>
      <c r="AVS108" s="1251"/>
      <c r="AVT108" s="1251"/>
      <c r="AVU108" s="1251"/>
      <c r="AVV108" s="1251"/>
      <c r="AVW108" s="1251"/>
      <c r="AVX108" s="1251"/>
      <c r="AVY108" s="1251"/>
      <c r="AVZ108" s="1251"/>
      <c r="AWA108" s="1251"/>
      <c r="AWB108" s="1251"/>
      <c r="AWC108" s="1251"/>
      <c r="AWD108" s="1251"/>
      <c r="AWE108" s="1251"/>
      <c r="AWF108" s="1251"/>
      <c r="AWG108" s="1251"/>
      <c r="AWH108" s="1251"/>
      <c r="AWI108" s="1251"/>
      <c r="AWJ108" s="1251"/>
      <c r="AWK108" s="1251"/>
      <c r="AWL108" s="1251"/>
      <c r="AWM108" s="1251"/>
      <c r="AWN108" s="1251"/>
      <c r="AWO108" s="1251"/>
      <c r="AWP108" s="1251"/>
      <c r="AWQ108" s="1251"/>
      <c r="AWR108" s="1251"/>
      <c r="AWS108" s="1251"/>
      <c r="AWT108" s="1251"/>
      <c r="AWU108" s="1251"/>
      <c r="AWV108" s="1251"/>
      <c r="AWW108" s="1251"/>
      <c r="AWX108" s="1251"/>
      <c r="AWY108" s="1251"/>
      <c r="AWZ108" s="1251"/>
      <c r="AXA108" s="1251"/>
      <c r="AXB108" s="1251"/>
      <c r="AXC108" s="1251"/>
      <c r="AXD108" s="1251"/>
      <c r="AXE108" s="1251"/>
      <c r="AXF108" s="1251"/>
      <c r="AXG108" s="1251"/>
      <c r="AXH108" s="1251"/>
      <c r="AXI108" s="1251"/>
      <c r="AXJ108" s="1251"/>
      <c r="AXK108" s="1251"/>
      <c r="AXL108" s="1251"/>
      <c r="AXM108" s="1251"/>
      <c r="AXN108" s="1251"/>
      <c r="AXO108" s="1251"/>
      <c r="AXP108" s="1251"/>
      <c r="AXQ108" s="1251"/>
      <c r="AXR108" s="1251"/>
      <c r="AXS108" s="1251"/>
      <c r="AXT108" s="1251"/>
      <c r="AXU108" s="1251"/>
      <c r="AXV108" s="1251"/>
      <c r="AXW108" s="1251"/>
      <c r="AXX108" s="1251"/>
      <c r="AXY108" s="1251"/>
      <c r="AXZ108" s="1251"/>
      <c r="AYA108" s="1251"/>
      <c r="AYB108" s="1251"/>
      <c r="AYC108" s="1251"/>
      <c r="AYD108" s="1251"/>
      <c r="AYE108" s="1251"/>
      <c r="AYF108" s="1251"/>
      <c r="AYG108" s="1251"/>
      <c r="AYH108" s="1251"/>
      <c r="AYI108" s="1251"/>
      <c r="AYJ108" s="1251"/>
      <c r="AYK108" s="1251"/>
      <c r="AYL108" s="1251"/>
      <c r="AYM108" s="1251"/>
      <c r="AYN108" s="1251"/>
      <c r="AYO108" s="1251"/>
      <c r="AYP108" s="1251"/>
      <c r="AYQ108" s="1251"/>
      <c r="AYR108" s="1251"/>
      <c r="AYS108" s="1251"/>
      <c r="AYT108" s="1251"/>
      <c r="AYU108" s="1251"/>
      <c r="AYV108" s="1251"/>
      <c r="AYW108" s="1251"/>
      <c r="AYX108" s="1251"/>
      <c r="AYY108" s="1251"/>
      <c r="AYZ108" s="1251"/>
      <c r="AZA108" s="1251"/>
      <c r="AZB108" s="1251"/>
      <c r="AZC108" s="1251"/>
      <c r="AZD108" s="1251"/>
      <c r="AZE108" s="1251"/>
      <c r="AZF108" s="1251"/>
      <c r="AZG108" s="1251"/>
      <c r="AZH108" s="1251"/>
      <c r="AZI108" s="1251"/>
      <c r="AZJ108" s="1251"/>
      <c r="AZK108" s="1251"/>
      <c r="AZL108" s="1251"/>
      <c r="AZM108" s="1251"/>
      <c r="AZN108" s="1251"/>
      <c r="AZO108" s="1251"/>
      <c r="AZP108" s="1251"/>
      <c r="AZQ108" s="1251"/>
      <c r="AZR108" s="1251"/>
      <c r="AZS108" s="1251"/>
      <c r="AZT108" s="1251"/>
      <c r="AZU108" s="1251"/>
      <c r="AZV108" s="1251"/>
      <c r="AZW108" s="1251"/>
      <c r="AZX108" s="1251"/>
      <c r="AZY108" s="1251"/>
      <c r="AZZ108" s="1251"/>
      <c r="BAA108" s="1251"/>
      <c r="BAB108" s="1251"/>
      <c r="BAC108" s="1251"/>
      <c r="BAD108" s="1251"/>
      <c r="BAE108" s="1251"/>
      <c r="BAF108" s="1251"/>
      <c r="BAG108" s="1251"/>
      <c r="BAH108" s="1251"/>
      <c r="BAI108" s="1251"/>
      <c r="BAJ108" s="1251"/>
      <c r="BAK108" s="1251"/>
      <c r="BAL108" s="1251"/>
      <c r="BAM108" s="1251"/>
      <c r="BAN108" s="1251"/>
      <c r="BAO108" s="1251"/>
      <c r="BAP108" s="1251"/>
      <c r="BAQ108" s="1251"/>
      <c r="BAR108" s="1251"/>
      <c r="BAS108" s="1251"/>
      <c r="BAT108" s="1251"/>
      <c r="BAU108" s="1251"/>
      <c r="BAV108" s="1251"/>
      <c r="BAW108" s="1251"/>
      <c r="BAX108" s="1251"/>
      <c r="BAY108" s="1251"/>
      <c r="BAZ108" s="1251"/>
      <c r="BBA108" s="1251"/>
      <c r="BBB108" s="1251"/>
      <c r="BBC108" s="1251"/>
      <c r="BBD108" s="1251"/>
      <c r="BBE108" s="1251"/>
      <c r="BBF108" s="1251"/>
      <c r="BBG108" s="1251"/>
      <c r="BBH108" s="1251"/>
      <c r="BBI108" s="1251"/>
      <c r="BBJ108" s="1251"/>
      <c r="BBK108" s="1251"/>
      <c r="BBL108" s="1251"/>
      <c r="BBM108" s="1251"/>
      <c r="BBN108" s="1251"/>
      <c r="BBO108" s="1251"/>
      <c r="BBP108" s="1251"/>
      <c r="BBQ108" s="1251"/>
      <c r="BBR108" s="1251"/>
      <c r="BBS108" s="1251"/>
      <c r="BBT108" s="1251"/>
      <c r="BBU108" s="1251"/>
      <c r="BBV108" s="1251"/>
      <c r="BBW108" s="1251"/>
      <c r="BBX108" s="1251"/>
      <c r="BBY108" s="1251"/>
      <c r="BBZ108" s="1251"/>
      <c r="BCA108" s="1251"/>
      <c r="BCB108" s="1251"/>
      <c r="BCC108" s="1251"/>
      <c r="BCD108" s="1251"/>
      <c r="BCE108" s="1251"/>
      <c r="BCF108" s="1251"/>
      <c r="BCG108" s="1251"/>
      <c r="BCH108" s="1251"/>
      <c r="BCI108" s="1251"/>
      <c r="BCJ108" s="1251"/>
      <c r="BCK108" s="1251"/>
      <c r="BCL108" s="1251"/>
      <c r="BCM108" s="1251"/>
      <c r="BCN108" s="1251"/>
      <c r="BCO108" s="1251"/>
      <c r="BCP108" s="1251"/>
      <c r="BCQ108" s="1251"/>
      <c r="BCR108" s="1251"/>
      <c r="BCS108" s="1251"/>
      <c r="BCT108" s="1251"/>
      <c r="BCU108" s="1251"/>
      <c r="BCV108" s="1251"/>
      <c r="BCW108" s="1251"/>
      <c r="BCX108" s="1251"/>
      <c r="BCY108" s="1251"/>
      <c r="BCZ108" s="1251"/>
      <c r="BDA108" s="1251"/>
      <c r="BDB108" s="1251"/>
      <c r="BDC108" s="1251"/>
      <c r="BDD108" s="1251"/>
      <c r="BDE108" s="1251"/>
      <c r="BDF108" s="1251"/>
      <c r="BDG108" s="1251"/>
      <c r="BDH108" s="1251"/>
      <c r="BDI108" s="1251"/>
      <c r="BDJ108" s="1251"/>
      <c r="BDK108" s="1251"/>
      <c r="BDL108" s="1251"/>
      <c r="BDM108" s="1251"/>
      <c r="BDN108" s="1251"/>
      <c r="BDO108" s="1251"/>
      <c r="BDP108" s="1251"/>
      <c r="BDQ108" s="1251"/>
      <c r="BDR108" s="1251"/>
      <c r="BDS108" s="1251"/>
      <c r="BDT108" s="1251"/>
      <c r="BDU108" s="1251"/>
      <c r="BDV108" s="1251"/>
      <c r="BDW108" s="1251"/>
      <c r="BDX108" s="1251"/>
      <c r="BDY108" s="1251"/>
      <c r="BDZ108" s="1251"/>
      <c r="BEA108" s="1251"/>
      <c r="BEB108" s="1251"/>
      <c r="BEC108" s="1251"/>
      <c r="BED108" s="1251"/>
      <c r="BEE108" s="1251"/>
      <c r="BEF108" s="1251"/>
      <c r="BEG108" s="1251"/>
      <c r="BEH108" s="1251"/>
      <c r="BEI108" s="1251"/>
      <c r="BEJ108" s="1251"/>
      <c r="BEK108" s="1251"/>
      <c r="BEL108" s="1251"/>
      <c r="BEM108" s="1251"/>
      <c r="BEN108" s="1251"/>
      <c r="BEO108" s="1251"/>
      <c r="BEP108" s="1251"/>
      <c r="BEQ108" s="1251"/>
      <c r="BER108" s="1251"/>
      <c r="BES108" s="1251"/>
      <c r="BET108" s="1251"/>
      <c r="BEU108" s="1251"/>
      <c r="BEV108" s="1251"/>
      <c r="BEW108" s="1251"/>
      <c r="BEX108" s="1251"/>
      <c r="BEY108" s="1251"/>
      <c r="BEZ108" s="1251"/>
      <c r="BFA108" s="1251"/>
      <c r="BFB108" s="1251"/>
      <c r="BFC108" s="1251"/>
      <c r="BFD108" s="1251"/>
      <c r="BFE108" s="1251"/>
      <c r="BFF108" s="1251"/>
      <c r="BFG108" s="1251"/>
      <c r="BFH108" s="1251"/>
      <c r="BFI108" s="1251"/>
      <c r="BFJ108" s="1251"/>
      <c r="BFK108" s="1251"/>
      <c r="BFL108" s="1251"/>
      <c r="BFM108" s="1251"/>
      <c r="BFN108" s="1251"/>
      <c r="BFO108" s="1251"/>
      <c r="BFP108" s="1251"/>
      <c r="BFQ108" s="1251"/>
      <c r="BFR108" s="1251"/>
      <c r="BFS108" s="1251"/>
      <c r="BFT108" s="1251"/>
      <c r="BFU108" s="1251"/>
      <c r="BFV108" s="1251"/>
      <c r="BFW108" s="1251"/>
      <c r="BFX108" s="1251"/>
      <c r="BFY108" s="1251"/>
      <c r="BFZ108" s="1251"/>
      <c r="BGA108" s="1251"/>
      <c r="BGB108" s="1251"/>
      <c r="BGC108" s="1251"/>
      <c r="BGD108" s="1251"/>
      <c r="BGE108" s="1251"/>
      <c r="BGF108" s="1251"/>
      <c r="BGG108" s="1251"/>
      <c r="BGH108" s="1251"/>
      <c r="BGI108" s="1251"/>
      <c r="BGJ108" s="1251"/>
      <c r="BGK108" s="1251"/>
      <c r="BGL108" s="1251"/>
      <c r="BGM108" s="1251"/>
      <c r="BGN108" s="1251"/>
      <c r="BGO108" s="1251"/>
      <c r="BGP108" s="1251"/>
      <c r="BGQ108" s="1251"/>
      <c r="BGR108" s="1251"/>
      <c r="BGS108" s="1251"/>
      <c r="BGT108" s="1251"/>
      <c r="BGU108" s="1251"/>
      <c r="BGV108" s="1251"/>
      <c r="BGW108" s="1251"/>
      <c r="BGX108" s="1251"/>
      <c r="BGY108" s="1251"/>
      <c r="BGZ108" s="1251"/>
      <c r="BHA108" s="1251"/>
      <c r="BHB108" s="1251"/>
      <c r="BHC108" s="1251"/>
      <c r="BHD108" s="1251"/>
      <c r="BHE108" s="1251"/>
      <c r="BHF108" s="1251"/>
      <c r="BHG108" s="1251"/>
      <c r="BHH108" s="1251"/>
      <c r="BHI108" s="1251"/>
      <c r="BHJ108" s="1251"/>
      <c r="BHK108" s="1251"/>
      <c r="BHL108" s="1251"/>
      <c r="BHM108" s="1251"/>
      <c r="BHN108" s="1251"/>
      <c r="BHO108" s="1251"/>
      <c r="BHP108" s="1251"/>
      <c r="BHQ108" s="1251"/>
      <c r="BHR108" s="1251"/>
      <c r="BHS108" s="1251"/>
      <c r="BHT108" s="1251"/>
      <c r="BHU108" s="1251"/>
      <c r="BHV108" s="1251"/>
      <c r="BHW108" s="1251"/>
      <c r="BHX108" s="1251"/>
      <c r="BHY108" s="1251"/>
      <c r="BHZ108" s="1251"/>
      <c r="BIA108" s="1251"/>
      <c r="BIB108" s="1251"/>
      <c r="BIC108" s="1251"/>
      <c r="BID108" s="1251"/>
      <c r="BIE108" s="1251"/>
      <c r="BIF108" s="1251"/>
      <c r="BIG108" s="1251"/>
      <c r="BIH108" s="1251"/>
      <c r="BII108" s="1251"/>
      <c r="BIJ108" s="1251"/>
      <c r="BIK108" s="1251"/>
      <c r="BIL108" s="1251"/>
      <c r="BIM108" s="1251"/>
      <c r="BIN108" s="1251"/>
      <c r="BIO108" s="1251"/>
      <c r="BIP108" s="1251"/>
      <c r="BIQ108" s="1251"/>
      <c r="BIR108" s="1251"/>
      <c r="BIS108" s="1251"/>
      <c r="BIT108" s="1251"/>
      <c r="BIU108" s="1251"/>
      <c r="BIV108" s="1251"/>
      <c r="BIW108" s="1251"/>
      <c r="BIX108" s="1251"/>
      <c r="BIY108" s="1251"/>
      <c r="BIZ108" s="1251"/>
      <c r="BJA108" s="1251"/>
      <c r="BJB108" s="1251"/>
      <c r="BJC108" s="1251"/>
      <c r="BJD108" s="1251"/>
      <c r="BJE108" s="1251"/>
      <c r="BJF108" s="1251"/>
      <c r="BJG108" s="1251"/>
      <c r="BJH108" s="1251"/>
      <c r="BJI108" s="1251"/>
      <c r="BJJ108" s="1251"/>
      <c r="BJK108" s="1251"/>
      <c r="BJL108" s="1251"/>
      <c r="BJM108" s="1251"/>
      <c r="BJN108" s="1251"/>
      <c r="BJO108" s="1251"/>
      <c r="BJP108" s="1251"/>
      <c r="BJQ108" s="1251"/>
      <c r="BJR108" s="1251"/>
      <c r="BJS108" s="1251"/>
      <c r="BJT108" s="1251"/>
      <c r="BJU108" s="1251"/>
      <c r="BJV108" s="1251"/>
      <c r="BJW108" s="1251"/>
      <c r="BJX108" s="1251"/>
      <c r="BJY108" s="1251"/>
      <c r="BJZ108" s="1251"/>
      <c r="BKA108" s="1251"/>
      <c r="BKB108" s="1251"/>
      <c r="BKC108" s="1251"/>
      <c r="BKD108" s="1251"/>
      <c r="BKE108" s="1251"/>
      <c r="BKF108" s="1251"/>
      <c r="BKG108" s="1251"/>
      <c r="BKH108" s="1251"/>
      <c r="BKI108" s="1251"/>
      <c r="BKJ108" s="1251"/>
      <c r="BKK108" s="1251"/>
      <c r="BKL108" s="1251"/>
      <c r="BKM108" s="1251"/>
      <c r="BKN108" s="1251"/>
      <c r="BKO108" s="1251"/>
      <c r="BKP108" s="1251"/>
      <c r="BKQ108" s="1251"/>
      <c r="BKR108" s="1251"/>
      <c r="BKS108" s="1251"/>
      <c r="BKT108" s="1251"/>
      <c r="BKU108" s="1251"/>
      <c r="BKV108" s="1251"/>
      <c r="BKW108" s="1251"/>
      <c r="BKX108" s="1251"/>
      <c r="BKY108" s="1251"/>
      <c r="BKZ108" s="1251"/>
      <c r="BLA108" s="1251"/>
      <c r="BLB108" s="1251"/>
      <c r="BLC108" s="1251"/>
      <c r="BLD108" s="1251"/>
      <c r="BLE108" s="1251"/>
      <c r="BLF108" s="1251"/>
      <c r="BLG108" s="1251"/>
      <c r="BLH108" s="1251"/>
      <c r="BLI108" s="1251"/>
      <c r="BLJ108" s="1251"/>
      <c r="BLK108" s="1251"/>
      <c r="BLL108" s="1251"/>
      <c r="BLM108" s="1251"/>
      <c r="BLN108" s="1251"/>
      <c r="BLO108" s="1251"/>
      <c r="BLP108" s="1251"/>
      <c r="BLQ108" s="1251"/>
      <c r="BLR108" s="1251"/>
      <c r="BLS108" s="1251"/>
      <c r="BLT108" s="1251"/>
      <c r="BLU108" s="1251"/>
      <c r="BLV108" s="1251"/>
      <c r="BLW108" s="1251"/>
      <c r="BLX108" s="1251"/>
      <c r="BLY108" s="1251"/>
      <c r="BLZ108" s="1251"/>
      <c r="BMA108" s="1251"/>
      <c r="BMB108" s="1251"/>
      <c r="BMC108" s="1251"/>
      <c r="BMD108" s="1251"/>
      <c r="BME108" s="1251"/>
      <c r="BMF108" s="1251"/>
      <c r="BMG108" s="1251"/>
      <c r="BMH108" s="1251"/>
      <c r="BMI108" s="1251"/>
      <c r="BMJ108" s="1251"/>
      <c r="BMK108" s="1251"/>
      <c r="BML108" s="1251"/>
      <c r="BMM108" s="1251"/>
      <c r="BMN108" s="1251"/>
      <c r="BMO108" s="1251"/>
      <c r="BMP108" s="1251"/>
      <c r="BMQ108" s="1251"/>
      <c r="BMR108" s="1251"/>
      <c r="BMS108" s="1251"/>
      <c r="BMT108" s="1251"/>
      <c r="BMU108" s="1251"/>
      <c r="BMV108" s="1251"/>
      <c r="BMW108" s="1251"/>
      <c r="BMX108" s="1251"/>
      <c r="BMY108" s="1251"/>
      <c r="BMZ108" s="1251"/>
      <c r="BNA108" s="1251"/>
      <c r="BNB108" s="1251"/>
      <c r="BNC108" s="1251"/>
      <c r="BND108" s="1251"/>
      <c r="BNE108" s="1251"/>
      <c r="BNF108" s="1251"/>
      <c r="BNG108" s="1251"/>
      <c r="BNH108" s="1251"/>
      <c r="BNI108" s="1251"/>
      <c r="BNJ108" s="1251"/>
      <c r="BNK108" s="1251"/>
      <c r="BNL108" s="1251"/>
      <c r="BNM108" s="1251"/>
      <c r="BNN108" s="1251"/>
      <c r="BNO108" s="1251"/>
      <c r="BNP108" s="1251"/>
      <c r="BNQ108" s="1251"/>
      <c r="BNR108" s="1251"/>
      <c r="BNS108" s="1251"/>
      <c r="BNT108" s="1251"/>
      <c r="BNU108" s="1251"/>
      <c r="BNV108" s="1251"/>
      <c r="BNW108" s="1251"/>
      <c r="BNX108" s="1251"/>
      <c r="BNY108" s="1251"/>
      <c r="BNZ108" s="1251"/>
      <c r="BOA108" s="1251"/>
      <c r="BOB108" s="1251"/>
      <c r="BOC108" s="1251"/>
      <c r="BOD108" s="1251"/>
      <c r="BOE108" s="1251"/>
      <c r="BOF108" s="1251"/>
      <c r="BOG108" s="1251"/>
      <c r="BOH108" s="1251"/>
      <c r="BOI108" s="1251"/>
      <c r="BOJ108" s="1251"/>
      <c r="BOK108" s="1251"/>
      <c r="BOL108" s="1251"/>
      <c r="BOM108" s="1251"/>
      <c r="BON108" s="1251"/>
      <c r="BOO108" s="1251"/>
      <c r="BOP108" s="1251"/>
      <c r="BOQ108" s="1251"/>
      <c r="BOR108" s="1251"/>
      <c r="BOS108" s="1251"/>
      <c r="BOT108" s="1251"/>
      <c r="BOU108" s="1251"/>
      <c r="BOV108" s="1251"/>
      <c r="BOW108" s="1251"/>
      <c r="BOX108" s="1251"/>
      <c r="BOY108" s="1251"/>
      <c r="BOZ108" s="1251"/>
      <c r="BPA108" s="1251"/>
      <c r="BPB108" s="1251"/>
      <c r="BPC108" s="1251"/>
      <c r="BPD108" s="1251"/>
      <c r="BPE108" s="1251"/>
      <c r="BPF108" s="1251"/>
      <c r="BPG108" s="1251"/>
      <c r="BPH108" s="1251"/>
      <c r="BPI108" s="1251"/>
      <c r="BPJ108" s="1251"/>
      <c r="BPK108" s="1251"/>
      <c r="BPL108" s="1251"/>
      <c r="BPM108" s="1251"/>
      <c r="BPN108" s="1251"/>
      <c r="BPO108" s="1251"/>
      <c r="BPP108" s="1251"/>
      <c r="BPQ108" s="1251"/>
      <c r="BPR108" s="1251"/>
      <c r="BPS108" s="1251"/>
      <c r="BPT108" s="1251"/>
      <c r="BPU108" s="1251"/>
      <c r="BPV108" s="1251"/>
      <c r="BPW108" s="1251"/>
      <c r="BPX108" s="1251"/>
      <c r="BPY108" s="1251"/>
      <c r="BPZ108" s="1251"/>
      <c r="BQA108" s="1251"/>
      <c r="BQB108" s="1251"/>
      <c r="BQC108" s="1251"/>
      <c r="BQD108" s="1251"/>
      <c r="BQE108" s="1251"/>
      <c r="BQF108" s="1251"/>
      <c r="BQG108" s="1251"/>
      <c r="BQH108" s="1251"/>
      <c r="BQI108" s="1251"/>
      <c r="BQJ108" s="1251"/>
      <c r="BQK108" s="1251"/>
      <c r="BQL108" s="1251"/>
      <c r="BQM108" s="1251"/>
      <c r="BQN108" s="1251"/>
      <c r="BQO108" s="1251"/>
      <c r="BQP108" s="1251"/>
      <c r="BQQ108" s="1251"/>
      <c r="BQR108" s="1251"/>
      <c r="BQS108" s="1251"/>
      <c r="BQT108" s="1251"/>
      <c r="BQU108" s="1251"/>
      <c r="BQV108" s="1251"/>
      <c r="BQW108" s="1251"/>
      <c r="BQX108" s="1251"/>
      <c r="BQY108" s="1251"/>
      <c r="BQZ108" s="1251"/>
      <c r="BRA108" s="1251"/>
      <c r="BRB108" s="1251"/>
      <c r="BRC108" s="1251"/>
      <c r="BRD108" s="1251"/>
      <c r="BRE108" s="1251"/>
      <c r="BRF108" s="1251"/>
      <c r="BRG108" s="1251"/>
      <c r="BRH108" s="1251"/>
      <c r="BRI108" s="1251"/>
      <c r="BRJ108" s="1251"/>
      <c r="BRK108" s="1251"/>
      <c r="BRL108" s="1251"/>
      <c r="BRM108" s="1251"/>
      <c r="BRN108" s="1251"/>
      <c r="BRO108" s="1251"/>
      <c r="BRP108" s="1251"/>
      <c r="BRQ108" s="1251"/>
      <c r="BRR108" s="1251"/>
      <c r="BRS108" s="1251"/>
      <c r="BRT108" s="1251"/>
      <c r="BRU108" s="1251"/>
      <c r="BRV108" s="1251"/>
      <c r="BRW108" s="1251"/>
      <c r="BRX108" s="1251"/>
      <c r="BRY108" s="1251"/>
      <c r="BRZ108" s="1251"/>
      <c r="BSA108" s="1251"/>
      <c r="BSB108" s="1251"/>
      <c r="BSC108" s="1251"/>
      <c r="BSD108" s="1251"/>
      <c r="BSE108" s="1251"/>
      <c r="BSF108" s="1251"/>
      <c r="BSG108" s="1251"/>
      <c r="BSH108" s="1251"/>
      <c r="BSI108" s="1251"/>
      <c r="BSJ108" s="1251"/>
      <c r="BSK108" s="1251"/>
      <c r="BSL108" s="1251"/>
      <c r="BSM108" s="1251"/>
      <c r="BSN108" s="1251"/>
      <c r="BSO108" s="1251"/>
      <c r="BSP108" s="1251"/>
      <c r="BSQ108" s="1251"/>
      <c r="BSR108" s="1251"/>
      <c r="BSS108" s="1251"/>
      <c r="BST108" s="1251"/>
      <c r="BSU108" s="1251"/>
      <c r="BSV108" s="1251"/>
      <c r="BSW108" s="1251"/>
      <c r="BSX108" s="1251"/>
      <c r="BSY108" s="1251"/>
      <c r="BSZ108" s="1251"/>
      <c r="BTA108" s="1251"/>
      <c r="BTB108" s="1251"/>
      <c r="BTC108" s="1251"/>
      <c r="BTD108" s="1251"/>
      <c r="BTE108" s="1251"/>
      <c r="BTF108" s="1251"/>
      <c r="BTG108" s="1251"/>
      <c r="BTH108" s="1251"/>
      <c r="BTI108" s="1251"/>
    </row>
    <row r="109" spans="1:1881" s="1261" customFormat="1" ht="120.75" hidden="1" customHeight="1" thickBot="1" x14ac:dyDescent="0.35">
      <c r="A109" s="1274">
        <v>573</v>
      </c>
      <c r="B109" s="1272" t="s">
        <v>567</v>
      </c>
      <c r="C109" s="1276" t="s">
        <v>1301</v>
      </c>
      <c r="D109" s="1276" t="s">
        <v>1461</v>
      </c>
      <c r="E109" s="1249" t="e">
        <f>HLOOKUP($D$2,'2020 Data(H)'!$C$1:$CZ$426,223,FALSE)</f>
        <v>#N/A</v>
      </c>
      <c r="F109" s="1263">
        <v>0</v>
      </c>
      <c r="G109" s="727"/>
      <c r="H109" s="17"/>
      <c r="I109" s="760"/>
      <c r="J109" s="1252"/>
      <c r="K109" s="1251"/>
      <c r="L109" s="701"/>
      <c r="M109" s="1251"/>
      <c r="N109" s="1253"/>
      <c r="O109" s="1251"/>
      <c r="P109" s="1251"/>
      <c r="Q109" s="1251"/>
      <c r="R109" s="1251"/>
      <c r="S109" s="1251"/>
      <c r="T109" s="1251"/>
      <c r="U109" s="1251"/>
      <c r="V109" s="1251"/>
      <c r="W109" s="1251"/>
      <c r="X109" s="1251"/>
      <c r="Y109" s="1251"/>
      <c r="Z109" s="1274"/>
      <c r="AA109" s="1274"/>
      <c r="AB109" s="1274"/>
      <c r="AC109" s="1274"/>
      <c r="AD109" s="1274"/>
      <c r="AE109" s="1274"/>
      <c r="AF109" s="1274"/>
      <c r="AG109" s="1274"/>
      <c r="AH109" s="1274"/>
      <c r="AI109" s="1274"/>
      <c r="AJ109" s="1274"/>
      <c r="AK109" s="1274"/>
      <c r="AL109" s="1274"/>
      <c r="AM109" s="1274"/>
      <c r="AN109" s="1274"/>
      <c r="AO109" s="1274"/>
      <c r="AP109" s="1274"/>
      <c r="AQ109" s="1274"/>
      <c r="AR109" s="1274"/>
      <c r="AS109" s="1251"/>
      <c r="AT109" s="1251"/>
      <c r="AU109" s="1251"/>
      <c r="AV109" s="1251"/>
      <c r="AW109" s="1251"/>
      <c r="AX109" s="1251"/>
      <c r="AY109" s="1251"/>
      <c r="AZ109" s="1251"/>
      <c r="BA109" s="1251"/>
      <c r="BB109" s="1251"/>
      <c r="BC109" s="1251"/>
      <c r="BD109" s="1251"/>
      <c r="BE109" s="1251"/>
      <c r="BF109" s="1251"/>
      <c r="BG109" s="1251"/>
      <c r="BH109" s="1251"/>
      <c r="BI109" s="1251"/>
      <c r="BJ109" s="1251"/>
      <c r="BK109" s="1251"/>
      <c r="BL109" s="1251"/>
      <c r="BM109" s="1251"/>
      <c r="BN109" s="1251"/>
      <c r="BO109" s="1251"/>
      <c r="BP109" s="1251"/>
      <c r="BQ109" s="1251"/>
      <c r="BR109" s="1251"/>
      <c r="BS109" s="1251"/>
      <c r="BT109" s="1251"/>
      <c r="BU109" s="1251"/>
      <c r="BV109" s="1251"/>
      <c r="BW109" s="1251"/>
      <c r="BX109" s="1251"/>
      <c r="BY109" s="1251"/>
      <c r="BZ109" s="1251"/>
      <c r="CA109" s="1251"/>
      <c r="CB109" s="1251"/>
      <c r="CC109" s="1251"/>
      <c r="CD109" s="1251"/>
      <c r="CE109" s="1251"/>
      <c r="CF109" s="1251"/>
      <c r="CG109" s="1251"/>
      <c r="CH109" s="1251"/>
      <c r="CI109" s="1251"/>
      <c r="CJ109" s="1251"/>
      <c r="CK109" s="1251"/>
      <c r="CL109" s="1251"/>
      <c r="CM109" s="1251"/>
      <c r="CN109" s="1251"/>
      <c r="CO109" s="1251"/>
      <c r="CP109" s="1251"/>
      <c r="CQ109" s="1251"/>
      <c r="CR109" s="1251"/>
      <c r="CS109" s="1251"/>
      <c r="CT109" s="1251"/>
      <c r="CU109" s="1251"/>
      <c r="CV109" s="1251"/>
      <c r="CW109" s="1251"/>
      <c r="CX109" s="1251"/>
      <c r="CY109" s="1251"/>
      <c r="CZ109" s="1251"/>
      <c r="DA109" s="1251"/>
      <c r="DB109" s="1251"/>
      <c r="DC109" s="1251"/>
      <c r="DD109" s="1251"/>
      <c r="DE109" s="1251"/>
      <c r="DF109" s="1251"/>
      <c r="DG109" s="1251"/>
      <c r="DH109" s="1251"/>
      <c r="DI109" s="1251"/>
      <c r="DJ109" s="1251"/>
      <c r="DK109" s="1251"/>
      <c r="DL109" s="1251"/>
      <c r="DM109" s="1251"/>
      <c r="DN109" s="1251"/>
      <c r="DO109" s="1251"/>
      <c r="DP109" s="1251"/>
      <c r="DQ109" s="1251"/>
      <c r="DR109" s="1251"/>
      <c r="DS109" s="1251"/>
      <c r="DT109" s="1251"/>
      <c r="DU109" s="1251"/>
      <c r="DV109" s="1251"/>
      <c r="DW109" s="1251"/>
      <c r="DX109" s="1251"/>
      <c r="DY109" s="1251"/>
      <c r="DZ109" s="1251"/>
      <c r="EA109" s="1251"/>
      <c r="EB109" s="1251"/>
      <c r="EC109" s="1251"/>
      <c r="ED109" s="1251"/>
      <c r="EE109" s="1251"/>
      <c r="EF109" s="1251"/>
      <c r="EG109" s="1251"/>
      <c r="EH109" s="1251"/>
      <c r="EI109" s="1251"/>
      <c r="EJ109" s="1251"/>
      <c r="EK109" s="1251"/>
      <c r="EL109" s="1251"/>
      <c r="EM109" s="1251"/>
      <c r="EN109" s="1251"/>
      <c r="EO109" s="1251"/>
      <c r="EP109" s="1251"/>
      <c r="EQ109" s="1251"/>
      <c r="ER109" s="1251"/>
      <c r="ES109" s="1251"/>
      <c r="ET109" s="1251"/>
      <c r="EU109" s="1251"/>
      <c r="EV109" s="1251"/>
      <c r="EW109" s="1251"/>
      <c r="EX109" s="1251"/>
      <c r="EY109" s="1251"/>
      <c r="EZ109" s="1251"/>
      <c r="FA109" s="1251"/>
      <c r="FB109" s="1251"/>
      <c r="FC109" s="1251"/>
      <c r="FD109" s="1251"/>
      <c r="FE109" s="1251"/>
      <c r="FF109" s="1251"/>
      <c r="FG109" s="1251"/>
      <c r="FH109" s="1251"/>
      <c r="FI109" s="1251"/>
      <c r="FJ109" s="1251"/>
      <c r="FK109" s="1251"/>
      <c r="FL109" s="1251"/>
      <c r="FM109" s="1251"/>
      <c r="FN109" s="1251"/>
      <c r="FO109" s="1251"/>
      <c r="FP109" s="1251"/>
      <c r="FQ109" s="1251"/>
      <c r="FR109" s="1251"/>
      <c r="FS109" s="1251"/>
      <c r="FT109" s="1251"/>
      <c r="FU109" s="1251"/>
      <c r="FV109" s="1251"/>
      <c r="FW109" s="1251"/>
      <c r="FX109" s="1251"/>
      <c r="FY109" s="1251"/>
      <c r="FZ109" s="1251"/>
      <c r="GA109" s="1251"/>
      <c r="GB109" s="1251"/>
      <c r="GC109" s="1251"/>
      <c r="GD109" s="1251"/>
      <c r="GE109" s="1251"/>
      <c r="GF109" s="1251"/>
      <c r="GG109" s="1251"/>
      <c r="GH109" s="1251"/>
      <c r="GI109" s="1251"/>
      <c r="GJ109" s="1251"/>
      <c r="GK109" s="1251"/>
      <c r="GL109" s="1251"/>
      <c r="GM109" s="1251"/>
      <c r="GN109" s="1251"/>
      <c r="GO109" s="1251"/>
      <c r="GP109" s="1251"/>
      <c r="GQ109" s="1251"/>
      <c r="GR109" s="1251"/>
      <c r="GS109" s="1251"/>
      <c r="GT109" s="1251"/>
      <c r="GU109" s="1251"/>
      <c r="GV109" s="1251"/>
      <c r="GW109" s="1251"/>
      <c r="GX109" s="1251"/>
      <c r="GY109" s="1251"/>
      <c r="GZ109" s="1251"/>
      <c r="HA109" s="1251"/>
      <c r="HB109" s="1251"/>
      <c r="HC109" s="1251"/>
      <c r="HD109" s="1251"/>
      <c r="HE109" s="1251"/>
      <c r="HF109" s="1251"/>
      <c r="HG109" s="1251"/>
      <c r="HH109" s="1251"/>
      <c r="HI109" s="1251"/>
      <c r="HJ109" s="1251"/>
      <c r="HK109" s="1251"/>
      <c r="HL109" s="1251"/>
      <c r="HM109" s="1251"/>
      <c r="HN109" s="1251"/>
      <c r="HO109" s="1251"/>
      <c r="HP109" s="1251"/>
      <c r="HQ109" s="1251"/>
      <c r="HR109" s="1251"/>
      <c r="HS109" s="1251"/>
      <c r="HT109" s="1251"/>
      <c r="HU109" s="1251"/>
      <c r="HV109" s="1251"/>
      <c r="HW109" s="1251"/>
      <c r="HX109" s="1251"/>
      <c r="HY109" s="1251"/>
      <c r="HZ109" s="1251"/>
      <c r="IA109" s="1251"/>
      <c r="IB109" s="1251"/>
      <c r="IC109" s="1251"/>
      <c r="ID109" s="1251"/>
      <c r="IE109" s="1251"/>
      <c r="IF109" s="1251"/>
      <c r="IG109" s="1251"/>
      <c r="IH109" s="1251"/>
      <c r="II109" s="1251"/>
      <c r="IJ109" s="1251"/>
      <c r="IK109" s="1251"/>
      <c r="IL109" s="1251"/>
      <c r="IM109" s="1251"/>
      <c r="IN109" s="1251"/>
      <c r="IO109" s="1251"/>
      <c r="IP109" s="1251"/>
      <c r="IQ109" s="1251"/>
      <c r="IR109" s="1251"/>
      <c r="IS109" s="1251"/>
      <c r="IT109" s="1251"/>
      <c r="IU109" s="1251"/>
      <c r="IV109" s="1251"/>
      <c r="IW109" s="1251"/>
      <c r="IX109" s="1251"/>
      <c r="IY109" s="1251"/>
      <c r="IZ109" s="1251"/>
      <c r="JA109" s="1251"/>
      <c r="JB109" s="1251"/>
      <c r="JC109" s="1251"/>
      <c r="JD109" s="1251"/>
      <c r="JE109" s="1251"/>
      <c r="JF109" s="1251"/>
      <c r="JG109" s="1251"/>
      <c r="JH109" s="1251"/>
      <c r="JI109" s="1251"/>
      <c r="JJ109" s="1251"/>
      <c r="JK109" s="1251"/>
      <c r="JL109" s="1251"/>
      <c r="JM109" s="1251"/>
      <c r="JN109" s="1251"/>
      <c r="JO109" s="1251"/>
      <c r="JP109" s="1251"/>
      <c r="JQ109" s="1251"/>
      <c r="JR109" s="1251"/>
      <c r="JS109" s="1251"/>
      <c r="JT109" s="1251"/>
      <c r="JU109" s="1251"/>
      <c r="JV109" s="1251"/>
      <c r="JW109" s="1251"/>
      <c r="JX109" s="1251"/>
      <c r="JY109" s="1251"/>
      <c r="JZ109" s="1251"/>
      <c r="KA109" s="1251"/>
      <c r="KB109" s="1251"/>
      <c r="KC109" s="1251"/>
      <c r="KD109" s="1251"/>
      <c r="KE109" s="1251"/>
      <c r="KF109" s="1251"/>
      <c r="KG109" s="1251"/>
      <c r="KH109" s="1251"/>
      <c r="KI109" s="1251"/>
      <c r="KJ109" s="1251"/>
      <c r="KK109" s="1251"/>
      <c r="KL109" s="1251"/>
      <c r="KM109" s="1251"/>
      <c r="KN109" s="1251"/>
      <c r="KO109" s="1251"/>
      <c r="KP109" s="1251"/>
      <c r="KQ109" s="1251"/>
      <c r="KR109" s="1251"/>
      <c r="KS109" s="1251"/>
      <c r="KT109" s="1251"/>
      <c r="KU109" s="1251"/>
      <c r="KV109" s="1251"/>
      <c r="KW109" s="1251"/>
      <c r="KX109" s="1251"/>
      <c r="KY109" s="1251"/>
      <c r="KZ109" s="1251"/>
      <c r="LA109" s="1251"/>
      <c r="LB109" s="1251"/>
      <c r="LC109" s="1251"/>
      <c r="LD109" s="1251"/>
      <c r="LE109" s="1251"/>
      <c r="LF109" s="1251"/>
      <c r="LG109" s="1251"/>
      <c r="LH109" s="1251"/>
      <c r="LI109" s="1251"/>
      <c r="LJ109" s="1251"/>
      <c r="LK109" s="1251"/>
      <c r="LL109" s="1251"/>
      <c r="LM109" s="1251"/>
      <c r="LN109" s="1251"/>
      <c r="LO109" s="1251"/>
      <c r="LP109" s="1251"/>
      <c r="LQ109" s="1251"/>
      <c r="LR109" s="1251"/>
      <c r="LS109" s="1251"/>
      <c r="LT109" s="1251"/>
      <c r="LU109" s="1251"/>
      <c r="LV109" s="1251"/>
      <c r="LW109" s="1251"/>
      <c r="LX109" s="1251"/>
      <c r="LY109" s="1251"/>
      <c r="LZ109" s="1251"/>
      <c r="MA109" s="1251"/>
      <c r="MB109" s="1251"/>
      <c r="MC109" s="1251"/>
      <c r="MD109" s="1251"/>
      <c r="ME109" s="1251"/>
      <c r="MF109" s="1251"/>
      <c r="MG109" s="1251"/>
      <c r="MH109" s="1251"/>
      <c r="MI109" s="1251"/>
      <c r="MJ109" s="1251"/>
      <c r="MK109" s="1251"/>
      <c r="ML109" s="1251"/>
      <c r="MM109" s="1251"/>
      <c r="MN109" s="1251"/>
      <c r="MO109" s="1251"/>
      <c r="MP109" s="1251"/>
      <c r="MQ109" s="1251"/>
      <c r="MR109" s="1251"/>
      <c r="MS109" s="1251"/>
      <c r="MT109" s="1251"/>
      <c r="MU109" s="1251"/>
      <c r="MV109" s="1251"/>
      <c r="MW109" s="1251"/>
      <c r="MX109" s="1251"/>
      <c r="MY109" s="1251"/>
      <c r="MZ109" s="1251"/>
      <c r="NA109" s="1251"/>
      <c r="NB109" s="1251"/>
      <c r="NC109" s="1251"/>
      <c r="ND109" s="1251"/>
      <c r="NE109" s="1251"/>
      <c r="NF109" s="1251"/>
      <c r="NG109" s="1251"/>
      <c r="NH109" s="1251"/>
      <c r="NI109" s="1251"/>
      <c r="NJ109" s="1251"/>
      <c r="NK109" s="1251"/>
      <c r="NL109" s="1251"/>
      <c r="NM109" s="1251"/>
      <c r="NN109" s="1251"/>
      <c r="NO109" s="1251"/>
      <c r="NP109" s="1251"/>
      <c r="NQ109" s="1251"/>
      <c r="NR109" s="1251"/>
      <c r="NS109" s="1251"/>
      <c r="NT109" s="1251"/>
      <c r="NU109" s="1251"/>
      <c r="NV109" s="1251"/>
      <c r="NW109" s="1251"/>
      <c r="NX109" s="1251"/>
      <c r="NY109" s="1251"/>
      <c r="NZ109" s="1251"/>
      <c r="OA109" s="1251"/>
      <c r="OB109" s="1251"/>
      <c r="OC109" s="1251"/>
      <c r="OD109" s="1251"/>
      <c r="OE109" s="1251"/>
      <c r="OF109" s="1251"/>
      <c r="OG109" s="1251"/>
      <c r="OH109" s="1251"/>
      <c r="OI109" s="1251"/>
      <c r="OJ109" s="1251"/>
      <c r="OK109" s="1251"/>
      <c r="OL109" s="1251"/>
      <c r="OM109" s="1251"/>
      <c r="ON109" s="1251"/>
      <c r="OO109" s="1251"/>
      <c r="OP109" s="1251"/>
      <c r="OQ109" s="1251"/>
      <c r="OR109" s="1251"/>
      <c r="OS109" s="1251"/>
      <c r="OT109" s="1251"/>
      <c r="OU109" s="1251"/>
      <c r="OV109" s="1251"/>
      <c r="OW109" s="1251"/>
      <c r="OX109" s="1251"/>
      <c r="OY109" s="1251"/>
      <c r="OZ109" s="1251"/>
      <c r="PA109" s="1251"/>
      <c r="PB109" s="1251"/>
      <c r="PC109" s="1251"/>
      <c r="PD109" s="1251"/>
      <c r="PE109" s="1251"/>
      <c r="PF109" s="1251"/>
      <c r="PG109" s="1251"/>
      <c r="PH109" s="1251"/>
      <c r="PI109" s="1251"/>
      <c r="PJ109" s="1251"/>
      <c r="PK109" s="1251"/>
      <c r="PL109" s="1251"/>
      <c r="PM109" s="1251"/>
      <c r="PN109" s="1251"/>
      <c r="PO109" s="1251"/>
      <c r="PP109" s="1251"/>
      <c r="PQ109" s="1251"/>
      <c r="PR109" s="1251"/>
      <c r="PS109" s="1251"/>
      <c r="PT109" s="1251"/>
      <c r="PU109" s="1251"/>
      <c r="PV109" s="1251"/>
      <c r="PW109" s="1251"/>
      <c r="PX109" s="1251"/>
      <c r="PY109" s="1251"/>
      <c r="PZ109" s="1251"/>
      <c r="QA109" s="1251"/>
      <c r="QB109" s="1251"/>
      <c r="QC109" s="1251"/>
      <c r="QD109" s="1251"/>
      <c r="QE109" s="1251"/>
      <c r="QF109" s="1251"/>
      <c r="QG109" s="1251"/>
      <c r="QH109" s="1251"/>
      <c r="QI109" s="1251"/>
      <c r="QJ109" s="1251"/>
      <c r="QK109" s="1251"/>
      <c r="QL109" s="1251"/>
      <c r="QM109" s="1251"/>
      <c r="QN109" s="1251"/>
      <c r="QO109" s="1251"/>
      <c r="QP109" s="1251"/>
      <c r="QQ109" s="1251"/>
      <c r="QR109" s="1251"/>
      <c r="QS109" s="1251"/>
      <c r="QT109" s="1251"/>
      <c r="QU109" s="1251"/>
      <c r="QV109" s="1251"/>
      <c r="QW109" s="1251"/>
      <c r="QX109" s="1251"/>
      <c r="QY109" s="1251"/>
      <c r="QZ109" s="1251"/>
      <c r="RA109" s="1251"/>
      <c r="RB109" s="1251"/>
      <c r="RC109" s="1251"/>
      <c r="RD109" s="1251"/>
      <c r="RE109" s="1251"/>
      <c r="RF109" s="1251"/>
      <c r="RG109" s="1251"/>
      <c r="RH109" s="1251"/>
      <c r="RI109" s="1251"/>
      <c r="RJ109" s="1251"/>
      <c r="RK109" s="1251"/>
      <c r="RL109" s="1251"/>
      <c r="RM109" s="1251"/>
      <c r="RN109" s="1251"/>
      <c r="RO109" s="1251"/>
      <c r="RP109" s="1251"/>
      <c r="RQ109" s="1251"/>
      <c r="RR109" s="1251"/>
      <c r="RS109" s="1251"/>
      <c r="RT109" s="1251"/>
      <c r="RU109" s="1251"/>
      <c r="RV109" s="1251"/>
      <c r="RW109" s="1251"/>
      <c r="RX109" s="1251"/>
      <c r="RY109" s="1251"/>
      <c r="RZ109" s="1251"/>
      <c r="SA109" s="1251"/>
      <c r="SB109" s="1251"/>
      <c r="SC109" s="1251"/>
      <c r="SD109" s="1251"/>
      <c r="SE109" s="1251"/>
      <c r="SF109" s="1251"/>
      <c r="SG109" s="1251"/>
      <c r="SH109" s="1251"/>
      <c r="SI109" s="1251"/>
      <c r="SJ109" s="1251"/>
      <c r="SK109" s="1251"/>
      <c r="SL109" s="1251"/>
      <c r="SM109" s="1251"/>
      <c r="SN109" s="1251"/>
      <c r="SO109" s="1251"/>
      <c r="SP109" s="1251"/>
      <c r="SQ109" s="1251"/>
      <c r="SR109" s="1251"/>
      <c r="SS109" s="1251"/>
      <c r="ST109" s="1251"/>
      <c r="SU109" s="1251"/>
      <c r="SV109" s="1251"/>
      <c r="SW109" s="1251"/>
      <c r="SX109" s="1251"/>
      <c r="SY109" s="1251"/>
      <c r="SZ109" s="1251"/>
      <c r="TA109" s="1251"/>
      <c r="TB109" s="1251"/>
      <c r="TC109" s="1251"/>
      <c r="TD109" s="1251"/>
      <c r="TE109" s="1251"/>
      <c r="TF109" s="1251"/>
      <c r="TG109" s="1251"/>
      <c r="TH109" s="1251"/>
      <c r="TI109" s="1251"/>
      <c r="TJ109" s="1251"/>
      <c r="TK109" s="1251"/>
      <c r="TL109" s="1251"/>
      <c r="TM109" s="1251"/>
      <c r="TN109" s="1251"/>
      <c r="TO109" s="1251"/>
      <c r="TP109" s="1251"/>
      <c r="TQ109" s="1251"/>
      <c r="TR109" s="1251"/>
      <c r="TS109" s="1251"/>
      <c r="TT109" s="1251"/>
      <c r="TU109" s="1251"/>
      <c r="TV109" s="1251"/>
      <c r="TW109" s="1251"/>
      <c r="TX109" s="1251"/>
      <c r="TY109" s="1251"/>
      <c r="TZ109" s="1251"/>
      <c r="UA109" s="1251"/>
      <c r="UB109" s="1251"/>
      <c r="UC109" s="1251"/>
      <c r="UD109" s="1251"/>
      <c r="UE109" s="1251"/>
      <c r="UF109" s="1251"/>
      <c r="UG109" s="1251"/>
      <c r="UH109" s="1251"/>
      <c r="UI109" s="1251"/>
      <c r="UJ109" s="1251"/>
      <c r="UK109" s="1251"/>
      <c r="UL109" s="1251"/>
      <c r="UM109" s="1251"/>
      <c r="UN109" s="1251"/>
      <c r="UO109" s="1251"/>
      <c r="UP109" s="1251"/>
      <c r="UQ109" s="1251"/>
      <c r="UR109" s="1251"/>
      <c r="US109" s="1251"/>
      <c r="UT109" s="1251"/>
      <c r="UU109" s="1251"/>
      <c r="UV109" s="1251"/>
      <c r="UW109" s="1251"/>
      <c r="UX109" s="1251"/>
      <c r="UY109" s="1251"/>
      <c r="UZ109" s="1251"/>
      <c r="VA109" s="1251"/>
      <c r="VB109" s="1251"/>
      <c r="VC109" s="1251"/>
      <c r="VD109" s="1251"/>
      <c r="VE109" s="1251"/>
      <c r="VF109" s="1251"/>
      <c r="VG109" s="1251"/>
      <c r="VH109" s="1251"/>
      <c r="VI109" s="1251"/>
      <c r="VJ109" s="1251"/>
      <c r="VK109" s="1251"/>
      <c r="VL109" s="1251"/>
      <c r="VM109" s="1251"/>
      <c r="VN109" s="1251"/>
      <c r="VO109" s="1251"/>
      <c r="VP109" s="1251"/>
      <c r="VQ109" s="1251"/>
      <c r="VR109" s="1251"/>
      <c r="VS109" s="1251"/>
      <c r="VT109" s="1251"/>
      <c r="VU109" s="1251"/>
      <c r="VV109" s="1251"/>
      <c r="VW109" s="1251"/>
      <c r="VX109" s="1251"/>
      <c r="VY109" s="1251"/>
      <c r="VZ109" s="1251"/>
      <c r="WA109" s="1251"/>
      <c r="WB109" s="1251"/>
      <c r="WC109" s="1251"/>
      <c r="WD109" s="1251"/>
      <c r="WE109" s="1251"/>
      <c r="WF109" s="1251"/>
      <c r="WG109" s="1251"/>
      <c r="WH109" s="1251"/>
      <c r="WI109" s="1251"/>
      <c r="WJ109" s="1251"/>
      <c r="WK109" s="1251"/>
      <c r="WL109" s="1251"/>
      <c r="WM109" s="1251"/>
      <c r="WN109" s="1251"/>
      <c r="WO109" s="1251"/>
      <c r="WP109" s="1251"/>
      <c r="WQ109" s="1251"/>
      <c r="WR109" s="1251"/>
      <c r="WS109" s="1251"/>
      <c r="WT109" s="1251"/>
      <c r="WU109" s="1251"/>
      <c r="WV109" s="1251"/>
      <c r="WW109" s="1251"/>
      <c r="WX109" s="1251"/>
      <c r="WY109" s="1251"/>
      <c r="WZ109" s="1251"/>
      <c r="XA109" s="1251"/>
      <c r="XB109" s="1251"/>
      <c r="XC109" s="1251"/>
      <c r="XD109" s="1251"/>
      <c r="XE109" s="1251"/>
      <c r="XF109" s="1251"/>
      <c r="XG109" s="1251"/>
      <c r="XH109" s="1251"/>
      <c r="XI109" s="1251"/>
      <c r="XJ109" s="1251"/>
      <c r="XK109" s="1251"/>
      <c r="XL109" s="1251"/>
      <c r="XM109" s="1251"/>
      <c r="XN109" s="1251"/>
      <c r="XO109" s="1251"/>
      <c r="XP109" s="1251"/>
      <c r="XQ109" s="1251"/>
      <c r="XR109" s="1251"/>
      <c r="XS109" s="1251"/>
      <c r="XT109" s="1251"/>
      <c r="XU109" s="1251"/>
      <c r="XV109" s="1251"/>
      <c r="XW109" s="1251"/>
      <c r="XX109" s="1251"/>
      <c r="XY109" s="1251"/>
      <c r="XZ109" s="1251"/>
      <c r="YA109" s="1251"/>
      <c r="YB109" s="1251"/>
      <c r="YC109" s="1251"/>
      <c r="YD109" s="1251"/>
      <c r="YE109" s="1251"/>
      <c r="YF109" s="1251"/>
      <c r="YG109" s="1251"/>
      <c r="YH109" s="1251"/>
      <c r="YI109" s="1251"/>
      <c r="YJ109" s="1251"/>
      <c r="YK109" s="1251"/>
      <c r="YL109" s="1251"/>
      <c r="YM109" s="1251"/>
      <c r="YN109" s="1251"/>
      <c r="YO109" s="1251"/>
      <c r="YP109" s="1251"/>
      <c r="YQ109" s="1251"/>
      <c r="YR109" s="1251"/>
      <c r="YS109" s="1251"/>
      <c r="YT109" s="1251"/>
      <c r="YU109" s="1251"/>
      <c r="YV109" s="1251"/>
      <c r="YW109" s="1251"/>
      <c r="YX109" s="1251"/>
      <c r="YY109" s="1251"/>
      <c r="YZ109" s="1251"/>
      <c r="ZA109" s="1251"/>
      <c r="ZB109" s="1251"/>
      <c r="ZC109" s="1251"/>
      <c r="ZD109" s="1251"/>
      <c r="ZE109" s="1251"/>
      <c r="ZF109" s="1251"/>
      <c r="ZG109" s="1251"/>
      <c r="ZH109" s="1251"/>
      <c r="ZI109" s="1251"/>
      <c r="ZJ109" s="1251"/>
      <c r="ZK109" s="1251"/>
      <c r="ZL109" s="1251"/>
      <c r="ZM109" s="1251"/>
      <c r="ZN109" s="1251"/>
      <c r="ZO109" s="1251"/>
      <c r="ZP109" s="1251"/>
      <c r="ZQ109" s="1251"/>
      <c r="ZR109" s="1251"/>
      <c r="ZS109" s="1251"/>
      <c r="ZT109" s="1251"/>
      <c r="ZU109" s="1251"/>
      <c r="ZV109" s="1251"/>
      <c r="ZW109" s="1251"/>
      <c r="ZX109" s="1251"/>
      <c r="ZY109" s="1251"/>
      <c r="ZZ109" s="1251"/>
      <c r="AAA109" s="1251"/>
      <c r="AAB109" s="1251"/>
      <c r="AAC109" s="1251"/>
      <c r="AAD109" s="1251"/>
      <c r="AAE109" s="1251"/>
      <c r="AAF109" s="1251"/>
      <c r="AAG109" s="1251"/>
      <c r="AAH109" s="1251"/>
      <c r="AAI109" s="1251"/>
      <c r="AAJ109" s="1251"/>
      <c r="AAK109" s="1251"/>
      <c r="AAL109" s="1251"/>
      <c r="AAM109" s="1251"/>
      <c r="AAN109" s="1251"/>
      <c r="AAO109" s="1251"/>
      <c r="AAP109" s="1251"/>
      <c r="AAQ109" s="1251"/>
      <c r="AAR109" s="1251"/>
      <c r="AAS109" s="1251"/>
      <c r="AAT109" s="1251"/>
      <c r="AAU109" s="1251"/>
      <c r="AAV109" s="1251"/>
      <c r="AAW109" s="1251"/>
      <c r="AAX109" s="1251"/>
      <c r="AAY109" s="1251"/>
      <c r="AAZ109" s="1251"/>
      <c r="ABA109" s="1251"/>
      <c r="ABB109" s="1251"/>
      <c r="ABC109" s="1251"/>
      <c r="ABD109" s="1251"/>
      <c r="ABE109" s="1251"/>
      <c r="ABF109" s="1251"/>
      <c r="ABG109" s="1251"/>
      <c r="ABH109" s="1251"/>
      <c r="ABI109" s="1251"/>
      <c r="ABJ109" s="1251"/>
      <c r="ABK109" s="1251"/>
      <c r="ABL109" s="1251"/>
      <c r="ABM109" s="1251"/>
      <c r="ABN109" s="1251"/>
      <c r="ABO109" s="1251"/>
      <c r="ABP109" s="1251"/>
      <c r="ABQ109" s="1251"/>
      <c r="ABR109" s="1251"/>
      <c r="ABS109" s="1251"/>
      <c r="ABT109" s="1251"/>
      <c r="ABU109" s="1251"/>
      <c r="ABV109" s="1251"/>
      <c r="ABW109" s="1251"/>
      <c r="ABX109" s="1251"/>
      <c r="ABY109" s="1251"/>
      <c r="ABZ109" s="1251"/>
      <c r="ACA109" s="1251"/>
      <c r="ACB109" s="1251"/>
      <c r="ACC109" s="1251"/>
      <c r="ACD109" s="1251"/>
      <c r="ACE109" s="1251"/>
      <c r="ACF109" s="1251"/>
      <c r="ACG109" s="1251"/>
      <c r="ACH109" s="1251"/>
      <c r="ACI109" s="1251"/>
      <c r="ACJ109" s="1251"/>
      <c r="ACK109" s="1251"/>
      <c r="ACL109" s="1251"/>
      <c r="ACM109" s="1251"/>
      <c r="ACN109" s="1251"/>
      <c r="ACO109" s="1251"/>
      <c r="ACP109" s="1251"/>
      <c r="ACQ109" s="1251"/>
      <c r="ACR109" s="1251"/>
      <c r="ACS109" s="1251"/>
      <c r="ACT109" s="1251"/>
      <c r="ACU109" s="1251"/>
      <c r="ACV109" s="1251"/>
      <c r="ACW109" s="1251"/>
      <c r="ACX109" s="1251"/>
      <c r="ACY109" s="1251"/>
      <c r="ACZ109" s="1251"/>
      <c r="ADA109" s="1251"/>
      <c r="ADB109" s="1251"/>
      <c r="ADC109" s="1251"/>
      <c r="ADD109" s="1251"/>
      <c r="ADE109" s="1251"/>
      <c r="ADF109" s="1251"/>
      <c r="ADG109" s="1251"/>
      <c r="ADH109" s="1251"/>
      <c r="ADI109" s="1251"/>
      <c r="ADJ109" s="1251"/>
      <c r="ADK109" s="1251"/>
      <c r="ADL109" s="1251"/>
      <c r="ADM109" s="1251"/>
      <c r="ADN109" s="1251"/>
      <c r="ADO109" s="1251"/>
      <c r="ADP109" s="1251"/>
      <c r="ADQ109" s="1251"/>
      <c r="ADR109" s="1251"/>
      <c r="ADS109" s="1251"/>
      <c r="ADT109" s="1251"/>
      <c r="ADU109" s="1251"/>
      <c r="ADV109" s="1251"/>
      <c r="ADW109" s="1251"/>
      <c r="ADX109" s="1251"/>
      <c r="ADY109" s="1251"/>
      <c r="ADZ109" s="1251"/>
      <c r="AEA109" s="1251"/>
      <c r="AEB109" s="1251"/>
      <c r="AEC109" s="1251"/>
      <c r="AED109" s="1251"/>
      <c r="AEE109" s="1251"/>
      <c r="AEF109" s="1251"/>
      <c r="AEG109" s="1251"/>
      <c r="AEH109" s="1251"/>
      <c r="AEI109" s="1251"/>
      <c r="AEJ109" s="1251"/>
      <c r="AEK109" s="1251"/>
      <c r="AEL109" s="1251"/>
      <c r="AEM109" s="1251"/>
      <c r="AEN109" s="1251"/>
      <c r="AEO109" s="1251"/>
      <c r="AEP109" s="1251"/>
      <c r="AEQ109" s="1251"/>
      <c r="AER109" s="1251"/>
      <c r="AES109" s="1251"/>
      <c r="AET109" s="1251"/>
      <c r="AEU109" s="1251"/>
      <c r="AEV109" s="1251"/>
      <c r="AEW109" s="1251"/>
      <c r="AEX109" s="1251"/>
      <c r="AEY109" s="1251"/>
      <c r="AEZ109" s="1251"/>
      <c r="AFA109" s="1251"/>
      <c r="AFB109" s="1251"/>
      <c r="AFC109" s="1251"/>
      <c r="AFD109" s="1251"/>
      <c r="AFE109" s="1251"/>
      <c r="AFF109" s="1251"/>
      <c r="AFG109" s="1251"/>
      <c r="AFH109" s="1251"/>
      <c r="AFI109" s="1251"/>
      <c r="AFJ109" s="1251"/>
      <c r="AFK109" s="1251"/>
      <c r="AFL109" s="1251"/>
      <c r="AFM109" s="1251"/>
      <c r="AFN109" s="1251"/>
      <c r="AFO109" s="1251"/>
      <c r="AFP109" s="1251"/>
      <c r="AFQ109" s="1251"/>
      <c r="AFR109" s="1251"/>
      <c r="AFS109" s="1251"/>
      <c r="AFT109" s="1251"/>
      <c r="AFU109" s="1251"/>
      <c r="AFV109" s="1251"/>
      <c r="AFW109" s="1251"/>
      <c r="AFX109" s="1251"/>
      <c r="AFY109" s="1251"/>
      <c r="AFZ109" s="1251"/>
      <c r="AGA109" s="1251"/>
      <c r="AGB109" s="1251"/>
      <c r="AGC109" s="1251"/>
      <c r="AGD109" s="1251"/>
      <c r="AGE109" s="1251"/>
      <c r="AGF109" s="1251"/>
      <c r="AGG109" s="1251"/>
      <c r="AGH109" s="1251"/>
      <c r="AGI109" s="1251"/>
      <c r="AGJ109" s="1251"/>
      <c r="AGK109" s="1251"/>
      <c r="AGL109" s="1251"/>
      <c r="AGM109" s="1251"/>
      <c r="AGN109" s="1251"/>
      <c r="AGO109" s="1251"/>
      <c r="AGP109" s="1251"/>
      <c r="AGQ109" s="1251"/>
      <c r="AGR109" s="1251"/>
      <c r="AGS109" s="1251"/>
      <c r="AGT109" s="1251"/>
      <c r="AGU109" s="1251"/>
      <c r="AGV109" s="1251"/>
      <c r="AGW109" s="1251"/>
      <c r="AGX109" s="1251"/>
      <c r="AGY109" s="1251"/>
      <c r="AGZ109" s="1251"/>
      <c r="AHA109" s="1251"/>
      <c r="AHB109" s="1251"/>
      <c r="AHC109" s="1251"/>
      <c r="AHD109" s="1251"/>
      <c r="AHE109" s="1251"/>
      <c r="AHF109" s="1251"/>
      <c r="AHG109" s="1251"/>
      <c r="AHH109" s="1251"/>
      <c r="AHI109" s="1251"/>
      <c r="AHJ109" s="1251"/>
      <c r="AHK109" s="1251"/>
      <c r="AHL109" s="1251"/>
      <c r="AHM109" s="1251"/>
      <c r="AHN109" s="1251"/>
      <c r="AHO109" s="1251"/>
      <c r="AHP109" s="1251"/>
      <c r="AHQ109" s="1251"/>
      <c r="AHR109" s="1251"/>
      <c r="AHS109" s="1251"/>
      <c r="AHT109" s="1251"/>
      <c r="AHU109" s="1251"/>
      <c r="AHV109" s="1251"/>
      <c r="AHW109" s="1251"/>
      <c r="AHX109" s="1251"/>
      <c r="AHY109" s="1251"/>
      <c r="AHZ109" s="1251"/>
      <c r="AIA109" s="1251"/>
      <c r="AIB109" s="1251"/>
      <c r="AIC109" s="1251"/>
      <c r="AID109" s="1251"/>
      <c r="AIE109" s="1251"/>
      <c r="AIF109" s="1251"/>
      <c r="AIG109" s="1251"/>
      <c r="AIH109" s="1251"/>
      <c r="AII109" s="1251"/>
      <c r="AIJ109" s="1251"/>
      <c r="AIK109" s="1251"/>
      <c r="AIL109" s="1251"/>
      <c r="AIM109" s="1251"/>
      <c r="AIN109" s="1251"/>
      <c r="AIO109" s="1251"/>
      <c r="AIP109" s="1251"/>
      <c r="AIQ109" s="1251"/>
      <c r="AIR109" s="1251"/>
      <c r="AIS109" s="1251"/>
      <c r="AIT109" s="1251"/>
      <c r="AIU109" s="1251"/>
      <c r="AIV109" s="1251"/>
      <c r="AIW109" s="1251"/>
      <c r="AIX109" s="1251"/>
      <c r="AIY109" s="1251"/>
      <c r="AIZ109" s="1251"/>
      <c r="AJA109" s="1251"/>
      <c r="AJB109" s="1251"/>
      <c r="AJC109" s="1251"/>
      <c r="AJD109" s="1251"/>
      <c r="AJE109" s="1251"/>
      <c r="AJF109" s="1251"/>
      <c r="AJG109" s="1251"/>
      <c r="AJH109" s="1251"/>
      <c r="AJI109" s="1251"/>
      <c r="AJJ109" s="1251"/>
      <c r="AJK109" s="1251"/>
      <c r="AJL109" s="1251"/>
      <c r="AJM109" s="1251"/>
      <c r="AJN109" s="1251"/>
      <c r="AJO109" s="1251"/>
      <c r="AJP109" s="1251"/>
      <c r="AJQ109" s="1251"/>
      <c r="AJR109" s="1251"/>
      <c r="AJS109" s="1251"/>
      <c r="AJT109" s="1251"/>
      <c r="AJU109" s="1251"/>
      <c r="AJV109" s="1251"/>
      <c r="AJW109" s="1251"/>
      <c r="AJX109" s="1251"/>
      <c r="AJY109" s="1251"/>
      <c r="AJZ109" s="1251"/>
      <c r="AKA109" s="1251"/>
      <c r="AKB109" s="1251"/>
      <c r="AKC109" s="1251"/>
      <c r="AKD109" s="1251"/>
      <c r="AKE109" s="1251"/>
      <c r="AKF109" s="1251"/>
      <c r="AKG109" s="1251"/>
      <c r="AKH109" s="1251"/>
      <c r="AKI109" s="1251"/>
      <c r="AKJ109" s="1251"/>
      <c r="AKK109" s="1251"/>
      <c r="AKL109" s="1251"/>
      <c r="AKM109" s="1251"/>
      <c r="AKN109" s="1251"/>
      <c r="AKO109" s="1251"/>
      <c r="AKP109" s="1251"/>
      <c r="AKQ109" s="1251"/>
      <c r="AKR109" s="1251"/>
      <c r="AKS109" s="1251"/>
      <c r="AKT109" s="1251"/>
      <c r="AKU109" s="1251"/>
      <c r="AKV109" s="1251"/>
      <c r="AKW109" s="1251"/>
      <c r="AKX109" s="1251"/>
      <c r="AKY109" s="1251"/>
      <c r="AKZ109" s="1251"/>
      <c r="ALA109" s="1251"/>
      <c r="ALB109" s="1251"/>
      <c r="ALC109" s="1251"/>
      <c r="ALD109" s="1251"/>
      <c r="ALE109" s="1251"/>
      <c r="ALF109" s="1251"/>
      <c r="ALG109" s="1251"/>
      <c r="ALH109" s="1251"/>
      <c r="ALI109" s="1251"/>
      <c r="ALJ109" s="1251"/>
      <c r="ALK109" s="1251"/>
      <c r="ALL109" s="1251"/>
      <c r="ALM109" s="1251"/>
      <c r="ALN109" s="1251"/>
      <c r="ALO109" s="1251"/>
      <c r="ALP109" s="1251"/>
      <c r="ALQ109" s="1251"/>
      <c r="ALR109" s="1251"/>
      <c r="ALS109" s="1251"/>
      <c r="ALT109" s="1251"/>
      <c r="ALU109" s="1251"/>
      <c r="ALV109" s="1251"/>
      <c r="ALW109" s="1251"/>
      <c r="ALX109" s="1251"/>
      <c r="ALY109" s="1251"/>
      <c r="ALZ109" s="1251"/>
      <c r="AMA109" s="1251"/>
      <c r="AMB109" s="1251"/>
      <c r="AMC109" s="1251"/>
      <c r="AMD109" s="1251"/>
      <c r="AME109" s="1251"/>
      <c r="AMF109" s="1251"/>
      <c r="AMG109" s="1251"/>
      <c r="AMH109" s="1251"/>
      <c r="AMI109" s="1251"/>
      <c r="AMJ109" s="1251"/>
      <c r="AMK109" s="1251"/>
      <c r="AML109" s="1251"/>
      <c r="AMM109" s="1251"/>
      <c r="AMN109" s="1251"/>
      <c r="AMO109" s="1251"/>
      <c r="AMP109" s="1251"/>
      <c r="AMQ109" s="1251"/>
      <c r="AMR109" s="1251"/>
      <c r="AMS109" s="1251"/>
      <c r="AMT109" s="1251"/>
      <c r="AMU109" s="1251"/>
      <c r="AMV109" s="1251"/>
      <c r="AMW109" s="1251"/>
      <c r="AMX109" s="1251"/>
      <c r="AMY109" s="1251"/>
      <c r="AMZ109" s="1251"/>
      <c r="ANA109" s="1251"/>
      <c r="ANB109" s="1251"/>
      <c r="ANC109" s="1251"/>
      <c r="AND109" s="1251"/>
      <c r="ANE109" s="1251"/>
      <c r="ANF109" s="1251"/>
      <c r="ANG109" s="1251"/>
      <c r="ANH109" s="1251"/>
      <c r="ANI109" s="1251"/>
      <c r="ANJ109" s="1251"/>
      <c r="ANK109" s="1251"/>
      <c r="ANL109" s="1251"/>
      <c r="ANM109" s="1251"/>
      <c r="ANN109" s="1251"/>
      <c r="ANO109" s="1251"/>
      <c r="ANP109" s="1251"/>
      <c r="ANQ109" s="1251"/>
      <c r="ANR109" s="1251"/>
      <c r="ANS109" s="1251"/>
      <c r="ANT109" s="1251"/>
      <c r="ANU109" s="1251"/>
      <c r="ANV109" s="1251"/>
      <c r="ANW109" s="1251"/>
      <c r="ANX109" s="1251"/>
      <c r="ANY109" s="1251"/>
      <c r="ANZ109" s="1251"/>
      <c r="AOA109" s="1251"/>
      <c r="AOB109" s="1251"/>
      <c r="AOC109" s="1251"/>
      <c r="AOD109" s="1251"/>
      <c r="AOE109" s="1251"/>
      <c r="AOF109" s="1251"/>
      <c r="AOG109" s="1251"/>
      <c r="AOH109" s="1251"/>
      <c r="AOI109" s="1251"/>
      <c r="AOJ109" s="1251"/>
      <c r="AOK109" s="1251"/>
      <c r="AOL109" s="1251"/>
      <c r="AOM109" s="1251"/>
      <c r="AON109" s="1251"/>
      <c r="AOO109" s="1251"/>
      <c r="AOP109" s="1251"/>
      <c r="AOQ109" s="1251"/>
      <c r="AOR109" s="1251"/>
      <c r="AOS109" s="1251"/>
      <c r="AOT109" s="1251"/>
      <c r="AOU109" s="1251"/>
      <c r="AOV109" s="1251"/>
      <c r="AOW109" s="1251"/>
      <c r="AOX109" s="1251"/>
      <c r="AOY109" s="1251"/>
      <c r="AOZ109" s="1251"/>
      <c r="APA109" s="1251"/>
      <c r="APB109" s="1251"/>
      <c r="APC109" s="1251"/>
      <c r="APD109" s="1251"/>
      <c r="APE109" s="1251"/>
      <c r="APF109" s="1251"/>
      <c r="APG109" s="1251"/>
      <c r="APH109" s="1251"/>
      <c r="API109" s="1251"/>
      <c r="APJ109" s="1251"/>
      <c r="APK109" s="1251"/>
      <c r="APL109" s="1251"/>
      <c r="APM109" s="1251"/>
      <c r="APN109" s="1251"/>
      <c r="APO109" s="1251"/>
      <c r="APP109" s="1251"/>
      <c r="APQ109" s="1251"/>
      <c r="APR109" s="1251"/>
      <c r="APS109" s="1251"/>
      <c r="APT109" s="1251"/>
      <c r="APU109" s="1251"/>
      <c r="APV109" s="1251"/>
      <c r="APW109" s="1251"/>
      <c r="APX109" s="1251"/>
      <c r="APY109" s="1251"/>
      <c r="APZ109" s="1251"/>
      <c r="AQA109" s="1251"/>
      <c r="AQB109" s="1251"/>
      <c r="AQC109" s="1251"/>
      <c r="AQD109" s="1251"/>
      <c r="AQE109" s="1251"/>
      <c r="AQF109" s="1251"/>
      <c r="AQG109" s="1251"/>
      <c r="AQH109" s="1251"/>
      <c r="AQI109" s="1251"/>
      <c r="AQJ109" s="1251"/>
      <c r="AQK109" s="1251"/>
      <c r="AQL109" s="1251"/>
      <c r="AQM109" s="1251"/>
      <c r="AQN109" s="1251"/>
      <c r="AQO109" s="1251"/>
      <c r="AQP109" s="1251"/>
      <c r="AQQ109" s="1251"/>
      <c r="AQR109" s="1251"/>
      <c r="AQS109" s="1251"/>
      <c r="AQT109" s="1251"/>
      <c r="AQU109" s="1251"/>
      <c r="AQV109" s="1251"/>
      <c r="AQW109" s="1251"/>
      <c r="AQX109" s="1251"/>
      <c r="AQY109" s="1251"/>
      <c r="AQZ109" s="1251"/>
      <c r="ARA109" s="1251"/>
      <c r="ARB109" s="1251"/>
      <c r="ARC109" s="1251"/>
      <c r="ARD109" s="1251"/>
      <c r="ARE109" s="1251"/>
      <c r="ARF109" s="1251"/>
      <c r="ARG109" s="1251"/>
      <c r="ARH109" s="1251"/>
      <c r="ARI109" s="1251"/>
      <c r="ARJ109" s="1251"/>
      <c r="ARK109" s="1251"/>
      <c r="ARL109" s="1251"/>
      <c r="ARM109" s="1251"/>
      <c r="ARN109" s="1251"/>
      <c r="ARO109" s="1251"/>
      <c r="ARP109" s="1251"/>
      <c r="ARQ109" s="1251"/>
      <c r="ARR109" s="1251"/>
      <c r="ARS109" s="1251"/>
      <c r="ART109" s="1251"/>
      <c r="ARU109" s="1251"/>
      <c r="ARV109" s="1251"/>
      <c r="ARW109" s="1251"/>
      <c r="ARX109" s="1251"/>
      <c r="ARY109" s="1251"/>
      <c r="ARZ109" s="1251"/>
      <c r="ASA109" s="1251"/>
      <c r="ASB109" s="1251"/>
      <c r="ASC109" s="1251"/>
      <c r="ASD109" s="1251"/>
      <c r="ASE109" s="1251"/>
      <c r="ASF109" s="1251"/>
      <c r="ASG109" s="1251"/>
      <c r="ASH109" s="1251"/>
      <c r="ASI109" s="1251"/>
      <c r="ASJ109" s="1251"/>
      <c r="ASK109" s="1251"/>
      <c r="ASL109" s="1251"/>
      <c r="ASM109" s="1251"/>
      <c r="ASN109" s="1251"/>
      <c r="ASO109" s="1251"/>
      <c r="ASP109" s="1251"/>
      <c r="ASQ109" s="1251"/>
      <c r="ASR109" s="1251"/>
      <c r="ASS109" s="1251"/>
      <c r="AST109" s="1251"/>
      <c r="ASU109" s="1251"/>
      <c r="ASV109" s="1251"/>
      <c r="ASW109" s="1251"/>
      <c r="ASX109" s="1251"/>
      <c r="ASY109" s="1251"/>
      <c r="ASZ109" s="1251"/>
      <c r="ATA109" s="1251"/>
      <c r="ATB109" s="1251"/>
      <c r="ATC109" s="1251"/>
      <c r="ATD109" s="1251"/>
      <c r="ATE109" s="1251"/>
      <c r="ATF109" s="1251"/>
      <c r="ATG109" s="1251"/>
      <c r="ATH109" s="1251"/>
      <c r="ATI109" s="1251"/>
      <c r="ATJ109" s="1251"/>
      <c r="ATK109" s="1251"/>
      <c r="ATL109" s="1251"/>
      <c r="ATM109" s="1251"/>
      <c r="ATN109" s="1251"/>
      <c r="ATO109" s="1251"/>
      <c r="ATP109" s="1251"/>
      <c r="ATQ109" s="1251"/>
      <c r="ATR109" s="1251"/>
      <c r="ATS109" s="1251"/>
      <c r="ATT109" s="1251"/>
      <c r="ATU109" s="1251"/>
      <c r="ATV109" s="1251"/>
      <c r="ATW109" s="1251"/>
      <c r="ATX109" s="1251"/>
      <c r="ATY109" s="1251"/>
      <c r="ATZ109" s="1251"/>
      <c r="AUA109" s="1251"/>
      <c r="AUB109" s="1251"/>
      <c r="AUC109" s="1251"/>
      <c r="AUD109" s="1251"/>
      <c r="AUE109" s="1251"/>
      <c r="AUF109" s="1251"/>
      <c r="AUG109" s="1251"/>
      <c r="AUH109" s="1251"/>
      <c r="AUI109" s="1251"/>
      <c r="AUJ109" s="1251"/>
      <c r="AUK109" s="1251"/>
      <c r="AUL109" s="1251"/>
      <c r="AUM109" s="1251"/>
      <c r="AUN109" s="1251"/>
      <c r="AUO109" s="1251"/>
      <c r="AUP109" s="1251"/>
      <c r="AUQ109" s="1251"/>
      <c r="AUR109" s="1251"/>
      <c r="AUS109" s="1251"/>
      <c r="AUT109" s="1251"/>
      <c r="AUU109" s="1251"/>
      <c r="AUV109" s="1251"/>
      <c r="AUW109" s="1251"/>
      <c r="AUX109" s="1251"/>
      <c r="AUY109" s="1251"/>
      <c r="AUZ109" s="1251"/>
      <c r="AVA109" s="1251"/>
      <c r="AVB109" s="1251"/>
      <c r="AVC109" s="1251"/>
      <c r="AVD109" s="1251"/>
      <c r="AVE109" s="1251"/>
      <c r="AVF109" s="1251"/>
      <c r="AVG109" s="1251"/>
      <c r="AVH109" s="1251"/>
      <c r="AVI109" s="1251"/>
      <c r="AVJ109" s="1251"/>
      <c r="AVK109" s="1251"/>
      <c r="AVL109" s="1251"/>
      <c r="AVM109" s="1251"/>
      <c r="AVN109" s="1251"/>
      <c r="AVO109" s="1251"/>
      <c r="AVP109" s="1251"/>
      <c r="AVQ109" s="1251"/>
      <c r="AVR109" s="1251"/>
      <c r="AVS109" s="1251"/>
      <c r="AVT109" s="1251"/>
      <c r="AVU109" s="1251"/>
      <c r="AVV109" s="1251"/>
      <c r="AVW109" s="1251"/>
      <c r="AVX109" s="1251"/>
      <c r="AVY109" s="1251"/>
      <c r="AVZ109" s="1251"/>
      <c r="AWA109" s="1251"/>
      <c r="AWB109" s="1251"/>
      <c r="AWC109" s="1251"/>
      <c r="AWD109" s="1251"/>
      <c r="AWE109" s="1251"/>
      <c r="AWF109" s="1251"/>
      <c r="AWG109" s="1251"/>
      <c r="AWH109" s="1251"/>
      <c r="AWI109" s="1251"/>
      <c r="AWJ109" s="1251"/>
      <c r="AWK109" s="1251"/>
      <c r="AWL109" s="1251"/>
      <c r="AWM109" s="1251"/>
      <c r="AWN109" s="1251"/>
      <c r="AWO109" s="1251"/>
      <c r="AWP109" s="1251"/>
      <c r="AWQ109" s="1251"/>
      <c r="AWR109" s="1251"/>
      <c r="AWS109" s="1251"/>
      <c r="AWT109" s="1251"/>
      <c r="AWU109" s="1251"/>
      <c r="AWV109" s="1251"/>
      <c r="AWW109" s="1251"/>
      <c r="AWX109" s="1251"/>
      <c r="AWY109" s="1251"/>
      <c r="AWZ109" s="1251"/>
      <c r="AXA109" s="1251"/>
      <c r="AXB109" s="1251"/>
      <c r="AXC109" s="1251"/>
      <c r="AXD109" s="1251"/>
      <c r="AXE109" s="1251"/>
      <c r="AXF109" s="1251"/>
      <c r="AXG109" s="1251"/>
      <c r="AXH109" s="1251"/>
      <c r="AXI109" s="1251"/>
      <c r="AXJ109" s="1251"/>
      <c r="AXK109" s="1251"/>
      <c r="AXL109" s="1251"/>
      <c r="AXM109" s="1251"/>
      <c r="AXN109" s="1251"/>
      <c r="AXO109" s="1251"/>
      <c r="AXP109" s="1251"/>
      <c r="AXQ109" s="1251"/>
      <c r="AXR109" s="1251"/>
      <c r="AXS109" s="1251"/>
      <c r="AXT109" s="1251"/>
      <c r="AXU109" s="1251"/>
      <c r="AXV109" s="1251"/>
      <c r="AXW109" s="1251"/>
      <c r="AXX109" s="1251"/>
      <c r="AXY109" s="1251"/>
      <c r="AXZ109" s="1251"/>
      <c r="AYA109" s="1251"/>
      <c r="AYB109" s="1251"/>
      <c r="AYC109" s="1251"/>
      <c r="AYD109" s="1251"/>
      <c r="AYE109" s="1251"/>
      <c r="AYF109" s="1251"/>
      <c r="AYG109" s="1251"/>
      <c r="AYH109" s="1251"/>
      <c r="AYI109" s="1251"/>
      <c r="AYJ109" s="1251"/>
      <c r="AYK109" s="1251"/>
      <c r="AYL109" s="1251"/>
      <c r="AYM109" s="1251"/>
      <c r="AYN109" s="1251"/>
      <c r="AYO109" s="1251"/>
      <c r="AYP109" s="1251"/>
      <c r="AYQ109" s="1251"/>
      <c r="AYR109" s="1251"/>
      <c r="AYS109" s="1251"/>
      <c r="AYT109" s="1251"/>
      <c r="AYU109" s="1251"/>
      <c r="AYV109" s="1251"/>
      <c r="AYW109" s="1251"/>
      <c r="AYX109" s="1251"/>
      <c r="AYY109" s="1251"/>
      <c r="AYZ109" s="1251"/>
      <c r="AZA109" s="1251"/>
      <c r="AZB109" s="1251"/>
      <c r="AZC109" s="1251"/>
      <c r="AZD109" s="1251"/>
      <c r="AZE109" s="1251"/>
      <c r="AZF109" s="1251"/>
      <c r="AZG109" s="1251"/>
      <c r="AZH109" s="1251"/>
      <c r="AZI109" s="1251"/>
      <c r="AZJ109" s="1251"/>
      <c r="AZK109" s="1251"/>
      <c r="AZL109" s="1251"/>
      <c r="AZM109" s="1251"/>
      <c r="AZN109" s="1251"/>
      <c r="AZO109" s="1251"/>
      <c r="AZP109" s="1251"/>
      <c r="AZQ109" s="1251"/>
      <c r="AZR109" s="1251"/>
      <c r="AZS109" s="1251"/>
      <c r="AZT109" s="1251"/>
      <c r="AZU109" s="1251"/>
      <c r="AZV109" s="1251"/>
      <c r="AZW109" s="1251"/>
      <c r="AZX109" s="1251"/>
      <c r="AZY109" s="1251"/>
      <c r="AZZ109" s="1251"/>
      <c r="BAA109" s="1251"/>
      <c r="BAB109" s="1251"/>
      <c r="BAC109" s="1251"/>
      <c r="BAD109" s="1251"/>
      <c r="BAE109" s="1251"/>
      <c r="BAF109" s="1251"/>
      <c r="BAG109" s="1251"/>
      <c r="BAH109" s="1251"/>
      <c r="BAI109" s="1251"/>
      <c r="BAJ109" s="1251"/>
      <c r="BAK109" s="1251"/>
      <c r="BAL109" s="1251"/>
      <c r="BAM109" s="1251"/>
      <c r="BAN109" s="1251"/>
      <c r="BAO109" s="1251"/>
      <c r="BAP109" s="1251"/>
      <c r="BAQ109" s="1251"/>
      <c r="BAR109" s="1251"/>
      <c r="BAS109" s="1251"/>
      <c r="BAT109" s="1251"/>
      <c r="BAU109" s="1251"/>
      <c r="BAV109" s="1251"/>
      <c r="BAW109" s="1251"/>
      <c r="BAX109" s="1251"/>
      <c r="BAY109" s="1251"/>
      <c r="BAZ109" s="1251"/>
      <c r="BBA109" s="1251"/>
      <c r="BBB109" s="1251"/>
      <c r="BBC109" s="1251"/>
      <c r="BBD109" s="1251"/>
      <c r="BBE109" s="1251"/>
      <c r="BBF109" s="1251"/>
      <c r="BBG109" s="1251"/>
      <c r="BBH109" s="1251"/>
      <c r="BBI109" s="1251"/>
      <c r="BBJ109" s="1251"/>
      <c r="BBK109" s="1251"/>
      <c r="BBL109" s="1251"/>
      <c r="BBM109" s="1251"/>
      <c r="BBN109" s="1251"/>
      <c r="BBO109" s="1251"/>
      <c r="BBP109" s="1251"/>
      <c r="BBQ109" s="1251"/>
      <c r="BBR109" s="1251"/>
      <c r="BBS109" s="1251"/>
      <c r="BBT109" s="1251"/>
      <c r="BBU109" s="1251"/>
      <c r="BBV109" s="1251"/>
      <c r="BBW109" s="1251"/>
      <c r="BBX109" s="1251"/>
      <c r="BBY109" s="1251"/>
      <c r="BBZ109" s="1251"/>
      <c r="BCA109" s="1251"/>
      <c r="BCB109" s="1251"/>
      <c r="BCC109" s="1251"/>
      <c r="BCD109" s="1251"/>
      <c r="BCE109" s="1251"/>
      <c r="BCF109" s="1251"/>
      <c r="BCG109" s="1251"/>
      <c r="BCH109" s="1251"/>
      <c r="BCI109" s="1251"/>
      <c r="BCJ109" s="1251"/>
      <c r="BCK109" s="1251"/>
      <c r="BCL109" s="1251"/>
      <c r="BCM109" s="1251"/>
      <c r="BCN109" s="1251"/>
      <c r="BCO109" s="1251"/>
      <c r="BCP109" s="1251"/>
      <c r="BCQ109" s="1251"/>
      <c r="BCR109" s="1251"/>
      <c r="BCS109" s="1251"/>
      <c r="BCT109" s="1251"/>
      <c r="BCU109" s="1251"/>
      <c r="BCV109" s="1251"/>
      <c r="BCW109" s="1251"/>
      <c r="BCX109" s="1251"/>
      <c r="BCY109" s="1251"/>
      <c r="BCZ109" s="1251"/>
      <c r="BDA109" s="1251"/>
      <c r="BDB109" s="1251"/>
      <c r="BDC109" s="1251"/>
      <c r="BDD109" s="1251"/>
      <c r="BDE109" s="1251"/>
      <c r="BDF109" s="1251"/>
      <c r="BDG109" s="1251"/>
      <c r="BDH109" s="1251"/>
      <c r="BDI109" s="1251"/>
      <c r="BDJ109" s="1251"/>
      <c r="BDK109" s="1251"/>
      <c r="BDL109" s="1251"/>
      <c r="BDM109" s="1251"/>
      <c r="BDN109" s="1251"/>
      <c r="BDO109" s="1251"/>
      <c r="BDP109" s="1251"/>
      <c r="BDQ109" s="1251"/>
      <c r="BDR109" s="1251"/>
      <c r="BDS109" s="1251"/>
      <c r="BDT109" s="1251"/>
      <c r="BDU109" s="1251"/>
      <c r="BDV109" s="1251"/>
      <c r="BDW109" s="1251"/>
      <c r="BDX109" s="1251"/>
      <c r="BDY109" s="1251"/>
      <c r="BDZ109" s="1251"/>
      <c r="BEA109" s="1251"/>
      <c r="BEB109" s="1251"/>
      <c r="BEC109" s="1251"/>
      <c r="BED109" s="1251"/>
      <c r="BEE109" s="1251"/>
      <c r="BEF109" s="1251"/>
      <c r="BEG109" s="1251"/>
      <c r="BEH109" s="1251"/>
      <c r="BEI109" s="1251"/>
      <c r="BEJ109" s="1251"/>
      <c r="BEK109" s="1251"/>
      <c r="BEL109" s="1251"/>
      <c r="BEM109" s="1251"/>
      <c r="BEN109" s="1251"/>
      <c r="BEO109" s="1251"/>
      <c r="BEP109" s="1251"/>
      <c r="BEQ109" s="1251"/>
      <c r="BER109" s="1251"/>
      <c r="BES109" s="1251"/>
      <c r="BET109" s="1251"/>
      <c r="BEU109" s="1251"/>
      <c r="BEV109" s="1251"/>
      <c r="BEW109" s="1251"/>
      <c r="BEX109" s="1251"/>
      <c r="BEY109" s="1251"/>
      <c r="BEZ109" s="1251"/>
      <c r="BFA109" s="1251"/>
      <c r="BFB109" s="1251"/>
      <c r="BFC109" s="1251"/>
      <c r="BFD109" s="1251"/>
      <c r="BFE109" s="1251"/>
      <c r="BFF109" s="1251"/>
      <c r="BFG109" s="1251"/>
      <c r="BFH109" s="1251"/>
      <c r="BFI109" s="1251"/>
      <c r="BFJ109" s="1251"/>
      <c r="BFK109" s="1251"/>
      <c r="BFL109" s="1251"/>
      <c r="BFM109" s="1251"/>
      <c r="BFN109" s="1251"/>
      <c r="BFO109" s="1251"/>
      <c r="BFP109" s="1251"/>
      <c r="BFQ109" s="1251"/>
      <c r="BFR109" s="1251"/>
      <c r="BFS109" s="1251"/>
      <c r="BFT109" s="1251"/>
      <c r="BFU109" s="1251"/>
      <c r="BFV109" s="1251"/>
      <c r="BFW109" s="1251"/>
      <c r="BFX109" s="1251"/>
      <c r="BFY109" s="1251"/>
      <c r="BFZ109" s="1251"/>
      <c r="BGA109" s="1251"/>
      <c r="BGB109" s="1251"/>
      <c r="BGC109" s="1251"/>
      <c r="BGD109" s="1251"/>
      <c r="BGE109" s="1251"/>
      <c r="BGF109" s="1251"/>
      <c r="BGG109" s="1251"/>
      <c r="BGH109" s="1251"/>
      <c r="BGI109" s="1251"/>
      <c r="BGJ109" s="1251"/>
      <c r="BGK109" s="1251"/>
      <c r="BGL109" s="1251"/>
      <c r="BGM109" s="1251"/>
      <c r="BGN109" s="1251"/>
      <c r="BGO109" s="1251"/>
      <c r="BGP109" s="1251"/>
      <c r="BGQ109" s="1251"/>
      <c r="BGR109" s="1251"/>
      <c r="BGS109" s="1251"/>
      <c r="BGT109" s="1251"/>
      <c r="BGU109" s="1251"/>
      <c r="BGV109" s="1251"/>
      <c r="BGW109" s="1251"/>
      <c r="BGX109" s="1251"/>
      <c r="BGY109" s="1251"/>
      <c r="BGZ109" s="1251"/>
      <c r="BHA109" s="1251"/>
      <c r="BHB109" s="1251"/>
      <c r="BHC109" s="1251"/>
      <c r="BHD109" s="1251"/>
      <c r="BHE109" s="1251"/>
      <c r="BHF109" s="1251"/>
      <c r="BHG109" s="1251"/>
      <c r="BHH109" s="1251"/>
      <c r="BHI109" s="1251"/>
      <c r="BHJ109" s="1251"/>
      <c r="BHK109" s="1251"/>
      <c r="BHL109" s="1251"/>
      <c r="BHM109" s="1251"/>
      <c r="BHN109" s="1251"/>
      <c r="BHO109" s="1251"/>
      <c r="BHP109" s="1251"/>
      <c r="BHQ109" s="1251"/>
      <c r="BHR109" s="1251"/>
      <c r="BHS109" s="1251"/>
      <c r="BHT109" s="1251"/>
      <c r="BHU109" s="1251"/>
      <c r="BHV109" s="1251"/>
      <c r="BHW109" s="1251"/>
      <c r="BHX109" s="1251"/>
      <c r="BHY109" s="1251"/>
      <c r="BHZ109" s="1251"/>
      <c r="BIA109" s="1251"/>
      <c r="BIB109" s="1251"/>
      <c r="BIC109" s="1251"/>
      <c r="BID109" s="1251"/>
      <c r="BIE109" s="1251"/>
      <c r="BIF109" s="1251"/>
      <c r="BIG109" s="1251"/>
      <c r="BIH109" s="1251"/>
      <c r="BII109" s="1251"/>
      <c r="BIJ109" s="1251"/>
      <c r="BIK109" s="1251"/>
      <c r="BIL109" s="1251"/>
      <c r="BIM109" s="1251"/>
      <c r="BIN109" s="1251"/>
      <c r="BIO109" s="1251"/>
      <c r="BIP109" s="1251"/>
      <c r="BIQ109" s="1251"/>
      <c r="BIR109" s="1251"/>
      <c r="BIS109" s="1251"/>
      <c r="BIT109" s="1251"/>
      <c r="BIU109" s="1251"/>
      <c r="BIV109" s="1251"/>
      <c r="BIW109" s="1251"/>
      <c r="BIX109" s="1251"/>
      <c r="BIY109" s="1251"/>
      <c r="BIZ109" s="1251"/>
      <c r="BJA109" s="1251"/>
      <c r="BJB109" s="1251"/>
      <c r="BJC109" s="1251"/>
      <c r="BJD109" s="1251"/>
      <c r="BJE109" s="1251"/>
      <c r="BJF109" s="1251"/>
      <c r="BJG109" s="1251"/>
      <c r="BJH109" s="1251"/>
      <c r="BJI109" s="1251"/>
      <c r="BJJ109" s="1251"/>
      <c r="BJK109" s="1251"/>
      <c r="BJL109" s="1251"/>
      <c r="BJM109" s="1251"/>
      <c r="BJN109" s="1251"/>
      <c r="BJO109" s="1251"/>
      <c r="BJP109" s="1251"/>
      <c r="BJQ109" s="1251"/>
      <c r="BJR109" s="1251"/>
      <c r="BJS109" s="1251"/>
      <c r="BJT109" s="1251"/>
      <c r="BJU109" s="1251"/>
      <c r="BJV109" s="1251"/>
      <c r="BJW109" s="1251"/>
      <c r="BJX109" s="1251"/>
      <c r="BJY109" s="1251"/>
      <c r="BJZ109" s="1251"/>
      <c r="BKA109" s="1251"/>
      <c r="BKB109" s="1251"/>
      <c r="BKC109" s="1251"/>
      <c r="BKD109" s="1251"/>
      <c r="BKE109" s="1251"/>
      <c r="BKF109" s="1251"/>
      <c r="BKG109" s="1251"/>
      <c r="BKH109" s="1251"/>
      <c r="BKI109" s="1251"/>
      <c r="BKJ109" s="1251"/>
      <c r="BKK109" s="1251"/>
      <c r="BKL109" s="1251"/>
      <c r="BKM109" s="1251"/>
      <c r="BKN109" s="1251"/>
      <c r="BKO109" s="1251"/>
      <c r="BKP109" s="1251"/>
      <c r="BKQ109" s="1251"/>
      <c r="BKR109" s="1251"/>
      <c r="BKS109" s="1251"/>
      <c r="BKT109" s="1251"/>
      <c r="BKU109" s="1251"/>
      <c r="BKV109" s="1251"/>
      <c r="BKW109" s="1251"/>
      <c r="BKX109" s="1251"/>
      <c r="BKY109" s="1251"/>
      <c r="BKZ109" s="1251"/>
      <c r="BLA109" s="1251"/>
      <c r="BLB109" s="1251"/>
      <c r="BLC109" s="1251"/>
      <c r="BLD109" s="1251"/>
      <c r="BLE109" s="1251"/>
      <c r="BLF109" s="1251"/>
      <c r="BLG109" s="1251"/>
      <c r="BLH109" s="1251"/>
      <c r="BLI109" s="1251"/>
      <c r="BLJ109" s="1251"/>
      <c r="BLK109" s="1251"/>
      <c r="BLL109" s="1251"/>
      <c r="BLM109" s="1251"/>
      <c r="BLN109" s="1251"/>
      <c r="BLO109" s="1251"/>
      <c r="BLP109" s="1251"/>
      <c r="BLQ109" s="1251"/>
      <c r="BLR109" s="1251"/>
      <c r="BLS109" s="1251"/>
      <c r="BLT109" s="1251"/>
      <c r="BLU109" s="1251"/>
      <c r="BLV109" s="1251"/>
      <c r="BLW109" s="1251"/>
      <c r="BLX109" s="1251"/>
      <c r="BLY109" s="1251"/>
      <c r="BLZ109" s="1251"/>
      <c r="BMA109" s="1251"/>
      <c r="BMB109" s="1251"/>
      <c r="BMC109" s="1251"/>
      <c r="BMD109" s="1251"/>
      <c r="BME109" s="1251"/>
      <c r="BMF109" s="1251"/>
      <c r="BMG109" s="1251"/>
      <c r="BMH109" s="1251"/>
      <c r="BMI109" s="1251"/>
      <c r="BMJ109" s="1251"/>
      <c r="BMK109" s="1251"/>
      <c r="BML109" s="1251"/>
      <c r="BMM109" s="1251"/>
      <c r="BMN109" s="1251"/>
      <c r="BMO109" s="1251"/>
      <c r="BMP109" s="1251"/>
      <c r="BMQ109" s="1251"/>
      <c r="BMR109" s="1251"/>
      <c r="BMS109" s="1251"/>
      <c r="BMT109" s="1251"/>
      <c r="BMU109" s="1251"/>
      <c r="BMV109" s="1251"/>
      <c r="BMW109" s="1251"/>
      <c r="BMX109" s="1251"/>
      <c r="BMY109" s="1251"/>
      <c r="BMZ109" s="1251"/>
      <c r="BNA109" s="1251"/>
      <c r="BNB109" s="1251"/>
      <c r="BNC109" s="1251"/>
      <c r="BND109" s="1251"/>
      <c r="BNE109" s="1251"/>
      <c r="BNF109" s="1251"/>
      <c r="BNG109" s="1251"/>
      <c r="BNH109" s="1251"/>
      <c r="BNI109" s="1251"/>
      <c r="BNJ109" s="1251"/>
      <c r="BNK109" s="1251"/>
      <c r="BNL109" s="1251"/>
      <c r="BNM109" s="1251"/>
      <c r="BNN109" s="1251"/>
      <c r="BNO109" s="1251"/>
      <c r="BNP109" s="1251"/>
      <c r="BNQ109" s="1251"/>
      <c r="BNR109" s="1251"/>
      <c r="BNS109" s="1251"/>
      <c r="BNT109" s="1251"/>
      <c r="BNU109" s="1251"/>
      <c r="BNV109" s="1251"/>
      <c r="BNW109" s="1251"/>
      <c r="BNX109" s="1251"/>
      <c r="BNY109" s="1251"/>
      <c r="BNZ109" s="1251"/>
      <c r="BOA109" s="1251"/>
      <c r="BOB109" s="1251"/>
      <c r="BOC109" s="1251"/>
      <c r="BOD109" s="1251"/>
      <c r="BOE109" s="1251"/>
      <c r="BOF109" s="1251"/>
      <c r="BOG109" s="1251"/>
      <c r="BOH109" s="1251"/>
      <c r="BOI109" s="1251"/>
      <c r="BOJ109" s="1251"/>
      <c r="BOK109" s="1251"/>
      <c r="BOL109" s="1251"/>
      <c r="BOM109" s="1251"/>
      <c r="BON109" s="1251"/>
      <c r="BOO109" s="1251"/>
      <c r="BOP109" s="1251"/>
      <c r="BOQ109" s="1251"/>
      <c r="BOR109" s="1251"/>
      <c r="BOS109" s="1251"/>
      <c r="BOT109" s="1251"/>
      <c r="BOU109" s="1251"/>
      <c r="BOV109" s="1251"/>
      <c r="BOW109" s="1251"/>
      <c r="BOX109" s="1251"/>
      <c r="BOY109" s="1251"/>
      <c r="BOZ109" s="1251"/>
      <c r="BPA109" s="1251"/>
      <c r="BPB109" s="1251"/>
      <c r="BPC109" s="1251"/>
      <c r="BPD109" s="1251"/>
      <c r="BPE109" s="1251"/>
      <c r="BPF109" s="1251"/>
      <c r="BPG109" s="1251"/>
      <c r="BPH109" s="1251"/>
      <c r="BPI109" s="1251"/>
      <c r="BPJ109" s="1251"/>
      <c r="BPK109" s="1251"/>
      <c r="BPL109" s="1251"/>
      <c r="BPM109" s="1251"/>
      <c r="BPN109" s="1251"/>
      <c r="BPO109" s="1251"/>
      <c r="BPP109" s="1251"/>
      <c r="BPQ109" s="1251"/>
      <c r="BPR109" s="1251"/>
      <c r="BPS109" s="1251"/>
      <c r="BPT109" s="1251"/>
      <c r="BPU109" s="1251"/>
      <c r="BPV109" s="1251"/>
      <c r="BPW109" s="1251"/>
      <c r="BPX109" s="1251"/>
      <c r="BPY109" s="1251"/>
      <c r="BPZ109" s="1251"/>
      <c r="BQA109" s="1251"/>
      <c r="BQB109" s="1251"/>
      <c r="BQC109" s="1251"/>
      <c r="BQD109" s="1251"/>
      <c r="BQE109" s="1251"/>
      <c r="BQF109" s="1251"/>
      <c r="BQG109" s="1251"/>
      <c r="BQH109" s="1251"/>
      <c r="BQI109" s="1251"/>
      <c r="BQJ109" s="1251"/>
      <c r="BQK109" s="1251"/>
      <c r="BQL109" s="1251"/>
      <c r="BQM109" s="1251"/>
      <c r="BQN109" s="1251"/>
      <c r="BQO109" s="1251"/>
      <c r="BQP109" s="1251"/>
      <c r="BQQ109" s="1251"/>
      <c r="BQR109" s="1251"/>
      <c r="BQS109" s="1251"/>
      <c r="BQT109" s="1251"/>
      <c r="BQU109" s="1251"/>
      <c r="BQV109" s="1251"/>
      <c r="BQW109" s="1251"/>
      <c r="BQX109" s="1251"/>
      <c r="BQY109" s="1251"/>
      <c r="BQZ109" s="1251"/>
      <c r="BRA109" s="1251"/>
      <c r="BRB109" s="1251"/>
      <c r="BRC109" s="1251"/>
      <c r="BRD109" s="1251"/>
      <c r="BRE109" s="1251"/>
      <c r="BRF109" s="1251"/>
      <c r="BRG109" s="1251"/>
      <c r="BRH109" s="1251"/>
      <c r="BRI109" s="1251"/>
      <c r="BRJ109" s="1251"/>
      <c r="BRK109" s="1251"/>
      <c r="BRL109" s="1251"/>
      <c r="BRM109" s="1251"/>
      <c r="BRN109" s="1251"/>
      <c r="BRO109" s="1251"/>
      <c r="BRP109" s="1251"/>
      <c r="BRQ109" s="1251"/>
      <c r="BRR109" s="1251"/>
      <c r="BRS109" s="1251"/>
      <c r="BRT109" s="1251"/>
      <c r="BRU109" s="1251"/>
      <c r="BRV109" s="1251"/>
      <c r="BRW109" s="1251"/>
      <c r="BRX109" s="1251"/>
      <c r="BRY109" s="1251"/>
      <c r="BRZ109" s="1251"/>
      <c r="BSA109" s="1251"/>
      <c r="BSB109" s="1251"/>
      <c r="BSC109" s="1251"/>
      <c r="BSD109" s="1251"/>
      <c r="BSE109" s="1251"/>
      <c r="BSF109" s="1251"/>
      <c r="BSG109" s="1251"/>
      <c r="BSH109" s="1251"/>
      <c r="BSI109" s="1251"/>
      <c r="BSJ109" s="1251"/>
      <c r="BSK109" s="1251"/>
      <c r="BSL109" s="1251"/>
      <c r="BSM109" s="1251"/>
      <c r="BSN109" s="1251"/>
      <c r="BSO109" s="1251"/>
      <c r="BSP109" s="1251"/>
      <c r="BSQ109" s="1251"/>
      <c r="BSR109" s="1251"/>
      <c r="BSS109" s="1251"/>
      <c r="BST109" s="1251"/>
      <c r="BSU109" s="1251"/>
      <c r="BSV109" s="1251"/>
      <c r="BSW109" s="1251"/>
      <c r="BSX109" s="1251"/>
      <c r="BSY109" s="1251"/>
      <c r="BSZ109" s="1251"/>
      <c r="BTA109" s="1251"/>
      <c r="BTB109" s="1251"/>
      <c r="BTC109" s="1251"/>
      <c r="BTD109" s="1251"/>
      <c r="BTE109" s="1251"/>
      <c r="BTF109" s="1251"/>
      <c r="BTG109" s="1251"/>
      <c r="BTH109" s="1251"/>
      <c r="BTI109" s="1251"/>
    </row>
    <row r="110" spans="1:1881" s="1261" customFormat="1" ht="99.75" hidden="1" customHeight="1" thickBot="1" x14ac:dyDescent="0.35">
      <c r="A110" s="1274">
        <v>34</v>
      </c>
      <c r="B110" s="1272" t="s">
        <v>567</v>
      </c>
      <c r="C110" s="659" t="s">
        <v>1276</v>
      </c>
      <c r="D110" s="659" t="s">
        <v>1456</v>
      </c>
      <c r="E110" s="1249" t="e">
        <f>HLOOKUP($D$2,'2020 Data(H)'!$C$1:$CZ$426,22,FALSE)</f>
        <v>#N/A</v>
      </c>
      <c r="F110" s="1263">
        <v>0</v>
      </c>
      <c r="G110" s="727"/>
      <c r="H110" s="17"/>
      <c r="I110" s="760"/>
      <c r="J110" s="1252"/>
      <c r="K110" s="1251"/>
      <c r="L110" s="701"/>
      <c r="M110" s="1251"/>
      <c r="N110" s="1253"/>
      <c r="O110" s="1251"/>
      <c r="P110" s="1251"/>
      <c r="Q110" s="1251"/>
      <c r="R110" s="1251"/>
      <c r="S110" s="1251"/>
      <c r="T110" s="1251"/>
      <c r="U110" s="1251"/>
      <c r="V110" s="1251"/>
      <c r="W110" s="1251"/>
      <c r="X110" s="1251"/>
      <c r="Y110" s="1251"/>
      <c r="Z110" s="1274"/>
      <c r="AA110" s="1274"/>
      <c r="AB110" s="1274"/>
      <c r="AC110" s="1274"/>
      <c r="AD110" s="1274"/>
      <c r="AE110" s="1274"/>
      <c r="AF110" s="1274"/>
      <c r="AG110" s="1274"/>
      <c r="AH110" s="1274"/>
      <c r="AI110" s="1274"/>
      <c r="AJ110" s="1274"/>
      <c r="AK110" s="1274"/>
      <c r="AL110" s="1274"/>
      <c r="AM110" s="1274"/>
      <c r="AN110" s="1274"/>
      <c r="AO110" s="1274"/>
      <c r="AP110" s="1274"/>
      <c r="AQ110" s="1274"/>
      <c r="AR110" s="1274"/>
      <c r="AS110" s="1251"/>
      <c r="AT110" s="1251"/>
      <c r="AU110" s="1251"/>
      <c r="AV110" s="1251"/>
      <c r="AW110" s="1251"/>
      <c r="AX110" s="1251"/>
      <c r="AY110" s="1251"/>
      <c r="AZ110" s="1251"/>
      <c r="BA110" s="1251"/>
      <c r="BB110" s="1251"/>
      <c r="BC110" s="1251"/>
      <c r="BD110" s="1251"/>
      <c r="BE110" s="1251"/>
      <c r="BF110" s="1251"/>
      <c r="BG110" s="1251"/>
      <c r="BH110" s="1251"/>
      <c r="BI110" s="1251"/>
      <c r="BJ110" s="1251"/>
      <c r="BK110" s="1251"/>
      <c r="BL110" s="1251"/>
      <c r="BM110" s="1251"/>
      <c r="BN110" s="1251"/>
      <c r="BO110" s="1251"/>
      <c r="BP110" s="1251"/>
      <c r="BQ110" s="1251"/>
      <c r="BR110" s="1251"/>
      <c r="BS110" s="1251"/>
      <c r="BT110" s="1251"/>
      <c r="BU110" s="1251"/>
      <c r="BV110" s="1251"/>
      <c r="BW110" s="1251"/>
      <c r="BX110" s="1251"/>
      <c r="BY110" s="1251"/>
      <c r="BZ110" s="1251"/>
      <c r="CA110" s="1251"/>
      <c r="CB110" s="1251"/>
      <c r="CC110" s="1251"/>
      <c r="CD110" s="1251"/>
      <c r="CE110" s="1251"/>
      <c r="CF110" s="1251"/>
      <c r="CG110" s="1251"/>
      <c r="CH110" s="1251"/>
      <c r="CI110" s="1251"/>
      <c r="CJ110" s="1251"/>
      <c r="CK110" s="1251"/>
      <c r="CL110" s="1251"/>
      <c r="CM110" s="1251"/>
      <c r="CN110" s="1251"/>
      <c r="CO110" s="1251"/>
      <c r="CP110" s="1251"/>
      <c r="CQ110" s="1251"/>
      <c r="CR110" s="1251"/>
      <c r="CS110" s="1251"/>
      <c r="CT110" s="1251"/>
      <c r="CU110" s="1251"/>
      <c r="CV110" s="1251"/>
      <c r="CW110" s="1251"/>
      <c r="CX110" s="1251"/>
      <c r="CY110" s="1251"/>
      <c r="CZ110" s="1251"/>
      <c r="DA110" s="1251"/>
      <c r="DB110" s="1251"/>
      <c r="DC110" s="1251"/>
      <c r="DD110" s="1251"/>
      <c r="DE110" s="1251"/>
      <c r="DF110" s="1251"/>
      <c r="DG110" s="1251"/>
      <c r="DH110" s="1251"/>
      <c r="DI110" s="1251"/>
      <c r="DJ110" s="1251"/>
      <c r="DK110" s="1251"/>
      <c r="DL110" s="1251"/>
      <c r="DM110" s="1251"/>
      <c r="DN110" s="1251"/>
      <c r="DO110" s="1251"/>
      <c r="DP110" s="1251"/>
      <c r="DQ110" s="1251"/>
      <c r="DR110" s="1251"/>
      <c r="DS110" s="1251"/>
      <c r="DT110" s="1251"/>
      <c r="DU110" s="1251"/>
      <c r="DV110" s="1251"/>
      <c r="DW110" s="1251"/>
      <c r="DX110" s="1251"/>
      <c r="DY110" s="1251"/>
      <c r="DZ110" s="1251"/>
      <c r="EA110" s="1251"/>
      <c r="EB110" s="1251"/>
      <c r="EC110" s="1251"/>
      <c r="ED110" s="1251"/>
      <c r="EE110" s="1251"/>
      <c r="EF110" s="1251"/>
      <c r="EG110" s="1251"/>
      <c r="EH110" s="1251"/>
      <c r="EI110" s="1251"/>
      <c r="EJ110" s="1251"/>
      <c r="EK110" s="1251"/>
      <c r="EL110" s="1251"/>
      <c r="EM110" s="1251"/>
      <c r="EN110" s="1251"/>
      <c r="EO110" s="1251"/>
      <c r="EP110" s="1251"/>
      <c r="EQ110" s="1251"/>
      <c r="ER110" s="1251"/>
      <c r="ES110" s="1251"/>
      <c r="ET110" s="1251"/>
      <c r="EU110" s="1251"/>
      <c r="EV110" s="1251"/>
      <c r="EW110" s="1251"/>
      <c r="EX110" s="1251"/>
      <c r="EY110" s="1251"/>
      <c r="EZ110" s="1251"/>
      <c r="FA110" s="1251"/>
      <c r="FB110" s="1251"/>
      <c r="FC110" s="1251"/>
      <c r="FD110" s="1251"/>
      <c r="FE110" s="1251"/>
      <c r="FF110" s="1251"/>
      <c r="FG110" s="1251"/>
      <c r="FH110" s="1251"/>
      <c r="FI110" s="1251"/>
      <c r="FJ110" s="1251"/>
      <c r="FK110" s="1251"/>
      <c r="FL110" s="1251"/>
      <c r="FM110" s="1251"/>
      <c r="FN110" s="1251"/>
      <c r="FO110" s="1251"/>
      <c r="FP110" s="1251"/>
      <c r="FQ110" s="1251"/>
      <c r="FR110" s="1251"/>
      <c r="FS110" s="1251"/>
      <c r="FT110" s="1251"/>
      <c r="FU110" s="1251"/>
      <c r="FV110" s="1251"/>
      <c r="FW110" s="1251"/>
      <c r="FX110" s="1251"/>
      <c r="FY110" s="1251"/>
      <c r="FZ110" s="1251"/>
      <c r="GA110" s="1251"/>
      <c r="GB110" s="1251"/>
      <c r="GC110" s="1251"/>
      <c r="GD110" s="1251"/>
      <c r="GE110" s="1251"/>
      <c r="GF110" s="1251"/>
      <c r="GG110" s="1251"/>
      <c r="GH110" s="1251"/>
      <c r="GI110" s="1251"/>
      <c r="GJ110" s="1251"/>
      <c r="GK110" s="1251"/>
      <c r="GL110" s="1251"/>
      <c r="GM110" s="1251"/>
      <c r="GN110" s="1251"/>
      <c r="GO110" s="1251"/>
      <c r="GP110" s="1251"/>
      <c r="GQ110" s="1251"/>
      <c r="GR110" s="1251"/>
      <c r="GS110" s="1251"/>
      <c r="GT110" s="1251"/>
      <c r="GU110" s="1251"/>
      <c r="GV110" s="1251"/>
      <c r="GW110" s="1251"/>
      <c r="GX110" s="1251"/>
      <c r="GY110" s="1251"/>
      <c r="GZ110" s="1251"/>
      <c r="HA110" s="1251"/>
      <c r="HB110" s="1251"/>
      <c r="HC110" s="1251"/>
      <c r="HD110" s="1251"/>
      <c r="HE110" s="1251"/>
      <c r="HF110" s="1251"/>
      <c r="HG110" s="1251"/>
      <c r="HH110" s="1251"/>
      <c r="HI110" s="1251"/>
      <c r="HJ110" s="1251"/>
      <c r="HK110" s="1251"/>
      <c r="HL110" s="1251"/>
      <c r="HM110" s="1251"/>
      <c r="HN110" s="1251"/>
      <c r="HO110" s="1251"/>
      <c r="HP110" s="1251"/>
      <c r="HQ110" s="1251"/>
      <c r="HR110" s="1251"/>
      <c r="HS110" s="1251"/>
      <c r="HT110" s="1251"/>
      <c r="HU110" s="1251"/>
      <c r="HV110" s="1251"/>
      <c r="HW110" s="1251"/>
      <c r="HX110" s="1251"/>
      <c r="HY110" s="1251"/>
      <c r="HZ110" s="1251"/>
      <c r="IA110" s="1251"/>
      <c r="IB110" s="1251"/>
      <c r="IC110" s="1251"/>
      <c r="ID110" s="1251"/>
      <c r="IE110" s="1251"/>
      <c r="IF110" s="1251"/>
      <c r="IG110" s="1251"/>
      <c r="IH110" s="1251"/>
      <c r="II110" s="1251"/>
      <c r="IJ110" s="1251"/>
      <c r="IK110" s="1251"/>
      <c r="IL110" s="1251"/>
      <c r="IM110" s="1251"/>
      <c r="IN110" s="1251"/>
      <c r="IO110" s="1251"/>
      <c r="IP110" s="1251"/>
      <c r="IQ110" s="1251"/>
      <c r="IR110" s="1251"/>
      <c r="IS110" s="1251"/>
      <c r="IT110" s="1251"/>
      <c r="IU110" s="1251"/>
      <c r="IV110" s="1251"/>
      <c r="IW110" s="1251"/>
      <c r="IX110" s="1251"/>
      <c r="IY110" s="1251"/>
      <c r="IZ110" s="1251"/>
      <c r="JA110" s="1251"/>
      <c r="JB110" s="1251"/>
      <c r="JC110" s="1251"/>
      <c r="JD110" s="1251"/>
      <c r="JE110" s="1251"/>
      <c r="JF110" s="1251"/>
      <c r="JG110" s="1251"/>
      <c r="JH110" s="1251"/>
      <c r="JI110" s="1251"/>
      <c r="JJ110" s="1251"/>
      <c r="JK110" s="1251"/>
      <c r="JL110" s="1251"/>
      <c r="JM110" s="1251"/>
      <c r="JN110" s="1251"/>
      <c r="JO110" s="1251"/>
      <c r="JP110" s="1251"/>
      <c r="JQ110" s="1251"/>
      <c r="JR110" s="1251"/>
      <c r="JS110" s="1251"/>
      <c r="JT110" s="1251"/>
      <c r="JU110" s="1251"/>
      <c r="JV110" s="1251"/>
      <c r="JW110" s="1251"/>
      <c r="JX110" s="1251"/>
      <c r="JY110" s="1251"/>
      <c r="JZ110" s="1251"/>
      <c r="KA110" s="1251"/>
      <c r="KB110" s="1251"/>
      <c r="KC110" s="1251"/>
      <c r="KD110" s="1251"/>
      <c r="KE110" s="1251"/>
      <c r="KF110" s="1251"/>
      <c r="KG110" s="1251"/>
      <c r="KH110" s="1251"/>
      <c r="KI110" s="1251"/>
      <c r="KJ110" s="1251"/>
      <c r="KK110" s="1251"/>
      <c r="KL110" s="1251"/>
      <c r="KM110" s="1251"/>
      <c r="KN110" s="1251"/>
      <c r="KO110" s="1251"/>
      <c r="KP110" s="1251"/>
      <c r="KQ110" s="1251"/>
      <c r="KR110" s="1251"/>
      <c r="KS110" s="1251"/>
      <c r="KT110" s="1251"/>
      <c r="KU110" s="1251"/>
      <c r="KV110" s="1251"/>
      <c r="KW110" s="1251"/>
      <c r="KX110" s="1251"/>
      <c r="KY110" s="1251"/>
      <c r="KZ110" s="1251"/>
      <c r="LA110" s="1251"/>
      <c r="LB110" s="1251"/>
      <c r="LC110" s="1251"/>
      <c r="LD110" s="1251"/>
      <c r="LE110" s="1251"/>
      <c r="LF110" s="1251"/>
      <c r="LG110" s="1251"/>
      <c r="LH110" s="1251"/>
      <c r="LI110" s="1251"/>
      <c r="LJ110" s="1251"/>
      <c r="LK110" s="1251"/>
      <c r="LL110" s="1251"/>
      <c r="LM110" s="1251"/>
      <c r="LN110" s="1251"/>
      <c r="LO110" s="1251"/>
      <c r="LP110" s="1251"/>
      <c r="LQ110" s="1251"/>
      <c r="LR110" s="1251"/>
      <c r="LS110" s="1251"/>
      <c r="LT110" s="1251"/>
      <c r="LU110" s="1251"/>
      <c r="LV110" s="1251"/>
      <c r="LW110" s="1251"/>
      <c r="LX110" s="1251"/>
      <c r="LY110" s="1251"/>
      <c r="LZ110" s="1251"/>
      <c r="MA110" s="1251"/>
      <c r="MB110" s="1251"/>
      <c r="MC110" s="1251"/>
      <c r="MD110" s="1251"/>
      <c r="ME110" s="1251"/>
      <c r="MF110" s="1251"/>
      <c r="MG110" s="1251"/>
      <c r="MH110" s="1251"/>
      <c r="MI110" s="1251"/>
      <c r="MJ110" s="1251"/>
      <c r="MK110" s="1251"/>
      <c r="ML110" s="1251"/>
      <c r="MM110" s="1251"/>
      <c r="MN110" s="1251"/>
      <c r="MO110" s="1251"/>
      <c r="MP110" s="1251"/>
      <c r="MQ110" s="1251"/>
      <c r="MR110" s="1251"/>
      <c r="MS110" s="1251"/>
      <c r="MT110" s="1251"/>
      <c r="MU110" s="1251"/>
      <c r="MV110" s="1251"/>
      <c r="MW110" s="1251"/>
      <c r="MX110" s="1251"/>
      <c r="MY110" s="1251"/>
      <c r="MZ110" s="1251"/>
      <c r="NA110" s="1251"/>
      <c r="NB110" s="1251"/>
      <c r="NC110" s="1251"/>
      <c r="ND110" s="1251"/>
      <c r="NE110" s="1251"/>
      <c r="NF110" s="1251"/>
      <c r="NG110" s="1251"/>
      <c r="NH110" s="1251"/>
      <c r="NI110" s="1251"/>
      <c r="NJ110" s="1251"/>
      <c r="NK110" s="1251"/>
      <c r="NL110" s="1251"/>
      <c r="NM110" s="1251"/>
      <c r="NN110" s="1251"/>
      <c r="NO110" s="1251"/>
      <c r="NP110" s="1251"/>
      <c r="NQ110" s="1251"/>
      <c r="NR110" s="1251"/>
      <c r="NS110" s="1251"/>
      <c r="NT110" s="1251"/>
      <c r="NU110" s="1251"/>
      <c r="NV110" s="1251"/>
      <c r="NW110" s="1251"/>
      <c r="NX110" s="1251"/>
      <c r="NY110" s="1251"/>
      <c r="NZ110" s="1251"/>
      <c r="OA110" s="1251"/>
      <c r="OB110" s="1251"/>
      <c r="OC110" s="1251"/>
      <c r="OD110" s="1251"/>
      <c r="OE110" s="1251"/>
      <c r="OF110" s="1251"/>
      <c r="OG110" s="1251"/>
      <c r="OH110" s="1251"/>
      <c r="OI110" s="1251"/>
      <c r="OJ110" s="1251"/>
      <c r="OK110" s="1251"/>
      <c r="OL110" s="1251"/>
      <c r="OM110" s="1251"/>
      <c r="ON110" s="1251"/>
      <c r="OO110" s="1251"/>
      <c r="OP110" s="1251"/>
      <c r="OQ110" s="1251"/>
      <c r="OR110" s="1251"/>
      <c r="OS110" s="1251"/>
      <c r="OT110" s="1251"/>
      <c r="OU110" s="1251"/>
      <c r="OV110" s="1251"/>
      <c r="OW110" s="1251"/>
      <c r="OX110" s="1251"/>
      <c r="OY110" s="1251"/>
      <c r="OZ110" s="1251"/>
      <c r="PA110" s="1251"/>
      <c r="PB110" s="1251"/>
      <c r="PC110" s="1251"/>
      <c r="PD110" s="1251"/>
      <c r="PE110" s="1251"/>
      <c r="PF110" s="1251"/>
      <c r="PG110" s="1251"/>
      <c r="PH110" s="1251"/>
      <c r="PI110" s="1251"/>
      <c r="PJ110" s="1251"/>
      <c r="PK110" s="1251"/>
      <c r="PL110" s="1251"/>
      <c r="PM110" s="1251"/>
      <c r="PN110" s="1251"/>
      <c r="PO110" s="1251"/>
      <c r="PP110" s="1251"/>
      <c r="PQ110" s="1251"/>
      <c r="PR110" s="1251"/>
      <c r="PS110" s="1251"/>
      <c r="PT110" s="1251"/>
      <c r="PU110" s="1251"/>
      <c r="PV110" s="1251"/>
      <c r="PW110" s="1251"/>
      <c r="PX110" s="1251"/>
      <c r="PY110" s="1251"/>
      <c r="PZ110" s="1251"/>
      <c r="QA110" s="1251"/>
      <c r="QB110" s="1251"/>
      <c r="QC110" s="1251"/>
      <c r="QD110" s="1251"/>
      <c r="QE110" s="1251"/>
      <c r="QF110" s="1251"/>
      <c r="QG110" s="1251"/>
      <c r="QH110" s="1251"/>
      <c r="QI110" s="1251"/>
      <c r="QJ110" s="1251"/>
      <c r="QK110" s="1251"/>
      <c r="QL110" s="1251"/>
      <c r="QM110" s="1251"/>
      <c r="QN110" s="1251"/>
      <c r="QO110" s="1251"/>
      <c r="QP110" s="1251"/>
      <c r="QQ110" s="1251"/>
      <c r="QR110" s="1251"/>
      <c r="QS110" s="1251"/>
      <c r="QT110" s="1251"/>
      <c r="QU110" s="1251"/>
      <c r="QV110" s="1251"/>
      <c r="QW110" s="1251"/>
      <c r="QX110" s="1251"/>
      <c r="QY110" s="1251"/>
      <c r="QZ110" s="1251"/>
      <c r="RA110" s="1251"/>
      <c r="RB110" s="1251"/>
      <c r="RC110" s="1251"/>
      <c r="RD110" s="1251"/>
      <c r="RE110" s="1251"/>
      <c r="RF110" s="1251"/>
      <c r="RG110" s="1251"/>
      <c r="RH110" s="1251"/>
      <c r="RI110" s="1251"/>
      <c r="RJ110" s="1251"/>
      <c r="RK110" s="1251"/>
      <c r="RL110" s="1251"/>
      <c r="RM110" s="1251"/>
      <c r="RN110" s="1251"/>
      <c r="RO110" s="1251"/>
      <c r="RP110" s="1251"/>
      <c r="RQ110" s="1251"/>
      <c r="RR110" s="1251"/>
      <c r="RS110" s="1251"/>
      <c r="RT110" s="1251"/>
      <c r="RU110" s="1251"/>
      <c r="RV110" s="1251"/>
      <c r="RW110" s="1251"/>
      <c r="RX110" s="1251"/>
      <c r="RY110" s="1251"/>
      <c r="RZ110" s="1251"/>
      <c r="SA110" s="1251"/>
      <c r="SB110" s="1251"/>
      <c r="SC110" s="1251"/>
      <c r="SD110" s="1251"/>
      <c r="SE110" s="1251"/>
      <c r="SF110" s="1251"/>
      <c r="SG110" s="1251"/>
      <c r="SH110" s="1251"/>
      <c r="SI110" s="1251"/>
      <c r="SJ110" s="1251"/>
      <c r="SK110" s="1251"/>
      <c r="SL110" s="1251"/>
      <c r="SM110" s="1251"/>
      <c r="SN110" s="1251"/>
      <c r="SO110" s="1251"/>
      <c r="SP110" s="1251"/>
      <c r="SQ110" s="1251"/>
      <c r="SR110" s="1251"/>
      <c r="SS110" s="1251"/>
      <c r="ST110" s="1251"/>
      <c r="SU110" s="1251"/>
      <c r="SV110" s="1251"/>
      <c r="SW110" s="1251"/>
      <c r="SX110" s="1251"/>
      <c r="SY110" s="1251"/>
      <c r="SZ110" s="1251"/>
      <c r="TA110" s="1251"/>
      <c r="TB110" s="1251"/>
      <c r="TC110" s="1251"/>
      <c r="TD110" s="1251"/>
      <c r="TE110" s="1251"/>
      <c r="TF110" s="1251"/>
      <c r="TG110" s="1251"/>
      <c r="TH110" s="1251"/>
      <c r="TI110" s="1251"/>
      <c r="TJ110" s="1251"/>
      <c r="TK110" s="1251"/>
      <c r="TL110" s="1251"/>
      <c r="TM110" s="1251"/>
      <c r="TN110" s="1251"/>
      <c r="TO110" s="1251"/>
      <c r="TP110" s="1251"/>
      <c r="TQ110" s="1251"/>
      <c r="TR110" s="1251"/>
      <c r="TS110" s="1251"/>
      <c r="TT110" s="1251"/>
      <c r="TU110" s="1251"/>
      <c r="TV110" s="1251"/>
      <c r="TW110" s="1251"/>
      <c r="TX110" s="1251"/>
      <c r="TY110" s="1251"/>
      <c r="TZ110" s="1251"/>
      <c r="UA110" s="1251"/>
      <c r="UB110" s="1251"/>
      <c r="UC110" s="1251"/>
      <c r="UD110" s="1251"/>
      <c r="UE110" s="1251"/>
      <c r="UF110" s="1251"/>
      <c r="UG110" s="1251"/>
      <c r="UH110" s="1251"/>
      <c r="UI110" s="1251"/>
      <c r="UJ110" s="1251"/>
      <c r="UK110" s="1251"/>
      <c r="UL110" s="1251"/>
      <c r="UM110" s="1251"/>
      <c r="UN110" s="1251"/>
      <c r="UO110" s="1251"/>
      <c r="UP110" s="1251"/>
      <c r="UQ110" s="1251"/>
      <c r="UR110" s="1251"/>
      <c r="US110" s="1251"/>
      <c r="UT110" s="1251"/>
      <c r="UU110" s="1251"/>
      <c r="UV110" s="1251"/>
      <c r="UW110" s="1251"/>
      <c r="UX110" s="1251"/>
      <c r="UY110" s="1251"/>
      <c r="UZ110" s="1251"/>
      <c r="VA110" s="1251"/>
      <c r="VB110" s="1251"/>
      <c r="VC110" s="1251"/>
      <c r="VD110" s="1251"/>
      <c r="VE110" s="1251"/>
      <c r="VF110" s="1251"/>
      <c r="VG110" s="1251"/>
      <c r="VH110" s="1251"/>
      <c r="VI110" s="1251"/>
      <c r="VJ110" s="1251"/>
      <c r="VK110" s="1251"/>
      <c r="VL110" s="1251"/>
      <c r="VM110" s="1251"/>
      <c r="VN110" s="1251"/>
      <c r="VO110" s="1251"/>
      <c r="VP110" s="1251"/>
      <c r="VQ110" s="1251"/>
      <c r="VR110" s="1251"/>
      <c r="VS110" s="1251"/>
      <c r="VT110" s="1251"/>
      <c r="VU110" s="1251"/>
      <c r="VV110" s="1251"/>
      <c r="VW110" s="1251"/>
      <c r="VX110" s="1251"/>
      <c r="VY110" s="1251"/>
      <c r="VZ110" s="1251"/>
      <c r="WA110" s="1251"/>
      <c r="WB110" s="1251"/>
      <c r="WC110" s="1251"/>
      <c r="WD110" s="1251"/>
      <c r="WE110" s="1251"/>
      <c r="WF110" s="1251"/>
      <c r="WG110" s="1251"/>
      <c r="WH110" s="1251"/>
      <c r="WI110" s="1251"/>
      <c r="WJ110" s="1251"/>
      <c r="WK110" s="1251"/>
      <c r="WL110" s="1251"/>
      <c r="WM110" s="1251"/>
      <c r="WN110" s="1251"/>
      <c r="WO110" s="1251"/>
      <c r="WP110" s="1251"/>
      <c r="WQ110" s="1251"/>
      <c r="WR110" s="1251"/>
      <c r="WS110" s="1251"/>
      <c r="WT110" s="1251"/>
      <c r="WU110" s="1251"/>
      <c r="WV110" s="1251"/>
      <c r="WW110" s="1251"/>
      <c r="WX110" s="1251"/>
      <c r="WY110" s="1251"/>
      <c r="WZ110" s="1251"/>
      <c r="XA110" s="1251"/>
      <c r="XB110" s="1251"/>
      <c r="XC110" s="1251"/>
      <c r="XD110" s="1251"/>
      <c r="XE110" s="1251"/>
      <c r="XF110" s="1251"/>
      <c r="XG110" s="1251"/>
      <c r="XH110" s="1251"/>
      <c r="XI110" s="1251"/>
      <c r="XJ110" s="1251"/>
      <c r="XK110" s="1251"/>
      <c r="XL110" s="1251"/>
      <c r="XM110" s="1251"/>
      <c r="XN110" s="1251"/>
      <c r="XO110" s="1251"/>
      <c r="XP110" s="1251"/>
      <c r="XQ110" s="1251"/>
      <c r="XR110" s="1251"/>
      <c r="XS110" s="1251"/>
      <c r="XT110" s="1251"/>
      <c r="XU110" s="1251"/>
      <c r="XV110" s="1251"/>
      <c r="XW110" s="1251"/>
      <c r="XX110" s="1251"/>
      <c r="XY110" s="1251"/>
      <c r="XZ110" s="1251"/>
      <c r="YA110" s="1251"/>
      <c r="YB110" s="1251"/>
      <c r="YC110" s="1251"/>
      <c r="YD110" s="1251"/>
      <c r="YE110" s="1251"/>
      <c r="YF110" s="1251"/>
      <c r="YG110" s="1251"/>
      <c r="YH110" s="1251"/>
      <c r="YI110" s="1251"/>
      <c r="YJ110" s="1251"/>
      <c r="YK110" s="1251"/>
      <c r="YL110" s="1251"/>
      <c r="YM110" s="1251"/>
      <c r="YN110" s="1251"/>
      <c r="YO110" s="1251"/>
      <c r="YP110" s="1251"/>
      <c r="YQ110" s="1251"/>
      <c r="YR110" s="1251"/>
      <c r="YS110" s="1251"/>
      <c r="YT110" s="1251"/>
      <c r="YU110" s="1251"/>
      <c r="YV110" s="1251"/>
      <c r="YW110" s="1251"/>
      <c r="YX110" s="1251"/>
      <c r="YY110" s="1251"/>
      <c r="YZ110" s="1251"/>
      <c r="ZA110" s="1251"/>
      <c r="ZB110" s="1251"/>
      <c r="ZC110" s="1251"/>
      <c r="ZD110" s="1251"/>
      <c r="ZE110" s="1251"/>
      <c r="ZF110" s="1251"/>
      <c r="ZG110" s="1251"/>
      <c r="ZH110" s="1251"/>
      <c r="ZI110" s="1251"/>
      <c r="ZJ110" s="1251"/>
      <c r="ZK110" s="1251"/>
      <c r="ZL110" s="1251"/>
      <c r="ZM110" s="1251"/>
      <c r="ZN110" s="1251"/>
      <c r="ZO110" s="1251"/>
      <c r="ZP110" s="1251"/>
      <c r="ZQ110" s="1251"/>
      <c r="ZR110" s="1251"/>
      <c r="ZS110" s="1251"/>
      <c r="ZT110" s="1251"/>
      <c r="ZU110" s="1251"/>
      <c r="ZV110" s="1251"/>
      <c r="ZW110" s="1251"/>
      <c r="ZX110" s="1251"/>
      <c r="ZY110" s="1251"/>
      <c r="ZZ110" s="1251"/>
      <c r="AAA110" s="1251"/>
      <c r="AAB110" s="1251"/>
      <c r="AAC110" s="1251"/>
      <c r="AAD110" s="1251"/>
      <c r="AAE110" s="1251"/>
      <c r="AAF110" s="1251"/>
      <c r="AAG110" s="1251"/>
      <c r="AAH110" s="1251"/>
      <c r="AAI110" s="1251"/>
      <c r="AAJ110" s="1251"/>
      <c r="AAK110" s="1251"/>
      <c r="AAL110" s="1251"/>
      <c r="AAM110" s="1251"/>
      <c r="AAN110" s="1251"/>
      <c r="AAO110" s="1251"/>
      <c r="AAP110" s="1251"/>
      <c r="AAQ110" s="1251"/>
      <c r="AAR110" s="1251"/>
      <c r="AAS110" s="1251"/>
      <c r="AAT110" s="1251"/>
      <c r="AAU110" s="1251"/>
      <c r="AAV110" s="1251"/>
      <c r="AAW110" s="1251"/>
      <c r="AAX110" s="1251"/>
      <c r="AAY110" s="1251"/>
      <c r="AAZ110" s="1251"/>
      <c r="ABA110" s="1251"/>
      <c r="ABB110" s="1251"/>
      <c r="ABC110" s="1251"/>
      <c r="ABD110" s="1251"/>
      <c r="ABE110" s="1251"/>
      <c r="ABF110" s="1251"/>
      <c r="ABG110" s="1251"/>
      <c r="ABH110" s="1251"/>
      <c r="ABI110" s="1251"/>
      <c r="ABJ110" s="1251"/>
      <c r="ABK110" s="1251"/>
      <c r="ABL110" s="1251"/>
      <c r="ABM110" s="1251"/>
      <c r="ABN110" s="1251"/>
      <c r="ABO110" s="1251"/>
      <c r="ABP110" s="1251"/>
      <c r="ABQ110" s="1251"/>
      <c r="ABR110" s="1251"/>
      <c r="ABS110" s="1251"/>
      <c r="ABT110" s="1251"/>
      <c r="ABU110" s="1251"/>
      <c r="ABV110" s="1251"/>
      <c r="ABW110" s="1251"/>
      <c r="ABX110" s="1251"/>
      <c r="ABY110" s="1251"/>
      <c r="ABZ110" s="1251"/>
      <c r="ACA110" s="1251"/>
      <c r="ACB110" s="1251"/>
      <c r="ACC110" s="1251"/>
      <c r="ACD110" s="1251"/>
      <c r="ACE110" s="1251"/>
      <c r="ACF110" s="1251"/>
      <c r="ACG110" s="1251"/>
      <c r="ACH110" s="1251"/>
      <c r="ACI110" s="1251"/>
      <c r="ACJ110" s="1251"/>
      <c r="ACK110" s="1251"/>
      <c r="ACL110" s="1251"/>
      <c r="ACM110" s="1251"/>
      <c r="ACN110" s="1251"/>
      <c r="ACO110" s="1251"/>
      <c r="ACP110" s="1251"/>
      <c r="ACQ110" s="1251"/>
      <c r="ACR110" s="1251"/>
      <c r="ACS110" s="1251"/>
      <c r="ACT110" s="1251"/>
      <c r="ACU110" s="1251"/>
      <c r="ACV110" s="1251"/>
      <c r="ACW110" s="1251"/>
      <c r="ACX110" s="1251"/>
      <c r="ACY110" s="1251"/>
      <c r="ACZ110" s="1251"/>
      <c r="ADA110" s="1251"/>
      <c r="ADB110" s="1251"/>
      <c r="ADC110" s="1251"/>
      <c r="ADD110" s="1251"/>
      <c r="ADE110" s="1251"/>
      <c r="ADF110" s="1251"/>
      <c r="ADG110" s="1251"/>
      <c r="ADH110" s="1251"/>
      <c r="ADI110" s="1251"/>
      <c r="ADJ110" s="1251"/>
      <c r="ADK110" s="1251"/>
      <c r="ADL110" s="1251"/>
      <c r="ADM110" s="1251"/>
      <c r="ADN110" s="1251"/>
      <c r="ADO110" s="1251"/>
      <c r="ADP110" s="1251"/>
      <c r="ADQ110" s="1251"/>
      <c r="ADR110" s="1251"/>
      <c r="ADS110" s="1251"/>
      <c r="ADT110" s="1251"/>
      <c r="ADU110" s="1251"/>
      <c r="ADV110" s="1251"/>
      <c r="ADW110" s="1251"/>
      <c r="ADX110" s="1251"/>
      <c r="ADY110" s="1251"/>
      <c r="ADZ110" s="1251"/>
      <c r="AEA110" s="1251"/>
      <c r="AEB110" s="1251"/>
      <c r="AEC110" s="1251"/>
      <c r="AED110" s="1251"/>
      <c r="AEE110" s="1251"/>
      <c r="AEF110" s="1251"/>
      <c r="AEG110" s="1251"/>
      <c r="AEH110" s="1251"/>
      <c r="AEI110" s="1251"/>
      <c r="AEJ110" s="1251"/>
      <c r="AEK110" s="1251"/>
      <c r="AEL110" s="1251"/>
      <c r="AEM110" s="1251"/>
      <c r="AEN110" s="1251"/>
      <c r="AEO110" s="1251"/>
      <c r="AEP110" s="1251"/>
      <c r="AEQ110" s="1251"/>
      <c r="AER110" s="1251"/>
      <c r="AES110" s="1251"/>
      <c r="AET110" s="1251"/>
      <c r="AEU110" s="1251"/>
      <c r="AEV110" s="1251"/>
      <c r="AEW110" s="1251"/>
      <c r="AEX110" s="1251"/>
      <c r="AEY110" s="1251"/>
      <c r="AEZ110" s="1251"/>
      <c r="AFA110" s="1251"/>
      <c r="AFB110" s="1251"/>
      <c r="AFC110" s="1251"/>
      <c r="AFD110" s="1251"/>
      <c r="AFE110" s="1251"/>
      <c r="AFF110" s="1251"/>
      <c r="AFG110" s="1251"/>
      <c r="AFH110" s="1251"/>
      <c r="AFI110" s="1251"/>
      <c r="AFJ110" s="1251"/>
      <c r="AFK110" s="1251"/>
      <c r="AFL110" s="1251"/>
      <c r="AFM110" s="1251"/>
      <c r="AFN110" s="1251"/>
      <c r="AFO110" s="1251"/>
      <c r="AFP110" s="1251"/>
      <c r="AFQ110" s="1251"/>
      <c r="AFR110" s="1251"/>
      <c r="AFS110" s="1251"/>
      <c r="AFT110" s="1251"/>
      <c r="AFU110" s="1251"/>
      <c r="AFV110" s="1251"/>
      <c r="AFW110" s="1251"/>
      <c r="AFX110" s="1251"/>
      <c r="AFY110" s="1251"/>
      <c r="AFZ110" s="1251"/>
      <c r="AGA110" s="1251"/>
      <c r="AGB110" s="1251"/>
      <c r="AGC110" s="1251"/>
      <c r="AGD110" s="1251"/>
      <c r="AGE110" s="1251"/>
      <c r="AGF110" s="1251"/>
      <c r="AGG110" s="1251"/>
      <c r="AGH110" s="1251"/>
      <c r="AGI110" s="1251"/>
      <c r="AGJ110" s="1251"/>
      <c r="AGK110" s="1251"/>
      <c r="AGL110" s="1251"/>
      <c r="AGM110" s="1251"/>
      <c r="AGN110" s="1251"/>
      <c r="AGO110" s="1251"/>
      <c r="AGP110" s="1251"/>
      <c r="AGQ110" s="1251"/>
      <c r="AGR110" s="1251"/>
      <c r="AGS110" s="1251"/>
      <c r="AGT110" s="1251"/>
      <c r="AGU110" s="1251"/>
      <c r="AGV110" s="1251"/>
      <c r="AGW110" s="1251"/>
      <c r="AGX110" s="1251"/>
      <c r="AGY110" s="1251"/>
      <c r="AGZ110" s="1251"/>
      <c r="AHA110" s="1251"/>
      <c r="AHB110" s="1251"/>
      <c r="AHC110" s="1251"/>
      <c r="AHD110" s="1251"/>
      <c r="AHE110" s="1251"/>
      <c r="AHF110" s="1251"/>
      <c r="AHG110" s="1251"/>
      <c r="AHH110" s="1251"/>
      <c r="AHI110" s="1251"/>
      <c r="AHJ110" s="1251"/>
      <c r="AHK110" s="1251"/>
      <c r="AHL110" s="1251"/>
      <c r="AHM110" s="1251"/>
      <c r="AHN110" s="1251"/>
      <c r="AHO110" s="1251"/>
      <c r="AHP110" s="1251"/>
      <c r="AHQ110" s="1251"/>
      <c r="AHR110" s="1251"/>
      <c r="AHS110" s="1251"/>
      <c r="AHT110" s="1251"/>
      <c r="AHU110" s="1251"/>
      <c r="AHV110" s="1251"/>
      <c r="AHW110" s="1251"/>
      <c r="AHX110" s="1251"/>
      <c r="AHY110" s="1251"/>
      <c r="AHZ110" s="1251"/>
      <c r="AIA110" s="1251"/>
      <c r="AIB110" s="1251"/>
      <c r="AIC110" s="1251"/>
      <c r="AID110" s="1251"/>
      <c r="AIE110" s="1251"/>
      <c r="AIF110" s="1251"/>
      <c r="AIG110" s="1251"/>
      <c r="AIH110" s="1251"/>
      <c r="AII110" s="1251"/>
      <c r="AIJ110" s="1251"/>
      <c r="AIK110" s="1251"/>
      <c r="AIL110" s="1251"/>
      <c r="AIM110" s="1251"/>
      <c r="AIN110" s="1251"/>
      <c r="AIO110" s="1251"/>
      <c r="AIP110" s="1251"/>
      <c r="AIQ110" s="1251"/>
      <c r="AIR110" s="1251"/>
      <c r="AIS110" s="1251"/>
      <c r="AIT110" s="1251"/>
      <c r="AIU110" s="1251"/>
      <c r="AIV110" s="1251"/>
      <c r="AIW110" s="1251"/>
      <c r="AIX110" s="1251"/>
      <c r="AIY110" s="1251"/>
      <c r="AIZ110" s="1251"/>
      <c r="AJA110" s="1251"/>
      <c r="AJB110" s="1251"/>
      <c r="AJC110" s="1251"/>
      <c r="AJD110" s="1251"/>
      <c r="AJE110" s="1251"/>
      <c r="AJF110" s="1251"/>
      <c r="AJG110" s="1251"/>
      <c r="AJH110" s="1251"/>
      <c r="AJI110" s="1251"/>
      <c r="AJJ110" s="1251"/>
      <c r="AJK110" s="1251"/>
      <c r="AJL110" s="1251"/>
      <c r="AJM110" s="1251"/>
      <c r="AJN110" s="1251"/>
      <c r="AJO110" s="1251"/>
      <c r="AJP110" s="1251"/>
      <c r="AJQ110" s="1251"/>
      <c r="AJR110" s="1251"/>
      <c r="AJS110" s="1251"/>
      <c r="AJT110" s="1251"/>
      <c r="AJU110" s="1251"/>
      <c r="AJV110" s="1251"/>
      <c r="AJW110" s="1251"/>
      <c r="AJX110" s="1251"/>
      <c r="AJY110" s="1251"/>
      <c r="AJZ110" s="1251"/>
      <c r="AKA110" s="1251"/>
      <c r="AKB110" s="1251"/>
      <c r="AKC110" s="1251"/>
      <c r="AKD110" s="1251"/>
      <c r="AKE110" s="1251"/>
      <c r="AKF110" s="1251"/>
      <c r="AKG110" s="1251"/>
      <c r="AKH110" s="1251"/>
      <c r="AKI110" s="1251"/>
      <c r="AKJ110" s="1251"/>
      <c r="AKK110" s="1251"/>
      <c r="AKL110" s="1251"/>
      <c r="AKM110" s="1251"/>
      <c r="AKN110" s="1251"/>
      <c r="AKO110" s="1251"/>
      <c r="AKP110" s="1251"/>
      <c r="AKQ110" s="1251"/>
      <c r="AKR110" s="1251"/>
      <c r="AKS110" s="1251"/>
      <c r="AKT110" s="1251"/>
      <c r="AKU110" s="1251"/>
      <c r="AKV110" s="1251"/>
      <c r="AKW110" s="1251"/>
      <c r="AKX110" s="1251"/>
      <c r="AKY110" s="1251"/>
      <c r="AKZ110" s="1251"/>
      <c r="ALA110" s="1251"/>
      <c r="ALB110" s="1251"/>
      <c r="ALC110" s="1251"/>
      <c r="ALD110" s="1251"/>
      <c r="ALE110" s="1251"/>
      <c r="ALF110" s="1251"/>
      <c r="ALG110" s="1251"/>
      <c r="ALH110" s="1251"/>
      <c r="ALI110" s="1251"/>
      <c r="ALJ110" s="1251"/>
      <c r="ALK110" s="1251"/>
      <c r="ALL110" s="1251"/>
      <c r="ALM110" s="1251"/>
      <c r="ALN110" s="1251"/>
      <c r="ALO110" s="1251"/>
      <c r="ALP110" s="1251"/>
      <c r="ALQ110" s="1251"/>
      <c r="ALR110" s="1251"/>
      <c r="ALS110" s="1251"/>
      <c r="ALT110" s="1251"/>
      <c r="ALU110" s="1251"/>
      <c r="ALV110" s="1251"/>
      <c r="ALW110" s="1251"/>
      <c r="ALX110" s="1251"/>
      <c r="ALY110" s="1251"/>
      <c r="ALZ110" s="1251"/>
      <c r="AMA110" s="1251"/>
      <c r="AMB110" s="1251"/>
      <c r="AMC110" s="1251"/>
      <c r="AMD110" s="1251"/>
      <c r="AME110" s="1251"/>
      <c r="AMF110" s="1251"/>
      <c r="AMG110" s="1251"/>
      <c r="AMH110" s="1251"/>
      <c r="AMI110" s="1251"/>
      <c r="AMJ110" s="1251"/>
      <c r="AMK110" s="1251"/>
      <c r="AML110" s="1251"/>
      <c r="AMM110" s="1251"/>
      <c r="AMN110" s="1251"/>
      <c r="AMO110" s="1251"/>
      <c r="AMP110" s="1251"/>
      <c r="AMQ110" s="1251"/>
      <c r="AMR110" s="1251"/>
      <c r="AMS110" s="1251"/>
      <c r="AMT110" s="1251"/>
      <c r="AMU110" s="1251"/>
      <c r="AMV110" s="1251"/>
      <c r="AMW110" s="1251"/>
      <c r="AMX110" s="1251"/>
      <c r="AMY110" s="1251"/>
      <c r="AMZ110" s="1251"/>
      <c r="ANA110" s="1251"/>
      <c r="ANB110" s="1251"/>
      <c r="ANC110" s="1251"/>
      <c r="AND110" s="1251"/>
      <c r="ANE110" s="1251"/>
      <c r="ANF110" s="1251"/>
      <c r="ANG110" s="1251"/>
      <c r="ANH110" s="1251"/>
      <c r="ANI110" s="1251"/>
      <c r="ANJ110" s="1251"/>
      <c r="ANK110" s="1251"/>
      <c r="ANL110" s="1251"/>
      <c r="ANM110" s="1251"/>
      <c r="ANN110" s="1251"/>
      <c r="ANO110" s="1251"/>
      <c r="ANP110" s="1251"/>
      <c r="ANQ110" s="1251"/>
      <c r="ANR110" s="1251"/>
      <c r="ANS110" s="1251"/>
      <c r="ANT110" s="1251"/>
      <c r="ANU110" s="1251"/>
      <c r="ANV110" s="1251"/>
      <c r="ANW110" s="1251"/>
      <c r="ANX110" s="1251"/>
      <c r="ANY110" s="1251"/>
      <c r="ANZ110" s="1251"/>
      <c r="AOA110" s="1251"/>
      <c r="AOB110" s="1251"/>
      <c r="AOC110" s="1251"/>
      <c r="AOD110" s="1251"/>
      <c r="AOE110" s="1251"/>
      <c r="AOF110" s="1251"/>
      <c r="AOG110" s="1251"/>
      <c r="AOH110" s="1251"/>
      <c r="AOI110" s="1251"/>
      <c r="AOJ110" s="1251"/>
      <c r="AOK110" s="1251"/>
      <c r="AOL110" s="1251"/>
      <c r="AOM110" s="1251"/>
      <c r="AON110" s="1251"/>
      <c r="AOO110" s="1251"/>
      <c r="AOP110" s="1251"/>
      <c r="AOQ110" s="1251"/>
      <c r="AOR110" s="1251"/>
      <c r="AOS110" s="1251"/>
      <c r="AOT110" s="1251"/>
      <c r="AOU110" s="1251"/>
      <c r="AOV110" s="1251"/>
      <c r="AOW110" s="1251"/>
      <c r="AOX110" s="1251"/>
      <c r="AOY110" s="1251"/>
      <c r="AOZ110" s="1251"/>
      <c r="APA110" s="1251"/>
      <c r="APB110" s="1251"/>
      <c r="APC110" s="1251"/>
      <c r="APD110" s="1251"/>
      <c r="APE110" s="1251"/>
      <c r="APF110" s="1251"/>
      <c r="APG110" s="1251"/>
      <c r="APH110" s="1251"/>
      <c r="API110" s="1251"/>
      <c r="APJ110" s="1251"/>
      <c r="APK110" s="1251"/>
      <c r="APL110" s="1251"/>
      <c r="APM110" s="1251"/>
      <c r="APN110" s="1251"/>
      <c r="APO110" s="1251"/>
      <c r="APP110" s="1251"/>
      <c r="APQ110" s="1251"/>
      <c r="APR110" s="1251"/>
      <c r="APS110" s="1251"/>
      <c r="APT110" s="1251"/>
      <c r="APU110" s="1251"/>
      <c r="APV110" s="1251"/>
      <c r="APW110" s="1251"/>
      <c r="APX110" s="1251"/>
      <c r="APY110" s="1251"/>
      <c r="APZ110" s="1251"/>
      <c r="AQA110" s="1251"/>
      <c r="AQB110" s="1251"/>
      <c r="AQC110" s="1251"/>
      <c r="AQD110" s="1251"/>
      <c r="AQE110" s="1251"/>
      <c r="AQF110" s="1251"/>
      <c r="AQG110" s="1251"/>
      <c r="AQH110" s="1251"/>
      <c r="AQI110" s="1251"/>
      <c r="AQJ110" s="1251"/>
      <c r="AQK110" s="1251"/>
      <c r="AQL110" s="1251"/>
      <c r="AQM110" s="1251"/>
      <c r="AQN110" s="1251"/>
      <c r="AQO110" s="1251"/>
      <c r="AQP110" s="1251"/>
      <c r="AQQ110" s="1251"/>
      <c r="AQR110" s="1251"/>
      <c r="AQS110" s="1251"/>
      <c r="AQT110" s="1251"/>
      <c r="AQU110" s="1251"/>
      <c r="AQV110" s="1251"/>
      <c r="AQW110" s="1251"/>
      <c r="AQX110" s="1251"/>
      <c r="AQY110" s="1251"/>
      <c r="AQZ110" s="1251"/>
      <c r="ARA110" s="1251"/>
      <c r="ARB110" s="1251"/>
      <c r="ARC110" s="1251"/>
      <c r="ARD110" s="1251"/>
      <c r="ARE110" s="1251"/>
      <c r="ARF110" s="1251"/>
      <c r="ARG110" s="1251"/>
      <c r="ARH110" s="1251"/>
      <c r="ARI110" s="1251"/>
      <c r="ARJ110" s="1251"/>
      <c r="ARK110" s="1251"/>
      <c r="ARL110" s="1251"/>
      <c r="ARM110" s="1251"/>
      <c r="ARN110" s="1251"/>
      <c r="ARO110" s="1251"/>
      <c r="ARP110" s="1251"/>
      <c r="ARQ110" s="1251"/>
      <c r="ARR110" s="1251"/>
      <c r="ARS110" s="1251"/>
      <c r="ART110" s="1251"/>
      <c r="ARU110" s="1251"/>
      <c r="ARV110" s="1251"/>
      <c r="ARW110" s="1251"/>
      <c r="ARX110" s="1251"/>
      <c r="ARY110" s="1251"/>
      <c r="ARZ110" s="1251"/>
      <c r="ASA110" s="1251"/>
      <c r="ASB110" s="1251"/>
      <c r="ASC110" s="1251"/>
      <c r="ASD110" s="1251"/>
      <c r="ASE110" s="1251"/>
      <c r="ASF110" s="1251"/>
      <c r="ASG110" s="1251"/>
      <c r="ASH110" s="1251"/>
      <c r="ASI110" s="1251"/>
      <c r="ASJ110" s="1251"/>
      <c r="ASK110" s="1251"/>
      <c r="ASL110" s="1251"/>
      <c r="ASM110" s="1251"/>
      <c r="ASN110" s="1251"/>
      <c r="ASO110" s="1251"/>
      <c r="ASP110" s="1251"/>
      <c r="ASQ110" s="1251"/>
      <c r="ASR110" s="1251"/>
      <c r="ASS110" s="1251"/>
      <c r="AST110" s="1251"/>
      <c r="ASU110" s="1251"/>
      <c r="ASV110" s="1251"/>
      <c r="ASW110" s="1251"/>
      <c r="ASX110" s="1251"/>
      <c r="ASY110" s="1251"/>
      <c r="ASZ110" s="1251"/>
      <c r="ATA110" s="1251"/>
      <c r="ATB110" s="1251"/>
      <c r="ATC110" s="1251"/>
      <c r="ATD110" s="1251"/>
      <c r="ATE110" s="1251"/>
      <c r="ATF110" s="1251"/>
      <c r="ATG110" s="1251"/>
      <c r="ATH110" s="1251"/>
      <c r="ATI110" s="1251"/>
      <c r="ATJ110" s="1251"/>
      <c r="ATK110" s="1251"/>
      <c r="ATL110" s="1251"/>
      <c r="ATM110" s="1251"/>
      <c r="ATN110" s="1251"/>
      <c r="ATO110" s="1251"/>
      <c r="ATP110" s="1251"/>
      <c r="ATQ110" s="1251"/>
      <c r="ATR110" s="1251"/>
      <c r="ATS110" s="1251"/>
      <c r="ATT110" s="1251"/>
      <c r="ATU110" s="1251"/>
      <c r="ATV110" s="1251"/>
      <c r="ATW110" s="1251"/>
      <c r="ATX110" s="1251"/>
      <c r="ATY110" s="1251"/>
      <c r="ATZ110" s="1251"/>
      <c r="AUA110" s="1251"/>
      <c r="AUB110" s="1251"/>
      <c r="AUC110" s="1251"/>
      <c r="AUD110" s="1251"/>
      <c r="AUE110" s="1251"/>
      <c r="AUF110" s="1251"/>
      <c r="AUG110" s="1251"/>
      <c r="AUH110" s="1251"/>
      <c r="AUI110" s="1251"/>
      <c r="AUJ110" s="1251"/>
      <c r="AUK110" s="1251"/>
      <c r="AUL110" s="1251"/>
      <c r="AUM110" s="1251"/>
      <c r="AUN110" s="1251"/>
      <c r="AUO110" s="1251"/>
      <c r="AUP110" s="1251"/>
      <c r="AUQ110" s="1251"/>
      <c r="AUR110" s="1251"/>
      <c r="AUS110" s="1251"/>
      <c r="AUT110" s="1251"/>
      <c r="AUU110" s="1251"/>
      <c r="AUV110" s="1251"/>
      <c r="AUW110" s="1251"/>
      <c r="AUX110" s="1251"/>
      <c r="AUY110" s="1251"/>
      <c r="AUZ110" s="1251"/>
      <c r="AVA110" s="1251"/>
      <c r="AVB110" s="1251"/>
      <c r="AVC110" s="1251"/>
      <c r="AVD110" s="1251"/>
      <c r="AVE110" s="1251"/>
      <c r="AVF110" s="1251"/>
      <c r="AVG110" s="1251"/>
      <c r="AVH110" s="1251"/>
      <c r="AVI110" s="1251"/>
      <c r="AVJ110" s="1251"/>
      <c r="AVK110" s="1251"/>
      <c r="AVL110" s="1251"/>
      <c r="AVM110" s="1251"/>
      <c r="AVN110" s="1251"/>
      <c r="AVO110" s="1251"/>
      <c r="AVP110" s="1251"/>
      <c r="AVQ110" s="1251"/>
      <c r="AVR110" s="1251"/>
      <c r="AVS110" s="1251"/>
      <c r="AVT110" s="1251"/>
      <c r="AVU110" s="1251"/>
      <c r="AVV110" s="1251"/>
      <c r="AVW110" s="1251"/>
      <c r="AVX110" s="1251"/>
      <c r="AVY110" s="1251"/>
      <c r="AVZ110" s="1251"/>
      <c r="AWA110" s="1251"/>
      <c r="AWB110" s="1251"/>
      <c r="AWC110" s="1251"/>
      <c r="AWD110" s="1251"/>
      <c r="AWE110" s="1251"/>
      <c r="AWF110" s="1251"/>
      <c r="AWG110" s="1251"/>
      <c r="AWH110" s="1251"/>
      <c r="AWI110" s="1251"/>
      <c r="AWJ110" s="1251"/>
      <c r="AWK110" s="1251"/>
      <c r="AWL110" s="1251"/>
      <c r="AWM110" s="1251"/>
      <c r="AWN110" s="1251"/>
      <c r="AWO110" s="1251"/>
      <c r="AWP110" s="1251"/>
      <c r="AWQ110" s="1251"/>
      <c r="AWR110" s="1251"/>
      <c r="AWS110" s="1251"/>
      <c r="AWT110" s="1251"/>
      <c r="AWU110" s="1251"/>
      <c r="AWV110" s="1251"/>
      <c r="AWW110" s="1251"/>
      <c r="AWX110" s="1251"/>
      <c r="AWY110" s="1251"/>
      <c r="AWZ110" s="1251"/>
      <c r="AXA110" s="1251"/>
      <c r="AXB110" s="1251"/>
      <c r="AXC110" s="1251"/>
      <c r="AXD110" s="1251"/>
      <c r="AXE110" s="1251"/>
      <c r="AXF110" s="1251"/>
      <c r="AXG110" s="1251"/>
      <c r="AXH110" s="1251"/>
      <c r="AXI110" s="1251"/>
      <c r="AXJ110" s="1251"/>
      <c r="AXK110" s="1251"/>
      <c r="AXL110" s="1251"/>
      <c r="AXM110" s="1251"/>
      <c r="AXN110" s="1251"/>
      <c r="AXO110" s="1251"/>
      <c r="AXP110" s="1251"/>
      <c r="AXQ110" s="1251"/>
      <c r="AXR110" s="1251"/>
      <c r="AXS110" s="1251"/>
      <c r="AXT110" s="1251"/>
      <c r="AXU110" s="1251"/>
      <c r="AXV110" s="1251"/>
      <c r="AXW110" s="1251"/>
      <c r="AXX110" s="1251"/>
      <c r="AXY110" s="1251"/>
      <c r="AXZ110" s="1251"/>
      <c r="AYA110" s="1251"/>
      <c r="AYB110" s="1251"/>
      <c r="AYC110" s="1251"/>
      <c r="AYD110" s="1251"/>
      <c r="AYE110" s="1251"/>
      <c r="AYF110" s="1251"/>
      <c r="AYG110" s="1251"/>
      <c r="AYH110" s="1251"/>
      <c r="AYI110" s="1251"/>
      <c r="AYJ110" s="1251"/>
      <c r="AYK110" s="1251"/>
      <c r="AYL110" s="1251"/>
      <c r="AYM110" s="1251"/>
      <c r="AYN110" s="1251"/>
      <c r="AYO110" s="1251"/>
      <c r="AYP110" s="1251"/>
      <c r="AYQ110" s="1251"/>
      <c r="AYR110" s="1251"/>
      <c r="AYS110" s="1251"/>
      <c r="AYT110" s="1251"/>
      <c r="AYU110" s="1251"/>
      <c r="AYV110" s="1251"/>
      <c r="AYW110" s="1251"/>
      <c r="AYX110" s="1251"/>
      <c r="AYY110" s="1251"/>
      <c r="AYZ110" s="1251"/>
      <c r="AZA110" s="1251"/>
      <c r="AZB110" s="1251"/>
      <c r="AZC110" s="1251"/>
      <c r="AZD110" s="1251"/>
      <c r="AZE110" s="1251"/>
      <c r="AZF110" s="1251"/>
      <c r="AZG110" s="1251"/>
      <c r="AZH110" s="1251"/>
      <c r="AZI110" s="1251"/>
      <c r="AZJ110" s="1251"/>
      <c r="AZK110" s="1251"/>
      <c r="AZL110" s="1251"/>
      <c r="AZM110" s="1251"/>
      <c r="AZN110" s="1251"/>
      <c r="AZO110" s="1251"/>
      <c r="AZP110" s="1251"/>
      <c r="AZQ110" s="1251"/>
      <c r="AZR110" s="1251"/>
      <c r="AZS110" s="1251"/>
      <c r="AZT110" s="1251"/>
      <c r="AZU110" s="1251"/>
      <c r="AZV110" s="1251"/>
      <c r="AZW110" s="1251"/>
      <c r="AZX110" s="1251"/>
      <c r="AZY110" s="1251"/>
      <c r="AZZ110" s="1251"/>
      <c r="BAA110" s="1251"/>
      <c r="BAB110" s="1251"/>
      <c r="BAC110" s="1251"/>
      <c r="BAD110" s="1251"/>
      <c r="BAE110" s="1251"/>
      <c r="BAF110" s="1251"/>
      <c r="BAG110" s="1251"/>
      <c r="BAH110" s="1251"/>
      <c r="BAI110" s="1251"/>
      <c r="BAJ110" s="1251"/>
      <c r="BAK110" s="1251"/>
      <c r="BAL110" s="1251"/>
      <c r="BAM110" s="1251"/>
      <c r="BAN110" s="1251"/>
      <c r="BAO110" s="1251"/>
      <c r="BAP110" s="1251"/>
      <c r="BAQ110" s="1251"/>
      <c r="BAR110" s="1251"/>
      <c r="BAS110" s="1251"/>
      <c r="BAT110" s="1251"/>
      <c r="BAU110" s="1251"/>
      <c r="BAV110" s="1251"/>
      <c r="BAW110" s="1251"/>
      <c r="BAX110" s="1251"/>
      <c r="BAY110" s="1251"/>
      <c r="BAZ110" s="1251"/>
      <c r="BBA110" s="1251"/>
      <c r="BBB110" s="1251"/>
      <c r="BBC110" s="1251"/>
      <c r="BBD110" s="1251"/>
      <c r="BBE110" s="1251"/>
      <c r="BBF110" s="1251"/>
      <c r="BBG110" s="1251"/>
      <c r="BBH110" s="1251"/>
      <c r="BBI110" s="1251"/>
      <c r="BBJ110" s="1251"/>
      <c r="BBK110" s="1251"/>
      <c r="BBL110" s="1251"/>
      <c r="BBM110" s="1251"/>
      <c r="BBN110" s="1251"/>
      <c r="BBO110" s="1251"/>
      <c r="BBP110" s="1251"/>
      <c r="BBQ110" s="1251"/>
      <c r="BBR110" s="1251"/>
      <c r="BBS110" s="1251"/>
      <c r="BBT110" s="1251"/>
      <c r="BBU110" s="1251"/>
      <c r="BBV110" s="1251"/>
      <c r="BBW110" s="1251"/>
      <c r="BBX110" s="1251"/>
      <c r="BBY110" s="1251"/>
      <c r="BBZ110" s="1251"/>
      <c r="BCA110" s="1251"/>
      <c r="BCB110" s="1251"/>
      <c r="BCC110" s="1251"/>
      <c r="BCD110" s="1251"/>
      <c r="BCE110" s="1251"/>
      <c r="BCF110" s="1251"/>
      <c r="BCG110" s="1251"/>
      <c r="BCH110" s="1251"/>
      <c r="BCI110" s="1251"/>
      <c r="BCJ110" s="1251"/>
      <c r="BCK110" s="1251"/>
      <c r="BCL110" s="1251"/>
      <c r="BCM110" s="1251"/>
      <c r="BCN110" s="1251"/>
      <c r="BCO110" s="1251"/>
      <c r="BCP110" s="1251"/>
      <c r="BCQ110" s="1251"/>
      <c r="BCR110" s="1251"/>
      <c r="BCS110" s="1251"/>
      <c r="BCT110" s="1251"/>
      <c r="BCU110" s="1251"/>
      <c r="BCV110" s="1251"/>
      <c r="BCW110" s="1251"/>
      <c r="BCX110" s="1251"/>
      <c r="BCY110" s="1251"/>
      <c r="BCZ110" s="1251"/>
      <c r="BDA110" s="1251"/>
      <c r="BDB110" s="1251"/>
      <c r="BDC110" s="1251"/>
      <c r="BDD110" s="1251"/>
      <c r="BDE110" s="1251"/>
      <c r="BDF110" s="1251"/>
      <c r="BDG110" s="1251"/>
      <c r="BDH110" s="1251"/>
      <c r="BDI110" s="1251"/>
      <c r="BDJ110" s="1251"/>
      <c r="BDK110" s="1251"/>
      <c r="BDL110" s="1251"/>
      <c r="BDM110" s="1251"/>
      <c r="BDN110" s="1251"/>
      <c r="BDO110" s="1251"/>
      <c r="BDP110" s="1251"/>
      <c r="BDQ110" s="1251"/>
      <c r="BDR110" s="1251"/>
      <c r="BDS110" s="1251"/>
      <c r="BDT110" s="1251"/>
      <c r="BDU110" s="1251"/>
      <c r="BDV110" s="1251"/>
      <c r="BDW110" s="1251"/>
      <c r="BDX110" s="1251"/>
      <c r="BDY110" s="1251"/>
      <c r="BDZ110" s="1251"/>
      <c r="BEA110" s="1251"/>
      <c r="BEB110" s="1251"/>
      <c r="BEC110" s="1251"/>
      <c r="BED110" s="1251"/>
      <c r="BEE110" s="1251"/>
      <c r="BEF110" s="1251"/>
      <c r="BEG110" s="1251"/>
      <c r="BEH110" s="1251"/>
      <c r="BEI110" s="1251"/>
      <c r="BEJ110" s="1251"/>
      <c r="BEK110" s="1251"/>
      <c r="BEL110" s="1251"/>
      <c r="BEM110" s="1251"/>
      <c r="BEN110" s="1251"/>
      <c r="BEO110" s="1251"/>
      <c r="BEP110" s="1251"/>
      <c r="BEQ110" s="1251"/>
      <c r="BER110" s="1251"/>
      <c r="BES110" s="1251"/>
      <c r="BET110" s="1251"/>
      <c r="BEU110" s="1251"/>
      <c r="BEV110" s="1251"/>
      <c r="BEW110" s="1251"/>
      <c r="BEX110" s="1251"/>
      <c r="BEY110" s="1251"/>
      <c r="BEZ110" s="1251"/>
      <c r="BFA110" s="1251"/>
      <c r="BFB110" s="1251"/>
      <c r="BFC110" s="1251"/>
      <c r="BFD110" s="1251"/>
      <c r="BFE110" s="1251"/>
      <c r="BFF110" s="1251"/>
      <c r="BFG110" s="1251"/>
      <c r="BFH110" s="1251"/>
      <c r="BFI110" s="1251"/>
      <c r="BFJ110" s="1251"/>
      <c r="BFK110" s="1251"/>
      <c r="BFL110" s="1251"/>
      <c r="BFM110" s="1251"/>
      <c r="BFN110" s="1251"/>
      <c r="BFO110" s="1251"/>
      <c r="BFP110" s="1251"/>
      <c r="BFQ110" s="1251"/>
      <c r="BFR110" s="1251"/>
      <c r="BFS110" s="1251"/>
      <c r="BFT110" s="1251"/>
      <c r="BFU110" s="1251"/>
      <c r="BFV110" s="1251"/>
      <c r="BFW110" s="1251"/>
      <c r="BFX110" s="1251"/>
      <c r="BFY110" s="1251"/>
      <c r="BFZ110" s="1251"/>
      <c r="BGA110" s="1251"/>
      <c r="BGB110" s="1251"/>
      <c r="BGC110" s="1251"/>
      <c r="BGD110" s="1251"/>
      <c r="BGE110" s="1251"/>
      <c r="BGF110" s="1251"/>
      <c r="BGG110" s="1251"/>
      <c r="BGH110" s="1251"/>
      <c r="BGI110" s="1251"/>
      <c r="BGJ110" s="1251"/>
      <c r="BGK110" s="1251"/>
      <c r="BGL110" s="1251"/>
      <c r="BGM110" s="1251"/>
      <c r="BGN110" s="1251"/>
      <c r="BGO110" s="1251"/>
      <c r="BGP110" s="1251"/>
      <c r="BGQ110" s="1251"/>
      <c r="BGR110" s="1251"/>
      <c r="BGS110" s="1251"/>
      <c r="BGT110" s="1251"/>
      <c r="BGU110" s="1251"/>
      <c r="BGV110" s="1251"/>
      <c r="BGW110" s="1251"/>
      <c r="BGX110" s="1251"/>
      <c r="BGY110" s="1251"/>
      <c r="BGZ110" s="1251"/>
      <c r="BHA110" s="1251"/>
      <c r="BHB110" s="1251"/>
      <c r="BHC110" s="1251"/>
      <c r="BHD110" s="1251"/>
      <c r="BHE110" s="1251"/>
      <c r="BHF110" s="1251"/>
      <c r="BHG110" s="1251"/>
      <c r="BHH110" s="1251"/>
      <c r="BHI110" s="1251"/>
      <c r="BHJ110" s="1251"/>
      <c r="BHK110" s="1251"/>
      <c r="BHL110" s="1251"/>
      <c r="BHM110" s="1251"/>
      <c r="BHN110" s="1251"/>
      <c r="BHO110" s="1251"/>
      <c r="BHP110" s="1251"/>
      <c r="BHQ110" s="1251"/>
      <c r="BHR110" s="1251"/>
      <c r="BHS110" s="1251"/>
      <c r="BHT110" s="1251"/>
      <c r="BHU110" s="1251"/>
      <c r="BHV110" s="1251"/>
      <c r="BHW110" s="1251"/>
      <c r="BHX110" s="1251"/>
      <c r="BHY110" s="1251"/>
      <c r="BHZ110" s="1251"/>
      <c r="BIA110" s="1251"/>
      <c r="BIB110" s="1251"/>
      <c r="BIC110" s="1251"/>
      <c r="BID110" s="1251"/>
      <c r="BIE110" s="1251"/>
      <c r="BIF110" s="1251"/>
      <c r="BIG110" s="1251"/>
      <c r="BIH110" s="1251"/>
      <c r="BII110" s="1251"/>
      <c r="BIJ110" s="1251"/>
      <c r="BIK110" s="1251"/>
      <c r="BIL110" s="1251"/>
      <c r="BIM110" s="1251"/>
      <c r="BIN110" s="1251"/>
      <c r="BIO110" s="1251"/>
      <c r="BIP110" s="1251"/>
      <c r="BIQ110" s="1251"/>
      <c r="BIR110" s="1251"/>
      <c r="BIS110" s="1251"/>
      <c r="BIT110" s="1251"/>
      <c r="BIU110" s="1251"/>
      <c r="BIV110" s="1251"/>
      <c r="BIW110" s="1251"/>
      <c r="BIX110" s="1251"/>
      <c r="BIY110" s="1251"/>
      <c r="BIZ110" s="1251"/>
      <c r="BJA110" s="1251"/>
      <c r="BJB110" s="1251"/>
      <c r="BJC110" s="1251"/>
      <c r="BJD110" s="1251"/>
      <c r="BJE110" s="1251"/>
      <c r="BJF110" s="1251"/>
      <c r="BJG110" s="1251"/>
      <c r="BJH110" s="1251"/>
      <c r="BJI110" s="1251"/>
      <c r="BJJ110" s="1251"/>
      <c r="BJK110" s="1251"/>
      <c r="BJL110" s="1251"/>
      <c r="BJM110" s="1251"/>
      <c r="BJN110" s="1251"/>
      <c r="BJO110" s="1251"/>
      <c r="BJP110" s="1251"/>
      <c r="BJQ110" s="1251"/>
      <c r="BJR110" s="1251"/>
      <c r="BJS110" s="1251"/>
      <c r="BJT110" s="1251"/>
      <c r="BJU110" s="1251"/>
      <c r="BJV110" s="1251"/>
      <c r="BJW110" s="1251"/>
      <c r="BJX110" s="1251"/>
      <c r="BJY110" s="1251"/>
      <c r="BJZ110" s="1251"/>
      <c r="BKA110" s="1251"/>
      <c r="BKB110" s="1251"/>
      <c r="BKC110" s="1251"/>
      <c r="BKD110" s="1251"/>
      <c r="BKE110" s="1251"/>
      <c r="BKF110" s="1251"/>
      <c r="BKG110" s="1251"/>
      <c r="BKH110" s="1251"/>
      <c r="BKI110" s="1251"/>
      <c r="BKJ110" s="1251"/>
      <c r="BKK110" s="1251"/>
      <c r="BKL110" s="1251"/>
      <c r="BKM110" s="1251"/>
      <c r="BKN110" s="1251"/>
      <c r="BKO110" s="1251"/>
      <c r="BKP110" s="1251"/>
      <c r="BKQ110" s="1251"/>
      <c r="BKR110" s="1251"/>
      <c r="BKS110" s="1251"/>
      <c r="BKT110" s="1251"/>
      <c r="BKU110" s="1251"/>
      <c r="BKV110" s="1251"/>
      <c r="BKW110" s="1251"/>
      <c r="BKX110" s="1251"/>
      <c r="BKY110" s="1251"/>
      <c r="BKZ110" s="1251"/>
      <c r="BLA110" s="1251"/>
      <c r="BLB110" s="1251"/>
      <c r="BLC110" s="1251"/>
      <c r="BLD110" s="1251"/>
      <c r="BLE110" s="1251"/>
      <c r="BLF110" s="1251"/>
      <c r="BLG110" s="1251"/>
      <c r="BLH110" s="1251"/>
      <c r="BLI110" s="1251"/>
      <c r="BLJ110" s="1251"/>
      <c r="BLK110" s="1251"/>
      <c r="BLL110" s="1251"/>
      <c r="BLM110" s="1251"/>
      <c r="BLN110" s="1251"/>
      <c r="BLO110" s="1251"/>
      <c r="BLP110" s="1251"/>
      <c r="BLQ110" s="1251"/>
      <c r="BLR110" s="1251"/>
      <c r="BLS110" s="1251"/>
      <c r="BLT110" s="1251"/>
      <c r="BLU110" s="1251"/>
      <c r="BLV110" s="1251"/>
      <c r="BLW110" s="1251"/>
      <c r="BLX110" s="1251"/>
      <c r="BLY110" s="1251"/>
      <c r="BLZ110" s="1251"/>
      <c r="BMA110" s="1251"/>
      <c r="BMB110" s="1251"/>
      <c r="BMC110" s="1251"/>
      <c r="BMD110" s="1251"/>
      <c r="BME110" s="1251"/>
      <c r="BMF110" s="1251"/>
      <c r="BMG110" s="1251"/>
      <c r="BMH110" s="1251"/>
      <c r="BMI110" s="1251"/>
      <c r="BMJ110" s="1251"/>
      <c r="BMK110" s="1251"/>
      <c r="BML110" s="1251"/>
      <c r="BMM110" s="1251"/>
      <c r="BMN110" s="1251"/>
      <c r="BMO110" s="1251"/>
      <c r="BMP110" s="1251"/>
      <c r="BMQ110" s="1251"/>
      <c r="BMR110" s="1251"/>
      <c r="BMS110" s="1251"/>
      <c r="BMT110" s="1251"/>
      <c r="BMU110" s="1251"/>
      <c r="BMV110" s="1251"/>
      <c r="BMW110" s="1251"/>
      <c r="BMX110" s="1251"/>
      <c r="BMY110" s="1251"/>
      <c r="BMZ110" s="1251"/>
      <c r="BNA110" s="1251"/>
      <c r="BNB110" s="1251"/>
      <c r="BNC110" s="1251"/>
      <c r="BND110" s="1251"/>
      <c r="BNE110" s="1251"/>
      <c r="BNF110" s="1251"/>
      <c r="BNG110" s="1251"/>
      <c r="BNH110" s="1251"/>
      <c r="BNI110" s="1251"/>
      <c r="BNJ110" s="1251"/>
      <c r="BNK110" s="1251"/>
      <c r="BNL110" s="1251"/>
      <c r="BNM110" s="1251"/>
      <c r="BNN110" s="1251"/>
      <c r="BNO110" s="1251"/>
      <c r="BNP110" s="1251"/>
      <c r="BNQ110" s="1251"/>
      <c r="BNR110" s="1251"/>
      <c r="BNS110" s="1251"/>
      <c r="BNT110" s="1251"/>
      <c r="BNU110" s="1251"/>
      <c r="BNV110" s="1251"/>
      <c r="BNW110" s="1251"/>
      <c r="BNX110" s="1251"/>
      <c r="BNY110" s="1251"/>
      <c r="BNZ110" s="1251"/>
      <c r="BOA110" s="1251"/>
      <c r="BOB110" s="1251"/>
      <c r="BOC110" s="1251"/>
      <c r="BOD110" s="1251"/>
      <c r="BOE110" s="1251"/>
      <c r="BOF110" s="1251"/>
      <c r="BOG110" s="1251"/>
      <c r="BOH110" s="1251"/>
      <c r="BOI110" s="1251"/>
      <c r="BOJ110" s="1251"/>
      <c r="BOK110" s="1251"/>
      <c r="BOL110" s="1251"/>
      <c r="BOM110" s="1251"/>
      <c r="BON110" s="1251"/>
      <c r="BOO110" s="1251"/>
      <c r="BOP110" s="1251"/>
      <c r="BOQ110" s="1251"/>
      <c r="BOR110" s="1251"/>
      <c r="BOS110" s="1251"/>
      <c r="BOT110" s="1251"/>
      <c r="BOU110" s="1251"/>
      <c r="BOV110" s="1251"/>
      <c r="BOW110" s="1251"/>
      <c r="BOX110" s="1251"/>
      <c r="BOY110" s="1251"/>
      <c r="BOZ110" s="1251"/>
      <c r="BPA110" s="1251"/>
      <c r="BPB110" s="1251"/>
      <c r="BPC110" s="1251"/>
      <c r="BPD110" s="1251"/>
      <c r="BPE110" s="1251"/>
      <c r="BPF110" s="1251"/>
      <c r="BPG110" s="1251"/>
      <c r="BPH110" s="1251"/>
      <c r="BPI110" s="1251"/>
      <c r="BPJ110" s="1251"/>
      <c r="BPK110" s="1251"/>
      <c r="BPL110" s="1251"/>
      <c r="BPM110" s="1251"/>
      <c r="BPN110" s="1251"/>
      <c r="BPO110" s="1251"/>
      <c r="BPP110" s="1251"/>
      <c r="BPQ110" s="1251"/>
      <c r="BPR110" s="1251"/>
      <c r="BPS110" s="1251"/>
      <c r="BPT110" s="1251"/>
      <c r="BPU110" s="1251"/>
      <c r="BPV110" s="1251"/>
      <c r="BPW110" s="1251"/>
      <c r="BPX110" s="1251"/>
      <c r="BPY110" s="1251"/>
      <c r="BPZ110" s="1251"/>
      <c r="BQA110" s="1251"/>
      <c r="BQB110" s="1251"/>
      <c r="BQC110" s="1251"/>
      <c r="BQD110" s="1251"/>
      <c r="BQE110" s="1251"/>
      <c r="BQF110" s="1251"/>
      <c r="BQG110" s="1251"/>
      <c r="BQH110" s="1251"/>
      <c r="BQI110" s="1251"/>
      <c r="BQJ110" s="1251"/>
      <c r="BQK110" s="1251"/>
      <c r="BQL110" s="1251"/>
      <c r="BQM110" s="1251"/>
      <c r="BQN110" s="1251"/>
      <c r="BQO110" s="1251"/>
      <c r="BQP110" s="1251"/>
      <c r="BQQ110" s="1251"/>
      <c r="BQR110" s="1251"/>
      <c r="BQS110" s="1251"/>
      <c r="BQT110" s="1251"/>
      <c r="BQU110" s="1251"/>
      <c r="BQV110" s="1251"/>
      <c r="BQW110" s="1251"/>
      <c r="BQX110" s="1251"/>
      <c r="BQY110" s="1251"/>
      <c r="BQZ110" s="1251"/>
      <c r="BRA110" s="1251"/>
      <c r="BRB110" s="1251"/>
      <c r="BRC110" s="1251"/>
      <c r="BRD110" s="1251"/>
      <c r="BRE110" s="1251"/>
      <c r="BRF110" s="1251"/>
      <c r="BRG110" s="1251"/>
      <c r="BRH110" s="1251"/>
      <c r="BRI110" s="1251"/>
      <c r="BRJ110" s="1251"/>
      <c r="BRK110" s="1251"/>
      <c r="BRL110" s="1251"/>
      <c r="BRM110" s="1251"/>
      <c r="BRN110" s="1251"/>
      <c r="BRO110" s="1251"/>
      <c r="BRP110" s="1251"/>
      <c r="BRQ110" s="1251"/>
      <c r="BRR110" s="1251"/>
      <c r="BRS110" s="1251"/>
      <c r="BRT110" s="1251"/>
      <c r="BRU110" s="1251"/>
      <c r="BRV110" s="1251"/>
      <c r="BRW110" s="1251"/>
      <c r="BRX110" s="1251"/>
      <c r="BRY110" s="1251"/>
      <c r="BRZ110" s="1251"/>
      <c r="BSA110" s="1251"/>
      <c r="BSB110" s="1251"/>
      <c r="BSC110" s="1251"/>
      <c r="BSD110" s="1251"/>
      <c r="BSE110" s="1251"/>
      <c r="BSF110" s="1251"/>
      <c r="BSG110" s="1251"/>
      <c r="BSH110" s="1251"/>
      <c r="BSI110" s="1251"/>
      <c r="BSJ110" s="1251"/>
      <c r="BSK110" s="1251"/>
      <c r="BSL110" s="1251"/>
      <c r="BSM110" s="1251"/>
      <c r="BSN110" s="1251"/>
      <c r="BSO110" s="1251"/>
      <c r="BSP110" s="1251"/>
      <c r="BSQ110" s="1251"/>
      <c r="BSR110" s="1251"/>
      <c r="BSS110" s="1251"/>
      <c r="BST110" s="1251"/>
      <c r="BSU110" s="1251"/>
      <c r="BSV110" s="1251"/>
      <c r="BSW110" s="1251"/>
      <c r="BSX110" s="1251"/>
      <c r="BSY110" s="1251"/>
      <c r="BSZ110" s="1251"/>
      <c r="BTA110" s="1251"/>
      <c r="BTB110" s="1251"/>
      <c r="BTC110" s="1251"/>
      <c r="BTD110" s="1251"/>
      <c r="BTE110" s="1251"/>
      <c r="BTF110" s="1251"/>
      <c r="BTG110" s="1251"/>
      <c r="BTH110" s="1251"/>
      <c r="BTI110" s="1251"/>
    </row>
    <row r="111" spans="1:1881" s="1261" customFormat="1" ht="117" hidden="1" customHeight="1" thickBot="1" x14ac:dyDescent="0.35">
      <c r="A111" s="1274">
        <v>35</v>
      </c>
      <c r="B111" s="1272" t="s">
        <v>567</v>
      </c>
      <c r="C111" s="659" t="s">
        <v>1276</v>
      </c>
      <c r="D111" s="659" t="s">
        <v>1468</v>
      </c>
      <c r="E111" s="1249" t="e">
        <f>HLOOKUP($D$2,'2020 Data(H)'!$C$1:$CZ$426,23,FALSE)</f>
        <v>#N/A</v>
      </c>
      <c r="F111" s="1263">
        <v>0</v>
      </c>
      <c r="G111" s="727"/>
      <c r="H111" s="17"/>
      <c r="I111" s="760"/>
      <c r="J111" s="1252"/>
      <c r="K111" s="1251"/>
      <c r="L111" s="701"/>
      <c r="M111" s="1251"/>
      <c r="N111" s="1253"/>
      <c r="O111" s="1251"/>
      <c r="P111" s="1251"/>
      <c r="Q111" s="1251"/>
      <c r="R111" s="1251"/>
      <c r="S111" s="1251"/>
      <c r="T111" s="1251"/>
      <c r="U111" s="1251"/>
      <c r="V111" s="1251"/>
      <c r="W111" s="1251"/>
      <c r="X111" s="1251"/>
      <c r="Y111" s="1251"/>
      <c r="Z111" s="1274"/>
      <c r="AA111" s="1274"/>
      <c r="AB111" s="1274"/>
      <c r="AC111" s="1274"/>
      <c r="AD111" s="1274"/>
      <c r="AE111" s="1274"/>
      <c r="AF111" s="1274"/>
      <c r="AG111" s="1274"/>
      <c r="AH111" s="1274"/>
      <c r="AI111" s="1274"/>
      <c r="AJ111" s="1274"/>
      <c r="AK111" s="1274"/>
      <c r="AL111" s="1274"/>
      <c r="AM111" s="1274"/>
      <c r="AN111" s="1274"/>
      <c r="AO111" s="1274"/>
      <c r="AP111" s="1274"/>
      <c r="AQ111" s="1274"/>
      <c r="AR111" s="1274"/>
      <c r="AS111" s="1251"/>
      <c r="AT111" s="1251"/>
      <c r="AU111" s="1251"/>
      <c r="AV111" s="1251"/>
      <c r="AW111" s="1251"/>
      <c r="AX111" s="1251"/>
      <c r="AY111" s="1251"/>
      <c r="AZ111" s="1251"/>
      <c r="BA111" s="1251"/>
      <c r="BB111" s="1251"/>
      <c r="BC111" s="1251"/>
      <c r="BD111" s="1251"/>
      <c r="BE111" s="1251"/>
      <c r="BF111" s="1251"/>
      <c r="BG111" s="1251"/>
      <c r="BH111" s="1251"/>
      <c r="BI111" s="1251"/>
      <c r="BJ111" s="1251"/>
      <c r="BK111" s="1251"/>
      <c r="BL111" s="1251"/>
      <c r="BM111" s="1251"/>
      <c r="BN111" s="1251"/>
      <c r="BO111" s="1251"/>
      <c r="BP111" s="1251"/>
      <c r="BQ111" s="1251"/>
      <c r="BR111" s="1251"/>
      <c r="BS111" s="1251"/>
      <c r="BT111" s="1251"/>
      <c r="BU111" s="1251"/>
      <c r="BV111" s="1251"/>
      <c r="BW111" s="1251"/>
      <c r="BX111" s="1251"/>
      <c r="BY111" s="1251"/>
      <c r="BZ111" s="1251"/>
      <c r="CA111" s="1251"/>
      <c r="CB111" s="1251"/>
      <c r="CC111" s="1251"/>
      <c r="CD111" s="1251"/>
      <c r="CE111" s="1251"/>
      <c r="CF111" s="1251"/>
      <c r="CG111" s="1251"/>
      <c r="CH111" s="1251"/>
      <c r="CI111" s="1251"/>
      <c r="CJ111" s="1251"/>
      <c r="CK111" s="1251"/>
      <c r="CL111" s="1251"/>
      <c r="CM111" s="1251"/>
      <c r="CN111" s="1251"/>
      <c r="CO111" s="1251"/>
      <c r="CP111" s="1251"/>
      <c r="CQ111" s="1251"/>
      <c r="CR111" s="1251"/>
      <c r="CS111" s="1251"/>
      <c r="CT111" s="1251"/>
      <c r="CU111" s="1251"/>
      <c r="CV111" s="1251"/>
      <c r="CW111" s="1251"/>
      <c r="CX111" s="1251"/>
      <c r="CY111" s="1251"/>
      <c r="CZ111" s="1251"/>
      <c r="DA111" s="1251"/>
      <c r="DB111" s="1251"/>
      <c r="DC111" s="1251"/>
      <c r="DD111" s="1251"/>
      <c r="DE111" s="1251"/>
      <c r="DF111" s="1251"/>
      <c r="DG111" s="1251"/>
      <c r="DH111" s="1251"/>
      <c r="DI111" s="1251"/>
      <c r="DJ111" s="1251"/>
      <c r="DK111" s="1251"/>
      <c r="DL111" s="1251"/>
      <c r="DM111" s="1251"/>
      <c r="DN111" s="1251"/>
      <c r="DO111" s="1251"/>
      <c r="DP111" s="1251"/>
      <c r="DQ111" s="1251"/>
      <c r="DR111" s="1251"/>
      <c r="DS111" s="1251"/>
      <c r="DT111" s="1251"/>
      <c r="DU111" s="1251"/>
      <c r="DV111" s="1251"/>
      <c r="DW111" s="1251"/>
      <c r="DX111" s="1251"/>
      <c r="DY111" s="1251"/>
      <c r="DZ111" s="1251"/>
      <c r="EA111" s="1251"/>
      <c r="EB111" s="1251"/>
      <c r="EC111" s="1251"/>
      <c r="ED111" s="1251"/>
      <c r="EE111" s="1251"/>
      <c r="EF111" s="1251"/>
      <c r="EG111" s="1251"/>
      <c r="EH111" s="1251"/>
      <c r="EI111" s="1251"/>
      <c r="EJ111" s="1251"/>
      <c r="EK111" s="1251"/>
      <c r="EL111" s="1251"/>
      <c r="EM111" s="1251"/>
      <c r="EN111" s="1251"/>
      <c r="EO111" s="1251"/>
      <c r="EP111" s="1251"/>
      <c r="EQ111" s="1251"/>
      <c r="ER111" s="1251"/>
      <c r="ES111" s="1251"/>
      <c r="ET111" s="1251"/>
      <c r="EU111" s="1251"/>
      <c r="EV111" s="1251"/>
      <c r="EW111" s="1251"/>
      <c r="EX111" s="1251"/>
      <c r="EY111" s="1251"/>
      <c r="EZ111" s="1251"/>
      <c r="FA111" s="1251"/>
      <c r="FB111" s="1251"/>
      <c r="FC111" s="1251"/>
      <c r="FD111" s="1251"/>
      <c r="FE111" s="1251"/>
      <c r="FF111" s="1251"/>
      <c r="FG111" s="1251"/>
      <c r="FH111" s="1251"/>
      <c r="FI111" s="1251"/>
      <c r="FJ111" s="1251"/>
      <c r="FK111" s="1251"/>
      <c r="FL111" s="1251"/>
      <c r="FM111" s="1251"/>
      <c r="FN111" s="1251"/>
      <c r="FO111" s="1251"/>
      <c r="FP111" s="1251"/>
      <c r="FQ111" s="1251"/>
      <c r="FR111" s="1251"/>
      <c r="FS111" s="1251"/>
      <c r="FT111" s="1251"/>
      <c r="FU111" s="1251"/>
      <c r="FV111" s="1251"/>
      <c r="FW111" s="1251"/>
      <c r="FX111" s="1251"/>
      <c r="FY111" s="1251"/>
      <c r="FZ111" s="1251"/>
      <c r="GA111" s="1251"/>
      <c r="GB111" s="1251"/>
      <c r="GC111" s="1251"/>
      <c r="GD111" s="1251"/>
      <c r="GE111" s="1251"/>
      <c r="GF111" s="1251"/>
      <c r="GG111" s="1251"/>
      <c r="GH111" s="1251"/>
      <c r="GI111" s="1251"/>
      <c r="GJ111" s="1251"/>
      <c r="GK111" s="1251"/>
      <c r="GL111" s="1251"/>
      <c r="GM111" s="1251"/>
      <c r="GN111" s="1251"/>
      <c r="GO111" s="1251"/>
      <c r="GP111" s="1251"/>
      <c r="GQ111" s="1251"/>
      <c r="GR111" s="1251"/>
      <c r="GS111" s="1251"/>
      <c r="GT111" s="1251"/>
      <c r="GU111" s="1251"/>
      <c r="GV111" s="1251"/>
      <c r="GW111" s="1251"/>
      <c r="GX111" s="1251"/>
      <c r="GY111" s="1251"/>
      <c r="GZ111" s="1251"/>
      <c r="HA111" s="1251"/>
      <c r="HB111" s="1251"/>
      <c r="HC111" s="1251"/>
      <c r="HD111" s="1251"/>
      <c r="HE111" s="1251"/>
      <c r="HF111" s="1251"/>
      <c r="HG111" s="1251"/>
      <c r="HH111" s="1251"/>
      <c r="HI111" s="1251"/>
      <c r="HJ111" s="1251"/>
      <c r="HK111" s="1251"/>
      <c r="HL111" s="1251"/>
      <c r="HM111" s="1251"/>
      <c r="HN111" s="1251"/>
      <c r="HO111" s="1251"/>
      <c r="HP111" s="1251"/>
      <c r="HQ111" s="1251"/>
      <c r="HR111" s="1251"/>
      <c r="HS111" s="1251"/>
      <c r="HT111" s="1251"/>
      <c r="HU111" s="1251"/>
      <c r="HV111" s="1251"/>
      <c r="HW111" s="1251"/>
      <c r="HX111" s="1251"/>
      <c r="HY111" s="1251"/>
      <c r="HZ111" s="1251"/>
      <c r="IA111" s="1251"/>
      <c r="IB111" s="1251"/>
      <c r="IC111" s="1251"/>
      <c r="ID111" s="1251"/>
      <c r="IE111" s="1251"/>
      <c r="IF111" s="1251"/>
      <c r="IG111" s="1251"/>
      <c r="IH111" s="1251"/>
      <c r="II111" s="1251"/>
      <c r="IJ111" s="1251"/>
      <c r="IK111" s="1251"/>
      <c r="IL111" s="1251"/>
      <c r="IM111" s="1251"/>
      <c r="IN111" s="1251"/>
      <c r="IO111" s="1251"/>
      <c r="IP111" s="1251"/>
      <c r="IQ111" s="1251"/>
      <c r="IR111" s="1251"/>
      <c r="IS111" s="1251"/>
      <c r="IT111" s="1251"/>
      <c r="IU111" s="1251"/>
      <c r="IV111" s="1251"/>
      <c r="IW111" s="1251"/>
      <c r="IX111" s="1251"/>
      <c r="IY111" s="1251"/>
      <c r="IZ111" s="1251"/>
      <c r="JA111" s="1251"/>
      <c r="JB111" s="1251"/>
      <c r="JC111" s="1251"/>
      <c r="JD111" s="1251"/>
      <c r="JE111" s="1251"/>
      <c r="JF111" s="1251"/>
      <c r="JG111" s="1251"/>
      <c r="JH111" s="1251"/>
      <c r="JI111" s="1251"/>
      <c r="JJ111" s="1251"/>
      <c r="JK111" s="1251"/>
      <c r="JL111" s="1251"/>
      <c r="JM111" s="1251"/>
      <c r="JN111" s="1251"/>
      <c r="JO111" s="1251"/>
      <c r="JP111" s="1251"/>
      <c r="JQ111" s="1251"/>
      <c r="JR111" s="1251"/>
      <c r="JS111" s="1251"/>
      <c r="JT111" s="1251"/>
      <c r="JU111" s="1251"/>
      <c r="JV111" s="1251"/>
      <c r="JW111" s="1251"/>
      <c r="JX111" s="1251"/>
      <c r="JY111" s="1251"/>
      <c r="JZ111" s="1251"/>
      <c r="KA111" s="1251"/>
      <c r="KB111" s="1251"/>
      <c r="KC111" s="1251"/>
      <c r="KD111" s="1251"/>
      <c r="KE111" s="1251"/>
      <c r="KF111" s="1251"/>
      <c r="KG111" s="1251"/>
      <c r="KH111" s="1251"/>
      <c r="KI111" s="1251"/>
      <c r="KJ111" s="1251"/>
      <c r="KK111" s="1251"/>
      <c r="KL111" s="1251"/>
      <c r="KM111" s="1251"/>
      <c r="KN111" s="1251"/>
      <c r="KO111" s="1251"/>
      <c r="KP111" s="1251"/>
      <c r="KQ111" s="1251"/>
      <c r="KR111" s="1251"/>
      <c r="KS111" s="1251"/>
      <c r="KT111" s="1251"/>
      <c r="KU111" s="1251"/>
      <c r="KV111" s="1251"/>
      <c r="KW111" s="1251"/>
      <c r="KX111" s="1251"/>
      <c r="KY111" s="1251"/>
      <c r="KZ111" s="1251"/>
      <c r="LA111" s="1251"/>
      <c r="LB111" s="1251"/>
      <c r="LC111" s="1251"/>
      <c r="LD111" s="1251"/>
      <c r="LE111" s="1251"/>
      <c r="LF111" s="1251"/>
      <c r="LG111" s="1251"/>
      <c r="LH111" s="1251"/>
      <c r="LI111" s="1251"/>
      <c r="LJ111" s="1251"/>
      <c r="LK111" s="1251"/>
      <c r="LL111" s="1251"/>
      <c r="LM111" s="1251"/>
      <c r="LN111" s="1251"/>
      <c r="LO111" s="1251"/>
      <c r="LP111" s="1251"/>
      <c r="LQ111" s="1251"/>
      <c r="LR111" s="1251"/>
      <c r="LS111" s="1251"/>
      <c r="LT111" s="1251"/>
      <c r="LU111" s="1251"/>
      <c r="LV111" s="1251"/>
      <c r="LW111" s="1251"/>
      <c r="LX111" s="1251"/>
      <c r="LY111" s="1251"/>
      <c r="LZ111" s="1251"/>
      <c r="MA111" s="1251"/>
      <c r="MB111" s="1251"/>
      <c r="MC111" s="1251"/>
      <c r="MD111" s="1251"/>
      <c r="ME111" s="1251"/>
      <c r="MF111" s="1251"/>
      <c r="MG111" s="1251"/>
      <c r="MH111" s="1251"/>
      <c r="MI111" s="1251"/>
      <c r="MJ111" s="1251"/>
      <c r="MK111" s="1251"/>
      <c r="ML111" s="1251"/>
      <c r="MM111" s="1251"/>
      <c r="MN111" s="1251"/>
      <c r="MO111" s="1251"/>
      <c r="MP111" s="1251"/>
      <c r="MQ111" s="1251"/>
      <c r="MR111" s="1251"/>
      <c r="MS111" s="1251"/>
      <c r="MT111" s="1251"/>
      <c r="MU111" s="1251"/>
      <c r="MV111" s="1251"/>
      <c r="MW111" s="1251"/>
      <c r="MX111" s="1251"/>
      <c r="MY111" s="1251"/>
      <c r="MZ111" s="1251"/>
      <c r="NA111" s="1251"/>
      <c r="NB111" s="1251"/>
      <c r="NC111" s="1251"/>
      <c r="ND111" s="1251"/>
      <c r="NE111" s="1251"/>
      <c r="NF111" s="1251"/>
      <c r="NG111" s="1251"/>
      <c r="NH111" s="1251"/>
      <c r="NI111" s="1251"/>
      <c r="NJ111" s="1251"/>
      <c r="NK111" s="1251"/>
      <c r="NL111" s="1251"/>
      <c r="NM111" s="1251"/>
      <c r="NN111" s="1251"/>
      <c r="NO111" s="1251"/>
      <c r="NP111" s="1251"/>
      <c r="NQ111" s="1251"/>
      <c r="NR111" s="1251"/>
      <c r="NS111" s="1251"/>
      <c r="NT111" s="1251"/>
      <c r="NU111" s="1251"/>
      <c r="NV111" s="1251"/>
      <c r="NW111" s="1251"/>
      <c r="NX111" s="1251"/>
      <c r="NY111" s="1251"/>
      <c r="NZ111" s="1251"/>
      <c r="OA111" s="1251"/>
      <c r="OB111" s="1251"/>
      <c r="OC111" s="1251"/>
      <c r="OD111" s="1251"/>
      <c r="OE111" s="1251"/>
      <c r="OF111" s="1251"/>
      <c r="OG111" s="1251"/>
      <c r="OH111" s="1251"/>
      <c r="OI111" s="1251"/>
      <c r="OJ111" s="1251"/>
      <c r="OK111" s="1251"/>
      <c r="OL111" s="1251"/>
      <c r="OM111" s="1251"/>
      <c r="ON111" s="1251"/>
      <c r="OO111" s="1251"/>
      <c r="OP111" s="1251"/>
      <c r="OQ111" s="1251"/>
      <c r="OR111" s="1251"/>
      <c r="OS111" s="1251"/>
      <c r="OT111" s="1251"/>
      <c r="OU111" s="1251"/>
      <c r="OV111" s="1251"/>
      <c r="OW111" s="1251"/>
      <c r="OX111" s="1251"/>
      <c r="OY111" s="1251"/>
      <c r="OZ111" s="1251"/>
      <c r="PA111" s="1251"/>
      <c r="PB111" s="1251"/>
      <c r="PC111" s="1251"/>
      <c r="PD111" s="1251"/>
      <c r="PE111" s="1251"/>
      <c r="PF111" s="1251"/>
      <c r="PG111" s="1251"/>
      <c r="PH111" s="1251"/>
      <c r="PI111" s="1251"/>
      <c r="PJ111" s="1251"/>
      <c r="PK111" s="1251"/>
      <c r="PL111" s="1251"/>
      <c r="PM111" s="1251"/>
      <c r="PN111" s="1251"/>
      <c r="PO111" s="1251"/>
      <c r="PP111" s="1251"/>
      <c r="PQ111" s="1251"/>
      <c r="PR111" s="1251"/>
      <c r="PS111" s="1251"/>
      <c r="PT111" s="1251"/>
      <c r="PU111" s="1251"/>
      <c r="PV111" s="1251"/>
      <c r="PW111" s="1251"/>
      <c r="PX111" s="1251"/>
      <c r="PY111" s="1251"/>
      <c r="PZ111" s="1251"/>
      <c r="QA111" s="1251"/>
      <c r="QB111" s="1251"/>
      <c r="QC111" s="1251"/>
      <c r="QD111" s="1251"/>
      <c r="QE111" s="1251"/>
      <c r="QF111" s="1251"/>
      <c r="QG111" s="1251"/>
      <c r="QH111" s="1251"/>
      <c r="QI111" s="1251"/>
      <c r="QJ111" s="1251"/>
      <c r="QK111" s="1251"/>
      <c r="QL111" s="1251"/>
      <c r="QM111" s="1251"/>
      <c r="QN111" s="1251"/>
      <c r="QO111" s="1251"/>
      <c r="QP111" s="1251"/>
      <c r="QQ111" s="1251"/>
      <c r="QR111" s="1251"/>
      <c r="QS111" s="1251"/>
      <c r="QT111" s="1251"/>
      <c r="QU111" s="1251"/>
      <c r="QV111" s="1251"/>
      <c r="QW111" s="1251"/>
      <c r="QX111" s="1251"/>
      <c r="QY111" s="1251"/>
      <c r="QZ111" s="1251"/>
      <c r="RA111" s="1251"/>
      <c r="RB111" s="1251"/>
      <c r="RC111" s="1251"/>
      <c r="RD111" s="1251"/>
      <c r="RE111" s="1251"/>
      <c r="RF111" s="1251"/>
      <c r="RG111" s="1251"/>
      <c r="RH111" s="1251"/>
      <c r="RI111" s="1251"/>
      <c r="RJ111" s="1251"/>
      <c r="RK111" s="1251"/>
      <c r="RL111" s="1251"/>
      <c r="RM111" s="1251"/>
      <c r="RN111" s="1251"/>
      <c r="RO111" s="1251"/>
      <c r="RP111" s="1251"/>
      <c r="RQ111" s="1251"/>
      <c r="RR111" s="1251"/>
      <c r="RS111" s="1251"/>
      <c r="RT111" s="1251"/>
      <c r="RU111" s="1251"/>
      <c r="RV111" s="1251"/>
      <c r="RW111" s="1251"/>
      <c r="RX111" s="1251"/>
      <c r="RY111" s="1251"/>
      <c r="RZ111" s="1251"/>
      <c r="SA111" s="1251"/>
      <c r="SB111" s="1251"/>
      <c r="SC111" s="1251"/>
      <c r="SD111" s="1251"/>
      <c r="SE111" s="1251"/>
      <c r="SF111" s="1251"/>
      <c r="SG111" s="1251"/>
      <c r="SH111" s="1251"/>
      <c r="SI111" s="1251"/>
      <c r="SJ111" s="1251"/>
      <c r="SK111" s="1251"/>
      <c r="SL111" s="1251"/>
      <c r="SM111" s="1251"/>
      <c r="SN111" s="1251"/>
      <c r="SO111" s="1251"/>
      <c r="SP111" s="1251"/>
      <c r="SQ111" s="1251"/>
      <c r="SR111" s="1251"/>
      <c r="SS111" s="1251"/>
      <c r="ST111" s="1251"/>
      <c r="SU111" s="1251"/>
      <c r="SV111" s="1251"/>
      <c r="SW111" s="1251"/>
      <c r="SX111" s="1251"/>
      <c r="SY111" s="1251"/>
      <c r="SZ111" s="1251"/>
      <c r="TA111" s="1251"/>
      <c r="TB111" s="1251"/>
      <c r="TC111" s="1251"/>
      <c r="TD111" s="1251"/>
      <c r="TE111" s="1251"/>
      <c r="TF111" s="1251"/>
      <c r="TG111" s="1251"/>
      <c r="TH111" s="1251"/>
      <c r="TI111" s="1251"/>
      <c r="TJ111" s="1251"/>
      <c r="TK111" s="1251"/>
      <c r="TL111" s="1251"/>
      <c r="TM111" s="1251"/>
      <c r="TN111" s="1251"/>
      <c r="TO111" s="1251"/>
      <c r="TP111" s="1251"/>
      <c r="TQ111" s="1251"/>
      <c r="TR111" s="1251"/>
      <c r="TS111" s="1251"/>
      <c r="TT111" s="1251"/>
      <c r="TU111" s="1251"/>
      <c r="TV111" s="1251"/>
      <c r="TW111" s="1251"/>
      <c r="TX111" s="1251"/>
      <c r="TY111" s="1251"/>
      <c r="TZ111" s="1251"/>
      <c r="UA111" s="1251"/>
      <c r="UB111" s="1251"/>
      <c r="UC111" s="1251"/>
      <c r="UD111" s="1251"/>
      <c r="UE111" s="1251"/>
      <c r="UF111" s="1251"/>
      <c r="UG111" s="1251"/>
      <c r="UH111" s="1251"/>
      <c r="UI111" s="1251"/>
      <c r="UJ111" s="1251"/>
      <c r="UK111" s="1251"/>
      <c r="UL111" s="1251"/>
      <c r="UM111" s="1251"/>
      <c r="UN111" s="1251"/>
      <c r="UO111" s="1251"/>
      <c r="UP111" s="1251"/>
      <c r="UQ111" s="1251"/>
      <c r="UR111" s="1251"/>
      <c r="US111" s="1251"/>
      <c r="UT111" s="1251"/>
      <c r="UU111" s="1251"/>
      <c r="UV111" s="1251"/>
      <c r="UW111" s="1251"/>
      <c r="UX111" s="1251"/>
      <c r="UY111" s="1251"/>
      <c r="UZ111" s="1251"/>
      <c r="VA111" s="1251"/>
      <c r="VB111" s="1251"/>
      <c r="VC111" s="1251"/>
      <c r="VD111" s="1251"/>
      <c r="VE111" s="1251"/>
      <c r="VF111" s="1251"/>
      <c r="VG111" s="1251"/>
      <c r="VH111" s="1251"/>
      <c r="VI111" s="1251"/>
      <c r="VJ111" s="1251"/>
      <c r="VK111" s="1251"/>
      <c r="VL111" s="1251"/>
      <c r="VM111" s="1251"/>
      <c r="VN111" s="1251"/>
      <c r="VO111" s="1251"/>
      <c r="VP111" s="1251"/>
      <c r="VQ111" s="1251"/>
      <c r="VR111" s="1251"/>
      <c r="VS111" s="1251"/>
      <c r="VT111" s="1251"/>
      <c r="VU111" s="1251"/>
      <c r="VV111" s="1251"/>
      <c r="VW111" s="1251"/>
      <c r="VX111" s="1251"/>
      <c r="VY111" s="1251"/>
      <c r="VZ111" s="1251"/>
      <c r="WA111" s="1251"/>
      <c r="WB111" s="1251"/>
      <c r="WC111" s="1251"/>
      <c r="WD111" s="1251"/>
      <c r="WE111" s="1251"/>
      <c r="WF111" s="1251"/>
      <c r="WG111" s="1251"/>
      <c r="WH111" s="1251"/>
      <c r="WI111" s="1251"/>
      <c r="WJ111" s="1251"/>
      <c r="WK111" s="1251"/>
      <c r="WL111" s="1251"/>
      <c r="WM111" s="1251"/>
      <c r="WN111" s="1251"/>
      <c r="WO111" s="1251"/>
      <c r="WP111" s="1251"/>
      <c r="WQ111" s="1251"/>
      <c r="WR111" s="1251"/>
      <c r="WS111" s="1251"/>
      <c r="WT111" s="1251"/>
      <c r="WU111" s="1251"/>
      <c r="WV111" s="1251"/>
      <c r="WW111" s="1251"/>
      <c r="WX111" s="1251"/>
      <c r="WY111" s="1251"/>
      <c r="WZ111" s="1251"/>
      <c r="XA111" s="1251"/>
      <c r="XB111" s="1251"/>
      <c r="XC111" s="1251"/>
      <c r="XD111" s="1251"/>
      <c r="XE111" s="1251"/>
      <c r="XF111" s="1251"/>
      <c r="XG111" s="1251"/>
      <c r="XH111" s="1251"/>
      <c r="XI111" s="1251"/>
      <c r="XJ111" s="1251"/>
      <c r="XK111" s="1251"/>
      <c r="XL111" s="1251"/>
      <c r="XM111" s="1251"/>
      <c r="XN111" s="1251"/>
      <c r="XO111" s="1251"/>
      <c r="XP111" s="1251"/>
      <c r="XQ111" s="1251"/>
      <c r="XR111" s="1251"/>
      <c r="XS111" s="1251"/>
      <c r="XT111" s="1251"/>
      <c r="XU111" s="1251"/>
      <c r="XV111" s="1251"/>
      <c r="XW111" s="1251"/>
      <c r="XX111" s="1251"/>
      <c r="XY111" s="1251"/>
      <c r="XZ111" s="1251"/>
      <c r="YA111" s="1251"/>
      <c r="YB111" s="1251"/>
      <c r="YC111" s="1251"/>
      <c r="YD111" s="1251"/>
      <c r="YE111" s="1251"/>
      <c r="YF111" s="1251"/>
      <c r="YG111" s="1251"/>
      <c r="YH111" s="1251"/>
      <c r="YI111" s="1251"/>
      <c r="YJ111" s="1251"/>
      <c r="YK111" s="1251"/>
      <c r="YL111" s="1251"/>
      <c r="YM111" s="1251"/>
      <c r="YN111" s="1251"/>
      <c r="YO111" s="1251"/>
      <c r="YP111" s="1251"/>
      <c r="YQ111" s="1251"/>
      <c r="YR111" s="1251"/>
      <c r="YS111" s="1251"/>
      <c r="YT111" s="1251"/>
      <c r="YU111" s="1251"/>
      <c r="YV111" s="1251"/>
      <c r="YW111" s="1251"/>
      <c r="YX111" s="1251"/>
      <c r="YY111" s="1251"/>
      <c r="YZ111" s="1251"/>
      <c r="ZA111" s="1251"/>
      <c r="ZB111" s="1251"/>
      <c r="ZC111" s="1251"/>
      <c r="ZD111" s="1251"/>
      <c r="ZE111" s="1251"/>
      <c r="ZF111" s="1251"/>
      <c r="ZG111" s="1251"/>
      <c r="ZH111" s="1251"/>
      <c r="ZI111" s="1251"/>
      <c r="ZJ111" s="1251"/>
      <c r="ZK111" s="1251"/>
      <c r="ZL111" s="1251"/>
      <c r="ZM111" s="1251"/>
      <c r="ZN111" s="1251"/>
      <c r="ZO111" s="1251"/>
      <c r="ZP111" s="1251"/>
      <c r="ZQ111" s="1251"/>
      <c r="ZR111" s="1251"/>
      <c r="ZS111" s="1251"/>
      <c r="ZT111" s="1251"/>
      <c r="ZU111" s="1251"/>
      <c r="ZV111" s="1251"/>
      <c r="ZW111" s="1251"/>
      <c r="ZX111" s="1251"/>
      <c r="ZY111" s="1251"/>
      <c r="ZZ111" s="1251"/>
      <c r="AAA111" s="1251"/>
      <c r="AAB111" s="1251"/>
      <c r="AAC111" s="1251"/>
      <c r="AAD111" s="1251"/>
      <c r="AAE111" s="1251"/>
      <c r="AAF111" s="1251"/>
      <c r="AAG111" s="1251"/>
      <c r="AAH111" s="1251"/>
      <c r="AAI111" s="1251"/>
      <c r="AAJ111" s="1251"/>
      <c r="AAK111" s="1251"/>
      <c r="AAL111" s="1251"/>
      <c r="AAM111" s="1251"/>
      <c r="AAN111" s="1251"/>
      <c r="AAO111" s="1251"/>
      <c r="AAP111" s="1251"/>
      <c r="AAQ111" s="1251"/>
      <c r="AAR111" s="1251"/>
      <c r="AAS111" s="1251"/>
      <c r="AAT111" s="1251"/>
      <c r="AAU111" s="1251"/>
      <c r="AAV111" s="1251"/>
      <c r="AAW111" s="1251"/>
      <c r="AAX111" s="1251"/>
      <c r="AAY111" s="1251"/>
      <c r="AAZ111" s="1251"/>
      <c r="ABA111" s="1251"/>
      <c r="ABB111" s="1251"/>
      <c r="ABC111" s="1251"/>
      <c r="ABD111" s="1251"/>
      <c r="ABE111" s="1251"/>
      <c r="ABF111" s="1251"/>
      <c r="ABG111" s="1251"/>
      <c r="ABH111" s="1251"/>
      <c r="ABI111" s="1251"/>
      <c r="ABJ111" s="1251"/>
      <c r="ABK111" s="1251"/>
      <c r="ABL111" s="1251"/>
      <c r="ABM111" s="1251"/>
      <c r="ABN111" s="1251"/>
      <c r="ABO111" s="1251"/>
      <c r="ABP111" s="1251"/>
      <c r="ABQ111" s="1251"/>
      <c r="ABR111" s="1251"/>
      <c r="ABS111" s="1251"/>
      <c r="ABT111" s="1251"/>
      <c r="ABU111" s="1251"/>
      <c r="ABV111" s="1251"/>
      <c r="ABW111" s="1251"/>
      <c r="ABX111" s="1251"/>
      <c r="ABY111" s="1251"/>
      <c r="ABZ111" s="1251"/>
      <c r="ACA111" s="1251"/>
      <c r="ACB111" s="1251"/>
      <c r="ACC111" s="1251"/>
      <c r="ACD111" s="1251"/>
      <c r="ACE111" s="1251"/>
      <c r="ACF111" s="1251"/>
      <c r="ACG111" s="1251"/>
      <c r="ACH111" s="1251"/>
      <c r="ACI111" s="1251"/>
      <c r="ACJ111" s="1251"/>
      <c r="ACK111" s="1251"/>
      <c r="ACL111" s="1251"/>
      <c r="ACM111" s="1251"/>
      <c r="ACN111" s="1251"/>
      <c r="ACO111" s="1251"/>
      <c r="ACP111" s="1251"/>
      <c r="ACQ111" s="1251"/>
      <c r="ACR111" s="1251"/>
      <c r="ACS111" s="1251"/>
      <c r="ACT111" s="1251"/>
      <c r="ACU111" s="1251"/>
      <c r="ACV111" s="1251"/>
      <c r="ACW111" s="1251"/>
      <c r="ACX111" s="1251"/>
      <c r="ACY111" s="1251"/>
      <c r="ACZ111" s="1251"/>
      <c r="ADA111" s="1251"/>
      <c r="ADB111" s="1251"/>
      <c r="ADC111" s="1251"/>
      <c r="ADD111" s="1251"/>
      <c r="ADE111" s="1251"/>
      <c r="ADF111" s="1251"/>
      <c r="ADG111" s="1251"/>
      <c r="ADH111" s="1251"/>
      <c r="ADI111" s="1251"/>
      <c r="ADJ111" s="1251"/>
      <c r="ADK111" s="1251"/>
      <c r="ADL111" s="1251"/>
      <c r="ADM111" s="1251"/>
      <c r="ADN111" s="1251"/>
      <c r="ADO111" s="1251"/>
      <c r="ADP111" s="1251"/>
      <c r="ADQ111" s="1251"/>
      <c r="ADR111" s="1251"/>
      <c r="ADS111" s="1251"/>
      <c r="ADT111" s="1251"/>
      <c r="ADU111" s="1251"/>
      <c r="ADV111" s="1251"/>
      <c r="ADW111" s="1251"/>
      <c r="ADX111" s="1251"/>
      <c r="ADY111" s="1251"/>
      <c r="ADZ111" s="1251"/>
      <c r="AEA111" s="1251"/>
      <c r="AEB111" s="1251"/>
      <c r="AEC111" s="1251"/>
      <c r="AED111" s="1251"/>
      <c r="AEE111" s="1251"/>
      <c r="AEF111" s="1251"/>
      <c r="AEG111" s="1251"/>
      <c r="AEH111" s="1251"/>
      <c r="AEI111" s="1251"/>
      <c r="AEJ111" s="1251"/>
      <c r="AEK111" s="1251"/>
      <c r="AEL111" s="1251"/>
      <c r="AEM111" s="1251"/>
      <c r="AEN111" s="1251"/>
      <c r="AEO111" s="1251"/>
      <c r="AEP111" s="1251"/>
      <c r="AEQ111" s="1251"/>
      <c r="AER111" s="1251"/>
      <c r="AES111" s="1251"/>
      <c r="AET111" s="1251"/>
      <c r="AEU111" s="1251"/>
      <c r="AEV111" s="1251"/>
      <c r="AEW111" s="1251"/>
      <c r="AEX111" s="1251"/>
      <c r="AEY111" s="1251"/>
      <c r="AEZ111" s="1251"/>
      <c r="AFA111" s="1251"/>
      <c r="AFB111" s="1251"/>
      <c r="AFC111" s="1251"/>
      <c r="AFD111" s="1251"/>
      <c r="AFE111" s="1251"/>
      <c r="AFF111" s="1251"/>
      <c r="AFG111" s="1251"/>
      <c r="AFH111" s="1251"/>
      <c r="AFI111" s="1251"/>
      <c r="AFJ111" s="1251"/>
      <c r="AFK111" s="1251"/>
      <c r="AFL111" s="1251"/>
      <c r="AFM111" s="1251"/>
      <c r="AFN111" s="1251"/>
      <c r="AFO111" s="1251"/>
      <c r="AFP111" s="1251"/>
      <c r="AFQ111" s="1251"/>
      <c r="AFR111" s="1251"/>
      <c r="AFS111" s="1251"/>
      <c r="AFT111" s="1251"/>
      <c r="AFU111" s="1251"/>
      <c r="AFV111" s="1251"/>
      <c r="AFW111" s="1251"/>
      <c r="AFX111" s="1251"/>
      <c r="AFY111" s="1251"/>
      <c r="AFZ111" s="1251"/>
      <c r="AGA111" s="1251"/>
      <c r="AGB111" s="1251"/>
      <c r="AGC111" s="1251"/>
      <c r="AGD111" s="1251"/>
      <c r="AGE111" s="1251"/>
      <c r="AGF111" s="1251"/>
      <c r="AGG111" s="1251"/>
      <c r="AGH111" s="1251"/>
      <c r="AGI111" s="1251"/>
      <c r="AGJ111" s="1251"/>
      <c r="AGK111" s="1251"/>
      <c r="AGL111" s="1251"/>
      <c r="AGM111" s="1251"/>
      <c r="AGN111" s="1251"/>
      <c r="AGO111" s="1251"/>
      <c r="AGP111" s="1251"/>
      <c r="AGQ111" s="1251"/>
      <c r="AGR111" s="1251"/>
      <c r="AGS111" s="1251"/>
      <c r="AGT111" s="1251"/>
      <c r="AGU111" s="1251"/>
      <c r="AGV111" s="1251"/>
      <c r="AGW111" s="1251"/>
      <c r="AGX111" s="1251"/>
      <c r="AGY111" s="1251"/>
      <c r="AGZ111" s="1251"/>
      <c r="AHA111" s="1251"/>
      <c r="AHB111" s="1251"/>
      <c r="AHC111" s="1251"/>
      <c r="AHD111" s="1251"/>
      <c r="AHE111" s="1251"/>
      <c r="AHF111" s="1251"/>
      <c r="AHG111" s="1251"/>
      <c r="AHH111" s="1251"/>
      <c r="AHI111" s="1251"/>
      <c r="AHJ111" s="1251"/>
      <c r="AHK111" s="1251"/>
      <c r="AHL111" s="1251"/>
      <c r="AHM111" s="1251"/>
      <c r="AHN111" s="1251"/>
      <c r="AHO111" s="1251"/>
      <c r="AHP111" s="1251"/>
      <c r="AHQ111" s="1251"/>
      <c r="AHR111" s="1251"/>
      <c r="AHS111" s="1251"/>
      <c r="AHT111" s="1251"/>
      <c r="AHU111" s="1251"/>
      <c r="AHV111" s="1251"/>
      <c r="AHW111" s="1251"/>
      <c r="AHX111" s="1251"/>
      <c r="AHY111" s="1251"/>
      <c r="AHZ111" s="1251"/>
      <c r="AIA111" s="1251"/>
      <c r="AIB111" s="1251"/>
      <c r="AIC111" s="1251"/>
      <c r="AID111" s="1251"/>
      <c r="AIE111" s="1251"/>
      <c r="AIF111" s="1251"/>
      <c r="AIG111" s="1251"/>
      <c r="AIH111" s="1251"/>
      <c r="AII111" s="1251"/>
      <c r="AIJ111" s="1251"/>
      <c r="AIK111" s="1251"/>
      <c r="AIL111" s="1251"/>
      <c r="AIM111" s="1251"/>
      <c r="AIN111" s="1251"/>
      <c r="AIO111" s="1251"/>
      <c r="AIP111" s="1251"/>
      <c r="AIQ111" s="1251"/>
      <c r="AIR111" s="1251"/>
      <c r="AIS111" s="1251"/>
      <c r="AIT111" s="1251"/>
      <c r="AIU111" s="1251"/>
      <c r="AIV111" s="1251"/>
      <c r="AIW111" s="1251"/>
      <c r="AIX111" s="1251"/>
      <c r="AIY111" s="1251"/>
      <c r="AIZ111" s="1251"/>
      <c r="AJA111" s="1251"/>
      <c r="AJB111" s="1251"/>
      <c r="AJC111" s="1251"/>
      <c r="AJD111" s="1251"/>
      <c r="AJE111" s="1251"/>
      <c r="AJF111" s="1251"/>
      <c r="AJG111" s="1251"/>
      <c r="AJH111" s="1251"/>
      <c r="AJI111" s="1251"/>
      <c r="AJJ111" s="1251"/>
      <c r="AJK111" s="1251"/>
      <c r="AJL111" s="1251"/>
      <c r="AJM111" s="1251"/>
      <c r="AJN111" s="1251"/>
      <c r="AJO111" s="1251"/>
      <c r="AJP111" s="1251"/>
      <c r="AJQ111" s="1251"/>
      <c r="AJR111" s="1251"/>
      <c r="AJS111" s="1251"/>
      <c r="AJT111" s="1251"/>
      <c r="AJU111" s="1251"/>
      <c r="AJV111" s="1251"/>
      <c r="AJW111" s="1251"/>
      <c r="AJX111" s="1251"/>
      <c r="AJY111" s="1251"/>
      <c r="AJZ111" s="1251"/>
      <c r="AKA111" s="1251"/>
      <c r="AKB111" s="1251"/>
      <c r="AKC111" s="1251"/>
      <c r="AKD111" s="1251"/>
      <c r="AKE111" s="1251"/>
      <c r="AKF111" s="1251"/>
      <c r="AKG111" s="1251"/>
      <c r="AKH111" s="1251"/>
      <c r="AKI111" s="1251"/>
      <c r="AKJ111" s="1251"/>
      <c r="AKK111" s="1251"/>
      <c r="AKL111" s="1251"/>
      <c r="AKM111" s="1251"/>
      <c r="AKN111" s="1251"/>
      <c r="AKO111" s="1251"/>
      <c r="AKP111" s="1251"/>
      <c r="AKQ111" s="1251"/>
      <c r="AKR111" s="1251"/>
      <c r="AKS111" s="1251"/>
      <c r="AKT111" s="1251"/>
      <c r="AKU111" s="1251"/>
      <c r="AKV111" s="1251"/>
      <c r="AKW111" s="1251"/>
      <c r="AKX111" s="1251"/>
      <c r="AKY111" s="1251"/>
      <c r="AKZ111" s="1251"/>
      <c r="ALA111" s="1251"/>
      <c r="ALB111" s="1251"/>
      <c r="ALC111" s="1251"/>
      <c r="ALD111" s="1251"/>
      <c r="ALE111" s="1251"/>
      <c r="ALF111" s="1251"/>
      <c r="ALG111" s="1251"/>
      <c r="ALH111" s="1251"/>
      <c r="ALI111" s="1251"/>
      <c r="ALJ111" s="1251"/>
      <c r="ALK111" s="1251"/>
      <c r="ALL111" s="1251"/>
      <c r="ALM111" s="1251"/>
      <c r="ALN111" s="1251"/>
      <c r="ALO111" s="1251"/>
      <c r="ALP111" s="1251"/>
      <c r="ALQ111" s="1251"/>
      <c r="ALR111" s="1251"/>
      <c r="ALS111" s="1251"/>
      <c r="ALT111" s="1251"/>
      <c r="ALU111" s="1251"/>
      <c r="ALV111" s="1251"/>
      <c r="ALW111" s="1251"/>
      <c r="ALX111" s="1251"/>
      <c r="ALY111" s="1251"/>
      <c r="ALZ111" s="1251"/>
      <c r="AMA111" s="1251"/>
      <c r="AMB111" s="1251"/>
      <c r="AMC111" s="1251"/>
      <c r="AMD111" s="1251"/>
      <c r="AME111" s="1251"/>
      <c r="AMF111" s="1251"/>
      <c r="AMG111" s="1251"/>
      <c r="AMH111" s="1251"/>
      <c r="AMI111" s="1251"/>
      <c r="AMJ111" s="1251"/>
      <c r="AMK111" s="1251"/>
      <c r="AML111" s="1251"/>
      <c r="AMM111" s="1251"/>
      <c r="AMN111" s="1251"/>
      <c r="AMO111" s="1251"/>
      <c r="AMP111" s="1251"/>
      <c r="AMQ111" s="1251"/>
      <c r="AMR111" s="1251"/>
      <c r="AMS111" s="1251"/>
      <c r="AMT111" s="1251"/>
      <c r="AMU111" s="1251"/>
      <c r="AMV111" s="1251"/>
      <c r="AMW111" s="1251"/>
      <c r="AMX111" s="1251"/>
      <c r="AMY111" s="1251"/>
      <c r="AMZ111" s="1251"/>
      <c r="ANA111" s="1251"/>
      <c r="ANB111" s="1251"/>
      <c r="ANC111" s="1251"/>
      <c r="AND111" s="1251"/>
      <c r="ANE111" s="1251"/>
      <c r="ANF111" s="1251"/>
      <c r="ANG111" s="1251"/>
      <c r="ANH111" s="1251"/>
      <c r="ANI111" s="1251"/>
      <c r="ANJ111" s="1251"/>
      <c r="ANK111" s="1251"/>
      <c r="ANL111" s="1251"/>
      <c r="ANM111" s="1251"/>
      <c r="ANN111" s="1251"/>
      <c r="ANO111" s="1251"/>
      <c r="ANP111" s="1251"/>
      <c r="ANQ111" s="1251"/>
      <c r="ANR111" s="1251"/>
      <c r="ANS111" s="1251"/>
      <c r="ANT111" s="1251"/>
      <c r="ANU111" s="1251"/>
      <c r="ANV111" s="1251"/>
      <c r="ANW111" s="1251"/>
      <c r="ANX111" s="1251"/>
      <c r="ANY111" s="1251"/>
      <c r="ANZ111" s="1251"/>
      <c r="AOA111" s="1251"/>
      <c r="AOB111" s="1251"/>
      <c r="AOC111" s="1251"/>
      <c r="AOD111" s="1251"/>
      <c r="AOE111" s="1251"/>
      <c r="AOF111" s="1251"/>
      <c r="AOG111" s="1251"/>
      <c r="AOH111" s="1251"/>
      <c r="AOI111" s="1251"/>
      <c r="AOJ111" s="1251"/>
      <c r="AOK111" s="1251"/>
      <c r="AOL111" s="1251"/>
      <c r="AOM111" s="1251"/>
      <c r="AON111" s="1251"/>
      <c r="AOO111" s="1251"/>
      <c r="AOP111" s="1251"/>
      <c r="AOQ111" s="1251"/>
      <c r="AOR111" s="1251"/>
      <c r="AOS111" s="1251"/>
      <c r="AOT111" s="1251"/>
      <c r="AOU111" s="1251"/>
      <c r="AOV111" s="1251"/>
      <c r="AOW111" s="1251"/>
      <c r="AOX111" s="1251"/>
      <c r="AOY111" s="1251"/>
      <c r="AOZ111" s="1251"/>
      <c r="APA111" s="1251"/>
      <c r="APB111" s="1251"/>
      <c r="APC111" s="1251"/>
      <c r="APD111" s="1251"/>
      <c r="APE111" s="1251"/>
      <c r="APF111" s="1251"/>
      <c r="APG111" s="1251"/>
      <c r="APH111" s="1251"/>
      <c r="API111" s="1251"/>
      <c r="APJ111" s="1251"/>
      <c r="APK111" s="1251"/>
      <c r="APL111" s="1251"/>
      <c r="APM111" s="1251"/>
      <c r="APN111" s="1251"/>
      <c r="APO111" s="1251"/>
      <c r="APP111" s="1251"/>
      <c r="APQ111" s="1251"/>
      <c r="APR111" s="1251"/>
      <c r="APS111" s="1251"/>
      <c r="APT111" s="1251"/>
      <c r="APU111" s="1251"/>
      <c r="APV111" s="1251"/>
      <c r="APW111" s="1251"/>
      <c r="APX111" s="1251"/>
      <c r="APY111" s="1251"/>
      <c r="APZ111" s="1251"/>
      <c r="AQA111" s="1251"/>
      <c r="AQB111" s="1251"/>
      <c r="AQC111" s="1251"/>
      <c r="AQD111" s="1251"/>
      <c r="AQE111" s="1251"/>
      <c r="AQF111" s="1251"/>
      <c r="AQG111" s="1251"/>
      <c r="AQH111" s="1251"/>
      <c r="AQI111" s="1251"/>
      <c r="AQJ111" s="1251"/>
      <c r="AQK111" s="1251"/>
      <c r="AQL111" s="1251"/>
      <c r="AQM111" s="1251"/>
      <c r="AQN111" s="1251"/>
      <c r="AQO111" s="1251"/>
      <c r="AQP111" s="1251"/>
      <c r="AQQ111" s="1251"/>
      <c r="AQR111" s="1251"/>
      <c r="AQS111" s="1251"/>
      <c r="AQT111" s="1251"/>
      <c r="AQU111" s="1251"/>
      <c r="AQV111" s="1251"/>
      <c r="AQW111" s="1251"/>
      <c r="AQX111" s="1251"/>
      <c r="AQY111" s="1251"/>
      <c r="AQZ111" s="1251"/>
      <c r="ARA111" s="1251"/>
      <c r="ARB111" s="1251"/>
      <c r="ARC111" s="1251"/>
      <c r="ARD111" s="1251"/>
      <c r="ARE111" s="1251"/>
      <c r="ARF111" s="1251"/>
      <c r="ARG111" s="1251"/>
      <c r="ARH111" s="1251"/>
      <c r="ARI111" s="1251"/>
      <c r="ARJ111" s="1251"/>
      <c r="ARK111" s="1251"/>
      <c r="ARL111" s="1251"/>
      <c r="ARM111" s="1251"/>
      <c r="ARN111" s="1251"/>
      <c r="ARO111" s="1251"/>
      <c r="ARP111" s="1251"/>
      <c r="ARQ111" s="1251"/>
      <c r="ARR111" s="1251"/>
      <c r="ARS111" s="1251"/>
      <c r="ART111" s="1251"/>
      <c r="ARU111" s="1251"/>
      <c r="ARV111" s="1251"/>
      <c r="ARW111" s="1251"/>
      <c r="ARX111" s="1251"/>
      <c r="ARY111" s="1251"/>
      <c r="ARZ111" s="1251"/>
      <c r="ASA111" s="1251"/>
      <c r="ASB111" s="1251"/>
      <c r="ASC111" s="1251"/>
      <c r="ASD111" s="1251"/>
      <c r="ASE111" s="1251"/>
      <c r="ASF111" s="1251"/>
      <c r="ASG111" s="1251"/>
      <c r="ASH111" s="1251"/>
      <c r="ASI111" s="1251"/>
      <c r="ASJ111" s="1251"/>
      <c r="ASK111" s="1251"/>
      <c r="ASL111" s="1251"/>
      <c r="ASM111" s="1251"/>
      <c r="ASN111" s="1251"/>
      <c r="ASO111" s="1251"/>
      <c r="ASP111" s="1251"/>
      <c r="ASQ111" s="1251"/>
      <c r="ASR111" s="1251"/>
      <c r="ASS111" s="1251"/>
      <c r="AST111" s="1251"/>
      <c r="ASU111" s="1251"/>
      <c r="ASV111" s="1251"/>
      <c r="ASW111" s="1251"/>
      <c r="ASX111" s="1251"/>
      <c r="ASY111" s="1251"/>
      <c r="ASZ111" s="1251"/>
      <c r="ATA111" s="1251"/>
      <c r="ATB111" s="1251"/>
      <c r="ATC111" s="1251"/>
      <c r="ATD111" s="1251"/>
      <c r="ATE111" s="1251"/>
      <c r="ATF111" s="1251"/>
      <c r="ATG111" s="1251"/>
      <c r="ATH111" s="1251"/>
      <c r="ATI111" s="1251"/>
      <c r="ATJ111" s="1251"/>
      <c r="ATK111" s="1251"/>
      <c r="ATL111" s="1251"/>
      <c r="ATM111" s="1251"/>
      <c r="ATN111" s="1251"/>
      <c r="ATO111" s="1251"/>
      <c r="ATP111" s="1251"/>
      <c r="ATQ111" s="1251"/>
      <c r="ATR111" s="1251"/>
      <c r="ATS111" s="1251"/>
      <c r="ATT111" s="1251"/>
      <c r="ATU111" s="1251"/>
      <c r="ATV111" s="1251"/>
      <c r="ATW111" s="1251"/>
      <c r="ATX111" s="1251"/>
      <c r="ATY111" s="1251"/>
      <c r="ATZ111" s="1251"/>
      <c r="AUA111" s="1251"/>
      <c r="AUB111" s="1251"/>
      <c r="AUC111" s="1251"/>
      <c r="AUD111" s="1251"/>
      <c r="AUE111" s="1251"/>
      <c r="AUF111" s="1251"/>
      <c r="AUG111" s="1251"/>
      <c r="AUH111" s="1251"/>
      <c r="AUI111" s="1251"/>
      <c r="AUJ111" s="1251"/>
      <c r="AUK111" s="1251"/>
      <c r="AUL111" s="1251"/>
      <c r="AUM111" s="1251"/>
      <c r="AUN111" s="1251"/>
      <c r="AUO111" s="1251"/>
      <c r="AUP111" s="1251"/>
      <c r="AUQ111" s="1251"/>
      <c r="AUR111" s="1251"/>
      <c r="AUS111" s="1251"/>
      <c r="AUT111" s="1251"/>
      <c r="AUU111" s="1251"/>
      <c r="AUV111" s="1251"/>
      <c r="AUW111" s="1251"/>
      <c r="AUX111" s="1251"/>
      <c r="AUY111" s="1251"/>
      <c r="AUZ111" s="1251"/>
      <c r="AVA111" s="1251"/>
      <c r="AVB111" s="1251"/>
      <c r="AVC111" s="1251"/>
      <c r="AVD111" s="1251"/>
      <c r="AVE111" s="1251"/>
      <c r="AVF111" s="1251"/>
      <c r="AVG111" s="1251"/>
      <c r="AVH111" s="1251"/>
      <c r="AVI111" s="1251"/>
      <c r="AVJ111" s="1251"/>
      <c r="AVK111" s="1251"/>
      <c r="AVL111" s="1251"/>
      <c r="AVM111" s="1251"/>
      <c r="AVN111" s="1251"/>
      <c r="AVO111" s="1251"/>
      <c r="AVP111" s="1251"/>
      <c r="AVQ111" s="1251"/>
      <c r="AVR111" s="1251"/>
      <c r="AVS111" s="1251"/>
      <c r="AVT111" s="1251"/>
      <c r="AVU111" s="1251"/>
      <c r="AVV111" s="1251"/>
      <c r="AVW111" s="1251"/>
      <c r="AVX111" s="1251"/>
      <c r="AVY111" s="1251"/>
      <c r="AVZ111" s="1251"/>
      <c r="AWA111" s="1251"/>
      <c r="AWB111" s="1251"/>
      <c r="AWC111" s="1251"/>
      <c r="AWD111" s="1251"/>
      <c r="AWE111" s="1251"/>
      <c r="AWF111" s="1251"/>
      <c r="AWG111" s="1251"/>
      <c r="AWH111" s="1251"/>
      <c r="AWI111" s="1251"/>
      <c r="AWJ111" s="1251"/>
      <c r="AWK111" s="1251"/>
      <c r="AWL111" s="1251"/>
      <c r="AWM111" s="1251"/>
      <c r="AWN111" s="1251"/>
      <c r="AWO111" s="1251"/>
      <c r="AWP111" s="1251"/>
      <c r="AWQ111" s="1251"/>
      <c r="AWR111" s="1251"/>
      <c r="AWS111" s="1251"/>
      <c r="AWT111" s="1251"/>
      <c r="AWU111" s="1251"/>
      <c r="AWV111" s="1251"/>
      <c r="AWW111" s="1251"/>
      <c r="AWX111" s="1251"/>
      <c r="AWY111" s="1251"/>
      <c r="AWZ111" s="1251"/>
      <c r="AXA111" s="1251"/>
      <c r="AXB111" s="1251"/>
      <c r="AXC111" s="1251"/>
      <c r="AXD111" s="1251"/>
      <c r="AXE111" s="1251"/>
      <c r="AXF111" s="1251"/>
      <c r="AXG111" s="1251"/>
      <c r="AXH111" s="1251"/>
      <c r="AXI111" s="1251"/>
      <c r="AXJ111" s="1251"/>
      <c r="AXK111" s="1251"/>
      <c r="AXL111" s="1251"/>
      <c r="AXM111" s="1251"/>
      <c r="AXN111" s="1251"/>
      <c r="AXO111" s="1251"/>
      <c r="AXP111" s="1251"/>
      <c r="AXQ111" s="1251"/>
      <c r="AXR111" s="1251"/>
      <c r="AXS111" s="1251"/>
      <c r="AXT111" s="1251"/>
      <c r="AXU111" s="1251"/>
      <c r="AXV111" s="1251"/>
      <c r="AXW111" s="1251"/>
      <c r="AXX111" s="1251"/>
      <c r="AXY111" s="1251"/>
      <c r="AXZ111" s="1251"/>
      <c r="AYA111" s="1251"/>
      <c r="AYB111" s="1251"/>
      <c r="AYC111" s="1251"/>
      <c r="AYD111" s="1251"/>
      <c r="AYE111" s="1251"/>
      <c r="AYF111" s="1251"/>
      <c r="AYG111" s="1251"/>
      <c r="AYH111" s="1251"/>
      <c r="AYI111" s="1251"/>
      <c r="AYJ111" s="1251"/>
      <c r="AYK111" s="1251"/>
      <c r="AYL111" s="1251"/>
      <c r="AYM111" s="1251"/>
      <c r="AYN111" s="1251"/>
      <c r="AYO111" s="1251"/>
      <c r="AYP111" s="1251"/>
      <c r="AYQ111" s="1251"/>
      <c r="AYR111" s="1251"/>
      <c r="AYS111" s="1251"/>
      <c r="AYT111" s="1251"/>
      <c r="AYU111" s="1251"/>
      <c r="AYV111" s="1251"/>
      <c r="AYW111" s="1251"/>
      <c r="AYX111" s="1251"/>
      <c r="AYY111" s="1251"/>
      <c r="AYZ111" s="1251"/>
      <c r="AZA111" s="1251"/>
      <c r="AZB111" s="1251"/>
      <c r="AZC111" s="1251"/>
      <c r="AZD111" s="1251"/>
      <c r="AZE111" s="1251"/>
      <c r="AZF111" s="1251"/>
      <c r="AZG111" s="1251"/>
      <c r="AZH111" s="1251"/>
      <c r="AZI111" s="1251"/>
      <c r="AZJ111" s="1251"/>
      <c r="AZK111" s="1251"/>
      <c r="AZL111" s="1251"/>
      <c r="AZM111" s="1251"/>
      <c r="AZN111" s="1251"/>
      <c r="AZO111" s="1251"/>
      <c r="AZP111" s="1251"/>
      <c r="AZQ111" s="1251"/>
      <c r="AZR111" s="1251"/>
      <c r="AZS111" s="1251"/>
      <c r="AZT111" s="1251"/>
      <c r="AZU111" s="1251"/>
      <c r="AZV111" s="1251"/>
      <c r="AZW111" s="1251"/>
      <c r="AZX111" s="1251"/>
      <c r="AZY111" s="1251"/>
      <c r="AZZ111" s="1251"/>
      <c r="BAA111" s="1251"/>
      <c r="BAB111" s="1251"/>
      <c r="BAC111" s="1251"/>
      <c r="BAD111" s="1251"/>
      <c r="BAE111" s="1251"/>
      <c r="BAF111" s="1251"/>
      <c r="BAG111" s="1251"/>
      <c r="BAH111" s="1251"/>
      <c r="BAI111" s="1251"/>
      <c r="BAJ111" s="1251"/>
      <c r="BAK111" s="1251"/>
      <c r="BAL111" s="1251"/>
      <c r="BAM111" s="1251"/>
      <c r="BAN111" s="1251"/>
      <c r="BAO111" s="1251"/>
      <c r="BAP111" s="1251"/>
      <c r="BAQ111" s="1251"/>
      <c r="BAR111" s="1251"/>
      <c r="BAS111" s="1251"/>
      <c r="BAT111" s="1251"/>
      <c r="BAU111" s="1251"/>
      <c r="BAV111" s="1251"/>
      <c r="BAW111" s="1251"/>
      <c r="BAX111" s="1251"/>
      <c r="BAY111" s="1251"/>
      <c r="BAZ111" s="1251"/>
      <c r="BBA111" s="1251"/>
      <c r="BBB111" s="1251"/>
      <c r="BBC111" s="1251"/>
      <c r="BBD111" s="1251"/>
      <c r="BBE111" s="1251"/>
      <c r="BBF111" s="1251"/>
      <c r="BBG111" s="1251"/>
      <c r="BBH111" s="1251"/>
      <c r="BBI111" s="1251"/>
      <c r="BBJ111" s="1251"/>
      <c r="BBK111" s="1251"/>
      <c r="BBL111" s="1251"/>
      <c r="BBM111" s="1251"/>
      <c r="BBN111" s="1251"/>
      <c r="BBO111" s="1251"/>
      <c r="BBP111" s="1251"/>
      <c r="BBQ111" s="1251"/>
      <c r="BBR111" s="1251"/>
      <c r="BBS111" s="1251"/>
      <c r="BBT111" s="1251"/>
      <c r="BBU111" s="1251"/>
      <c r="BBV111" s="1251"/>
      <c r="BBW111" s="1251"/>
      <c r="BBX111" s="1251"/>
      <c r="BBY111" s="1251"/>
      <c r="BBZ111" s="1251"/>
      <c r="BCA111" s="1251"/>
      <c r="BCB111" s="1251"/>
      <c r="BCC111" s="1251"/>
      <c r="BCD111" s="1251"/>
      <c r="BCE111" s="1251"/>
      <c r="BCF111" s="1251"/>
      <c r="BCG111" s="1251"/>
      <c r="BCH111" s="1251"/>
      <c r="BCI111" s="1251"/>
      <c r="BCJ111" s="1251"/>
      <c r="BCK111" s="1251"/>
      <c r="BCL111" s="1251"/>
      <c r="BCM111" s="1251"/>
      <c r="BCN111" s="1251"/>
      <c r="BCO111" s="1251"/>
      <c r="BCP111" s="1251"/>
      <c r="BCQ111" s="1251"/>
      <c r="BCR111" s="1251"/>
      <c r="BCS111" s="1251"/>
      <c r="BCT111" s="1251"/>
      <c r="BCU111" s="1251"/>
      <c r="BCV111" s="1251"/>
      <c r="BCW111" s="1251"/>
      <c r="BCX111" s="1251"/>
      <c r="BCY111" s="1251"/>
      <c r="BCZ111" s="1251"/>
      <c r="BDA111" s="1251"/>
      <c r="BDB111" s="1251"/>
      <c r="BDC111" s="1251"/>
      <c r="BDD111" s="1251"/>
      <c r="BDE111" s="1251"/>
      <c r="BDF111" s="1251"/>
      <c r="BDG111" s="1251"/>
      <c r="BDH111" s="1251"/>
      <c r="BDI111" s="1251"/>
      <c r="BDJ111" s="1251"/>
      <c r="BDK111" s="1251"/>
      <c r="BDL111" s="1251"/>
      <c r="BDM111" s="1251"/>
      <c r="BDN111" s="1251"/>
      <c r="BDO111" s="1251"/>
      <c r="BDP111" s="1251"/>
      <c r="BDQ111" s="1251"/>
      <c r="BDR111" s="1251"/>
      <c r="BDS111" s="1251"/>
      <c r="BDT111" s="1251"/>
      <c r="BDU111" s="1251"/>
      <c r="BDV111" s="1251"/>
      <c r="BDW111" s="1251"/>
      <c r="BDX111" s="1251"/>
      <c r="BDY111" s="1251"/>
      <c r="BDZ111" s="1251"/>
      <c r="BEA111" s="1251"/>
      <c r="BEB111" s="1251"/>
      <c r="BEC111" s="1251"/>
      <c r="BED111" s="1251"/>
      <c r="BEE111" s="1251"/>
      <c r="BEF111" s="1251"/>
      <c r="BEG111" s="1251"/>
      <c r="BEH111" s="1251"/>
      <c r="BEI111" s="1251"/>
      <c r="BEJ111" s="1251"/>
      <c r="BEK111" s="1251"/>
      <c r="BEL111" s="1251"/>
      <c r="BEM111" s="1251"/>
      <c r="BEN111" s="1251"/>
      <c r="BEO111" s="1251"/>
      <c r="BEP111" s="1251"/>
      <c r="BEQ111" s="1251"/>
      <c r="BER111" s="1251"/>
      <c r="BES111" s="1251"/>
      <c r="BET111" s="1251"/>
      <c r="BEU111" s="1251"/>
      <c r="BEV111" s="1251"/>
      <c r="BEW111" s="1251"/>
      <c r="BEX111" s="1251"/>
      <c r="BEY111" s="1251"/>
      <c r="BEZ111" s="1251"/>
      <c r="BFA111" s="1251"/>
      <c r="BFB111" s="1251"/>
      <c r="BFC111" s="1251"/>
      <c r="BFD111" s="1251"/>
      <c r="BFE111" s="1251"/>
      <c r="BFF111" s="1251"/>
      <c r="BFG111" s="1251"/>
      <c r="BFH111" s="1251"/>
      <c r="BFI111" s="1251"/>
      <c r="BFJ111" s="1251"/>
      <c r="BFK111" s="1251"/>
      <c r="BFL111" s="1251"/>
      <c r="BFM111" s="1251"/>
      <c r="BFN111" s="1251"/>
      <c r="BFO111" s="1251"/>
      <c r="BFP111" s="1251"/>
      <c r="BFQ111" s="1251"/>
      <c r="BFR111" s="1251"/>
      <c r="BFS111" s="1251"/>
      <c r="BFT111" s="1251"/>
      <c r="BFU111" s="1251"/>
      <c r="BFV111" s="1251"/>
      <c r="BFW111" s="1251"/>
      <c r="BFX111" s="1251"/>
      <c r="BFY111" s="1251"/>
      <c r="BFZ111" s="1251"/>
      <c r="BGA111" s="1251"/>
      <c r="BGB111" s="1251"/>
      <c r="BGC111" s="1251"/>
      <c r="BGD111" s="1251"/>
      <c r="BGE111" s="1251"/>
      <c r="BGF111" s="1251"/>
      <c r="BGG111" s="1251"/>
      <c r="BGH111" s="1251"/>
      <c r="BGI111" s="1251"/>
      <c r="BGJ111" s="1251"/>
      <c r="BGK111" s="1251"/>
      <c r="BGL111" s="1251"/>
      <c r="BGM111" s="1251"/>
      <c r="BGN111" s="1251"/>
      <c r="BGO111" s="1251"/>
      <c r="BGP111" s="1251"/>
      <c r="BGQ111" s="1251"/>
      <c r="BGR111" s="1251"/>
      <c r="BGS111" s="1251"/>
      <c r="BGT111" s="1251"/>
      <c r="BGU111" s="1251"/>
      <c r="BGV111" s="1251"/>
      <c r="BGW111" s="1251"/>
      <c r="BGX111" s="1251"/>
      <c r="BGY111" s="1251"/>
      <c r="BGZ111" s="1251"/>
      <c r="BHA111" s="1251"/>
      <c r="BHB111" s="1251"/>
      <c r="BHC111" s="1251"/>
      <c r="BHD111" s="1251"/>
      <c r="BHE111" s="1251"/>
      <c r="BHF111" s="1251"/>
      <c r="BHG111" s="1251"/>
      <c r="BHH111" s="1251"/>
      <c r="BHI111" s="1251"/>
      <c r="BHJ111" s="1251"/>
      <c r="BHK111" s="1251"/>
      <c r="BHL111" s="1251"/>
      <c r="BHM111" s="1251"/>
      <c r="BHN111" s="1251"/>
      <c r="BHO111" s="1251"/>
      <c r="BHP111" s="1251"/>
      <c r="BHQ111" s="1251"/>
      <c r="BHR111" s="1251"/>
      <c r="BHS111" s="1251"/>
      <c r="BHT111" s="1251"/>
      <c r="BHU111" s="1251"/>
      <c r="BHV111" s="1251"/>
      <c r="BHW111" s="1251"/>
      <c r="BHX111" s="1251"/>
      <c r="BHY111" s="1251"/>
      <c r="BHZ111" s="1251"/>
      <c r="BIA111" s="1251"/>
      <c r="BIB111" s="1251"/>
      <c r="BIC111" s="1251"/>
      <c r="BID111" s="1251"/>
      <c r="BIE111" s="1251"/>
      <c r="BIF111" s="1251"/>
      <c r="BIG111" s="1251"/>
      <c r="BIH111" s="1251"/>
      <c r="BII111" s="1251"/>
      <c r="BIJ111" s="1251"/>
      <c r="BIK111" s="1251"/>
      <c r="BIL111" s="1251"/>
      <c r="BIM111" s="1251"/>
      <c r="BIN111" s="1251"/>
      <c r="BIO111" s="1251"/>
      <c r="BIP111" s="1251"/>
      <c r="BIQ111" s="1251"/>
      <c r="BIR111" s="1251"/>
      <c r="BIS111" s="1251"/>
      <c r="BIT111" s="1251"/>
      <c r="BIU111" s="1251"/>
      <c r="BIV111" s="1251"/>
      <c r="BIW111" s="1251"/>
      <c r="BIX111" s="1251"/>
      <c r="BIY111" s="1251"/>
      <c r="BIZ111" s="1251"/>
      <c r="BJA111" s="1251"/>
      <c r="BJB111" s="1251"/>
      <c r="BJC111" s="1251"/>
      <c r="BJD111" s="1251"/>
      <c r="BJE111" s="1251"/>
      <c r="BJF111" s="1251"/>
      <c r="BJG111" s="1251"/>
      <c r="BJH111" s="1251"/>
      <c r="BJI111" s="1251"/>
      <c r="BJJ111" s="1251"/>
      <c r="BJK111" s="1251"/>
      <c r="BJL111" s="1251"/>
      <c r="BJM111" s="1251"/>
      <c r="BJN111" s="1251"/>
      <c r="BJO111" s="1251"/>
      <c r="BJP111" s="1251"/>
      <c r="BJQ111" s="1251"/>
      <c r="BJR111" s="1251"/>
      <c r="BJS111" s="1251"/>
      <c r="BJT111" s="1251"/>
      <c r="BJU111" s="1251"/>
      <c r="BJV111" s="1251"/>
      <c r="BJW111" s="1251"/>
      <c r="BJX111" s="1251"/>
      <c r="BJY111" s="1251"/>
      <c r="BJZ111" s="1251"/>
      <c r="BKA111" s="1251"/>
      <c r="BKB111" s="1251"/>
      <c r="BKC111" s="1251"/>
      <c r="BKD111" s="1251"/>
      <c r="BKE111" s="1251"/>
      <c r="BKF111" s="1251"/>
      <c r="BKG111" s="1251"/>
      <c r="BKH111" s="1251"/>
      <c r="BKI111" s="1251"/>
      <c r="BKJ111" s="1251"/>
      <c r="BKK111" s="1251"/>
      <c r="BKL111" s="1251"/>
      <c r="BKM111" s="1251"/>
      <c r="BKN111" s="1251"/>
      <c r="BKO111" s="1251"/>
      <c r="BKP111" s="1251"/>
      <c r="BKQ111" s="1251"/>
      <c r="BKR111" s="1251"/>
      <c r="BKS111" s="1251"/>
      <c r="BKT111" s="1251"/>
      <c r="BKU111" s="1251"/>
      <c r="BKV111" s="1251"/>
      <c r="BKW111" s="1251"/>
      <c r="BKX111" s="1251"/>
      <c r="BKY111" s="1251"/>
      <c r="BKZ111" s="1251"/>
      <c r="BLA111" s="1251"/>
      <c r="BLB111" s="1251"/>
      <c r="BLC111" s="1251"/>
      <c r="BLD111" s="1251"/>
      <c r="BLE111" s="1251"/>
      <c r="BLF111" s="1251"/>
      <c r="BLG111" s="1251"/>
      <c r="BLH111" s="1251"/>
      <c r="BLI111" s="1251"/>
      <c r="BLJ111" s="1251"/>
      <c r="BLK111" s="1251"/>
      <c r="BLL111" s="1251"/>
      <c r="BLM111" s="1251"/>
      <c r="BLN111" s="1251"/>
      <c r="BLO111" s="1251"/>
      <c r="BLP111" s="1251"/>
      <c r="BLQ111" s="1251"/>
      <c r="BLR111" s="1251"/>
      <c r="BLS111" s="1251"/>
      <c r="BLT111" s="1251"/>
      <c r="BLU111" s="1251"/>
      <c r="BLV111" s="1251"/>
      <c r="BLW111" s="1251"/>
      <c r="BLX111" s="1251"/>
      <c r="BLY111" s="1251"/>
      <c r="BLZ111" s="1251"/>
      <c r="BMA111" s="1251"/>
      <c r="BMB111" s="1251"/>
      <c r="BMC111" s="1251"/>
      <c r="BMD111" s="1251"/>
      <c r="BME111" s="1251"/>
      <c r="BMF111" s="1251"/>
      <c r="BMG111" s="1251"/>
      <c r="BMH111" s="1251"/>
      <c r="BMI111" s="1251"/>
      <c r="BMJ111" s="1251"/>
      <c r="BMK111" s="1251"/>
      <c r="BML111" s="1251"/>
      <c r="BMM111" s="1251"/>
      <c r="BMN111" s="1251"/>
      <c r="BMO111" s="1251"/>
      <c r="BMP111" s="1251"/>
      <c r="BMQ111" s="1251"/>
      <c r="BMR111" s="1251"/>
      <c r="BMS111" s="1251"/>
      <c r="BMT111" s="1251"/>
      <c r="BMU111" s="1251"/>
      <c r="BMV111" s="1251"/>
      <c r="BMW111" s="1251"/>
      <c r="BMX111" s="1251"/>
      <c r="BMY111" s="1251"/>
      <c r="BMZ111" s="1251"/>
      <c r="BNA111" s="1251"/>
      <c r="BNB111" s="1251"/>
      <c r="BNC111" s="1251"/>
      <c r="BND111" s="1251"/>
      <c r="BNE111" s="1251"/>
      <c r="BNF111" s="1251"/>
      <c r="BNG111" s="1251"/>
      <c r="BNH111" s="1251"/>
      <c r="BNI111" s="1251"/>
      <c r="BNJ111" s="1251"/>
      <c r="BNK111" s="1251"/>
      <c r="BNL111" s="1251"/>
      <c r="BNM111" s="1251"/>
      <c r="BNN111" s="1251"/>
      <c r="BNO111" s="1251"/>
      <c r="BNP111" s="1251"/>
      <c r="BNQ111" s="1251"/>
      <c r="BNR111" s="1251"/>
      <c r="BNS111" s="1251"/>
      <c r="BNT111" s="1251"/>
      <c r="BNU111" s="1251"/>
      <c r="BNV111" s="1251"/>
      <c r="BNW111" s="1251"/>
      <c r="BNX111" s="1251"/>
      <c r="BNY111" s="1251"/>
      <c r="BNZ111" s="1251"/>
      <c r="BOA111" s="1251"/>
      <c r="BOB111" s="1251"/>
      <c r="BOC111" s="1251"/>
      <c r="BOD111" s="1251"/>
      <c r="BOE111" s="1251"/>
      <c r="BOF111" s="1251"/>
      <c r="BOG111" s="1251"/>
      <c r="BOH111" s="1251"/>
      <c r="BOI111" s="1251"/>
      <c r="BOJ111" s="1251"/>
      <c r="BOK111" s="1251"/>
      <c r="BOL111" s="1251"/>
      <c r="BOM111" s="1251"/>
      <c r="BON111" s="1251"/>
      <c r="BOO111" s="1251"/>
      <c r="BOP111" s="1251"/>
      <c r="BOQ111" s="1251"/>
      <c r="BOR111" s="1251"/>
      <c r="BOS111" s="1251"/>
      <c r="BOT111" s="1251"/>
      <c r="BOU111" s="1251"/>
      <c r="BOV111" s="1251"/>
      <c r="BOW111" s="1251"/>
      <c r="BOX111" s="1251"/>
      <c r="BOY111" s="1251"/>
      <c r="BOZ111" s="1251"/>
      <c r="BPA111" s="1251"/>
      <c r="BPB111" s="1251"/>
      <c r="BPC111" s="1251"/>
      <c r="BPD111" s="1251"/>
      <c r="BPE111" s="1251"/>
      <c r="BPF111" s="1251"/>
      <c r="BPG111" s="1251"/>
      <c r="BPH111" s="1251"/>
      <c r="BPI111" s="1251"/>
      <c r="BPJ111" s="1251"/>
      <c r="BPK111" s="1251"/>
      <c r="BPL111" s="1251"/>
      <c r="BPM111" s="1251"/>
      <c r="BPN111" s="1251"/>
      <c r="BPO111" s="1251"/>
      <c r="BPP111" s="1251"/>
      <c r="BPQ111" s="1251"/>
      <c r="BPR111" s="1251"/>
      <c r="BPS111" s="1251"/>
      <c r="BPT111" s="1251"/>
      <c r="BPU111" s="1251"/>
      <c r="BPV111" s="1251"/>
      <c r="BPW111" s="1251"/>
      <c r="BPX111" s="1251"/>
      <c r="BPY111" s="1251"/>
      <c r="BPZ111" s="1251"/>
      <c r="BQA111" s="1251"/>
      <c r="BQB111" s="1251"/>
      <c r="BQC111" s="1251"/>
      <c r="BQD111" s="1251"/>
      <c r="BQE111" s="1251"/>
      <c r="BQF111" s="1251"/>
      <c r="BQG111" s="1251"/>
      <c r="BQH111" s="1251"/>
      <c r="BQI111" s="1251"/>
      <c r="BQJ111" s="1251"/>
      <c r="BQK111" s="1251"/>
      <c r="BQL111" s="1251"/>
      <c r="BQM111" s="1251"/>
      <c r="BQN111" s="1251"/>
      <c r="BQO111" s="1251"/>
      <c r="BQP111" s="1251"/>
      <c r="BQQ111" s="1251"/>
      <c r="BQR111" s="1251"/>
      <c r="BQS111" s="1251"/>
      <c r="BQT111" s="1251"/>
      <c r="BQU111" s="1251"/>
      <c r="BQV111" s="1251"/>
      <c r="BQW111" s="1251"/>
      <c r="BQX111" s="1251"/>
      <c r="BQY111" s="1251"/>
      <c r="BQZ111" s="1251"/>
      <c r="BRA111" s="1251"/>
      <c r="BRB111" s="1251"/>
      <c r="BRC111" s="1251"/>
      <c r="BRD111" s="1251"/>
      <c r="BRE111" s="1251"/>
      <c r="BRF111" s="1251"/>
      <c r="BRG111" s="1251"/>
      <c r="BRH111" s="1251"/>
      <c r="BRI111" s="1251"/>
      <c r="BRJ111" s="1251"/>
      <c r="BRK111" s="1251"/>
      <c r="BRL111" s="1251"/>
      <c r="BRM111" s="1251"/>
      <c r="BRN111" s="1251"/>
      <c r="BRO111" s="1251"/>
      <c r="BRP111" s="1251"/>
      <c r="BRQ111" s="1251"/>
      <c r="BRR111" s="1251"/>
      <c r="BRS111" s="1251"/>
      <c r="BRT111" s="1251"/>
      <c r="BRU111" s="1251"/>
      <c r="BRV111" s="1251"/>
      <c r="BRW111" s="1251"/>
      <c r="BRX111" s="1251"/>
      <c r="BRY111" s="1251"/>
      <c r="BRZ111" s="1251"/>
      <c r="BSA111" s="1251"/>
      <c r="BSB111" s="1251"/>
      <c r="BSC111" s="1251"/>
      <c r="BSD111" s="1251"/>
      <c r="BSE111" s="1251"/>
      <c r="BSF111" s="1251"/>
      <c r="BSG111" s="1251"/>
      <c r="BSH111" s="1251"/>
      <c r="BSI111" s="1251"/>
      <c r="BSJ111" s="1251"/>
      <c r="BSK111" s="1251"/>
      <c r="BSL111" s="1251"/>
      <c r="BSM111" s="1251"/>
      <c r="BSN111" s="1251"/>
      <c r="BSO111" s="1251"/>
      <c r="BSP111" s="1251"/>
      <c r="BSQ111" s="1251"/>
      <c r="BSR111" s="1251"/>
      <c r="BSS111" s="1251"/>
      <c r="BST111" s="1251"/>
      <c r="BSU111" s="1251"/>
      <c r="BSV111" s="1251"/>
      <c r="BSW111" s="1251"/>
      <c r="BSX111" s="1251"/>
      <c r="BSY111" s="1251"/>
      <c r="BSZ111" s="1251"/>
      <c r="BTA111" s="1251"/>
      <c r="BTB111" s="1251"/>
      <c r="BTC111" s="1251"/>
      <c r="BTD111" s="1251"/>
      <c r="BTE111" s="1251"/>
      <c r="BTF111" s="1251"/>
      <c r="BTG111" s="1251"/>
      <c r="BTH111" s="1251"/>
      <c r="BTI111" s="1251"/>
    </row>
    <row r="112" spans="1:1881" s="1261" customFormat="1" ht="108.75" hidden="1" customHeight="1" thickBot="1" x14ac:dyDescent="0.35">
      <c r="A112" s="1274">
        <v>37</v>
      </c>
      <c r="B112" s="1272" t="s">
        <v>567</v>
      </c>
      <c r="C112" s="659" t="s">
        <v>1276</v>
      </c>
      <c r="D112" s="659" t="s">
        <v>1381</v>
      </c>
      <c r="E112" s="1249" t="e">
        <f>HLOOKUP($D$2,'2020 Data(H)'!$C$1:$CZ$426,25,FALSE)</f>
        <v>#N/A</v>
      </c>
      <c r="F112" s="1263">
        <v>0</v>
      </c>
      <c r="G112" s="727"/>
      <c r="H112" s="17"/>
      <c r="I112" s="760"/>
      <c r="J112" s="1252"/>
      <c r="K112" s="1251"/>
      <c r="L112" s="701"/>
      <c r="M112" s="1251"/>
      <c r="N112" s="1253"/>
      <c r="O112" s="1251"/>
      <c r="P112" s="1251"/>
      <c r="Q112" s="1251"/>
      <c r="R112" s="1251"/>
      <c r="S112" s="1251"/>
      <c r="T112" s="1251"/>
      <c r="U112" s="1251"/>
      <c r="V112" s="1251"/>
      <c r="W112" s="1251"/>
      <c r="X112" s="1251"/>
      <c r="Y112" s="1251"/>
      <c r="Z112" s="1274"/>
      <c r="AA112" s="1274"/>
      <c r="AB112" s="1274"/>
      <c r="AC112" s="1274"/>
      <c r="AD112" s="1274"/>
      <c r="AE112" s="1274"/>
      <c r="AF112" s="1274"/>
      <c r="AG112" s="1274"/>
      <c r="AH112" s="1274"/>
      <c r="AI112" s="1274"/>
      <c r="AJ112" s="1274"/>
      <c r="AK112" s="1274"/>
      <c r="AL112" s="1274"/>
      <c r="AM112" s="1274"/>
      <c r="AN112" s="1274"/>
      <c r="AO112" s="1274"/>
      <c r="AP112" s="1274"/>
      <c r="AQ112" s="1274"/>
      <c r="AR112" s="1274"/>
      <c r="AS112" s="1251"/>
      <c r="AT112" s="1251"/>
      <c r="AU112" s="1251"/>
      <c r="AV112" s="1251"/>
      <c r="AW112" s="1251"/>
      <c r="AX112" s="1251"/>
      <c r="AY112" s="1251"/>
      <c r="AZ112" s="1251"/>
      <c r="BA112" s="1251"/>
      <c r="BB112" s="1251"/>
      <c r="BC112" s="1251"/>
      <c r="BD112" s="1251"/>
      <c r="BE112" s="1251"/>
      <c r="BF112" s="1251"/>
      <c r="BG112" s="1251"/>
      <c r="BH112" s="1251"/>
      <c r="BI112" s="1251"/>
      <c r="BJ112" s="1251"/>
      <c r="BK112" s="1251"/>
      <c r="BL112" s="1251"/>
      <c r="BM112" s="1251"/>
      <c r="BN112" s="1251"/>
      <c r="BO112" s="1251"/>
      <c r="BP112" s="1251"/>
      <c r="BQ112" s="1251"/>
      <c r="BR112" s="1251"/>
      <c r="BS112" s="1251"/>
      <c r="BT112" s="1251"/>
      <c r="BU112" s="1251"/>
      <c r="BV112" s="1251"/>
      <c r="BW112" s="1251"/>
      <c r="BX112" s="1251"/>
      <c r="BY112" s="1251"/>
      <c r="BZ112" s="1251"/>
      <c r="CA112" s="1251"/>
      <c r="CB112" s="1251"/>
      <c r="CC112" s="1251"/>
      <c r="CD112" s="1251"/>
      <c r="CE112" s="1251"/>
      <c r="CF112" s="1251"/>
      <c r="CG112" s="1251"/>
      <c r="CH112" s="1251"/>
      <c r="CI112" s="1251"/>
      <c r="CJ112" s="1251"/>
      <c r="CK112" s="1251"/>
      <c r="CL112" s="1251"/>
      <c r="CM112" s="1251"/>
      <c r="CN112" s="1251"/>
      <c r="CO112" s="1251"/>
      <c r="CP112" s="1251"/>
      <c r="CQ112" s="1251"/>
      <c r="CR112" s="1251"/>
      <c r="CS112" s="1251"/>
      <c r="CT112" s="1251"/>
      <c r="CU112" s="1251"/>
      <c r="CV112" s="1251"/>
      <c r="CW112" s="1251"/>
      <c r="CX112" s="1251"/>
      <c r="CY112" s="1251"/>
      <c r="CZ112" s="1251"/>
      <c r="DA112" s="1251"/>
      <c r="DB112" s="1251"/>
      <c r="DC112" s="1251"/>
      <c r="DD112" s="1251"/>
      <c r="DE112" s="1251"/>
      <c r="DF112" s="1251"/>
      <c r="DG112" s="1251"/>
      <c r="DH112" s="1251"/>
      <c r="DI112" s="1251"/>
      <c r="DJ112" s="1251"/>
      <c r="DK112" s="1251"/>
      <c r="DL112" s="1251"/>
      <c r="DM112" s="1251"/>
      <c r="DN112" s="1251"/>
      <c r="DO112" s="1251"/>
      <c r="DP112" s="1251"/>
      <c r="DQ112" s="1251"/>
      <c r="DR112" s="1251"/>
      <c r="DS112" s="1251"/>
      <c r="DT112" s="1251"/>
      <c r="DU112" s="1251"/>
      <c r="DV112" s="1251"/>
      <c r="DW112" s="1251"/>
      <c r="DX112" s="1251"/>
      <c r="DY112" s="1251"/>
      <c r="DZ112" s="1251"/>
      <c r="EA112" s="1251"/>
      <c r="EB112" s="1251"/>
      <c r="EC112" s="1251"/>
      <c r="ED112" s="1251"/>
      <c r="EE112" s="1251"/>
      <c r="EF112" s="1251"/>
      <c r="EG112" s="1251"/>
      <c r="EH112" s="1251"/>
      <c r="EI112" s="1251"/>
      <c r="EJ112" s="1251"/>
      <c r="EK112" s="1251"/>
      <c r="EL112" s="1251"/>
      <c r="EM112" s="1251"/>
      <c r="EN112" s="1251"/>
      <c r="EO112" s="1251"/>
      <c r="EP112" s="1251"/>
      <c r="EQ112" s="1251"/>
      <c r="ER112" s="1251"/>
      <c r="ES112" s="1251"/>
      <c r="ET112" s="1251"/>
      <c r="EU112" s="1251"/>
      <c r="EV112" s="1251"/>
      <c r="EW112" s="1251"/>
      <c r="EX112" s="1251"/>
      <c r="EY112" s="1251"/>
      <c r="EZ112" s="1251"/>
      <c r="FA112" s="1251"/>
      <c r="FB112" s="1251"/>
      <c r="FC112" s="1251"/>
      <c r="FD112" s="1251"/>
      <c r="FE112" s="1251"/>
      <c r="FF112" s="1251"/>
      <c r="FG112" s="1251"/>
      <c r="FH112" s="1251"/>
      <c r="FI112" s="1251"/>
      <c r="FJ112" s="1251"/>
      <c r="FK112" s="1251"/>
      <c r="FL112" s="1251"/>
      <c r="FM112" s="1251"/>
      <c r="FN112" s="1251"/>
      <c r="FO112" s="1251"/>
      <c r="FP112" s="1251"/>
      <c r="FQ112" s="1251"/>
      <c r="FR112" s="1251"/>
      <c r="FS112" s="1251"/>
      <c r="FT112" s="1251"/>
      <c r="FU112" s="1251"/>
      <c r="FV112" s="1251"/>
      <c r="FW112" s="1251"/>
      <c r="FX112" s="1251"/>
      <c r="FY112" s="1251"/>
      <c r="FZ112" s="1251"/>
      <c r="GA112" s="1251"/>
      <c r="GB112" s="1251"/>
      <c r="GC112" s="1251"/>
      <c r="GD112" s="1251"/>
      <c r="GE112" s="1251"/>
      <c r="GF112" s="1251"/>
      <c r="GG112" s="1251"/>
      <c r="GH112" s="1251"/>
      <c r="GI112" s="1251"/>
      <c r="GJ112" s="1251"/>
      <c r="GK112" s="1251"/>
      <c r="GL112" s="1251"/>
      <c r="GM112" s="1251"/>
      <c r="GN112" s="1251"/>
      <c r="GO112" s="1251"/>
      <c r="GP112" s="1251"/>
      <c r="GQ112" s="1251"/>
      <c r="GR112" s="1251"/>
      <c r="GS112" s="1251"/>
      <c r="GT112" s="1251"/>
      <c r="GU112" s="1251"/>
      <c r="GV112" s="1251"/>
      <c r="GW112" s="1251"/>
      <c r="GX112" s="1251"/>
      <c r="GY112" s="1251"/>
      <c r="GZ112" s="1251"/>
      <c r="HA112" s="1251"/>
      <c r="HB112" s="1251"/>
      <c r="HC112" s="1251"/>
      <c r="HD112" s="1251"/>
      <c r="HE112" s="1251"/>
      <c r="HF112" s="1251"/>
      <c r="HG112" s="1251"/>
      <c r="HH112" s="1251"/>
      <c r="HI112" s="1251"/>
      <c r="HJ112" s="1251"/>
      <c r="HK112" s="1251"/>
      <c r="HL112" s="1251"/>
      <c r="HM112" s="1251"/>
      <c r="HN112" s="1251"/>
      <c r="HO112" s="1251"/>
      <c r="HP112" s="1251"/>
      <c r="HQ112" s="1251"/>
      <c r="HR112" s="1251"/>
      <c r="HS112" s="1251"/>
      <c r="HT112" s="1251"/>
      <c r="HU112" s="1251"/>
      <c r="HV112" s="1251"/>
      <c r="HW112" s="1251"/>
      <c r="HX112" s="1251"/>
      <c r="HY112" s="1251"/>
      <c r="HZ112" s="1251"/>
      <c r="IA112" s="1251"/>
      <c r="IB112" s="1251"/>
      <c r="IC112" s="1251"/>
      <c r="ID112" s="1251"/>
      <c r="IE112" s="1251"/>
      <c r="IF112" s="1251"/>
      <c r="IG112" s="1251"/>
      <c r="IH112" s="1251"/>
      <c r="II112" s="1251"/>
      <c r="IJ112" s="1251"/>
      <c r="IK112" s="1251"/>
      <c r="IL112" s="1251"/>
      <c r="IM112" s="1251"/>
      <c r="IN112" s="1251"/>
      <c r="IO112" s="1251"/>
      <c r="IP112" s="1251"/>
      <c r="IQ112" s="1251"/>
      <c r="IR112" s="1251"/>
      <c r="IS112" s="1251"/>
      <c r="IT112" s="1251"/>
      <c r="IU112" s="1251"/>
      <c r="IV112" s="1251"/>
      <c r="IW112" s="1251"/>
      <c r="IX112" s="1251"/>
      <c r="IY112" s="1251"/>
      <c r="IZ112" s="1251"/>
      <c r="JA112" s="1251"/>
      <c r="JB112" s="1251"/>
      <c r="JC112" s="1251"/>
      <c r="JD112" s="1251"/>
      <c r="JE112" s="1251"/>
      <c r="JF112" s="1251"/>
      <c r="JG112" s="1251"/>
      <c r="JH112" s="1251"/>
      <c r="JI112" s="1251"/>
      <c r="JJ112" s="1251"/>
      <c r="JK112" s="1251"/>
      <c r="JL112" s="1251"/>
      <c r="JM112" s="1251"/>
      <c r="JN112" s="1251"/>
      <c r="JO112" s="1251"/>
      <c r="JP112" s="1251"/>
      <c r="JQ112" s="1251"/>
      <c r="JR112" s="1251"/>
      <c r="JS112" s="1251"/>
      <c r="JT112" s="1251"/>
      <c r="JU112" s="1251"/>
      <c r="JV112" s="1251"/>
      <c r="JW112" s="1251"/>
      <c r="JX112" s="1251"/>
      <c r="JY112" s="1251"/>
      <c r="JZ112" s="1251"/>
      <c r="KA112" s="1251"/>
      <c r="KB112" s="1251"/>
      <c r="KC112" s="1251"/>
      <c r="KD112" s="1251"/>
      <c r="KE112" s="1251"/>
      <c r="KF112" s="1251"/>
      <c r="KG112" s="1251"/>
      <c r="KH112" s="1251"/>
      <c r="KI112" s="1251"/>
      <c r="KJ112" s="1251"/>
      <c r="KK112" s="1251"/>
      <c r="KL112" s="1251"/>
      <c r="KM112" s="1251"/>
      <c r="KN112" s="1251"/>
      <c r="KO112" s="1251"/>
      <c r="KP112" s="1251"/>
      <c r="KQ112" s="1251"/>
      <c r="KR112" s="1251"/>
      <c r="KS112" s="1251"/>
      <c r="KT112" s="1251"/>
      <c r="KU112" s="1251"/>
      <c r="KV112" s="1251"/>
      <c r="KW112" s="1251"/>
      <c r="KX112" s="1251"/>
      <c r="KY112" s="1251"/>
      <c r="KZ112" s="1251"/>
      <c r="LA112" s="1251"/>
      <c r="LB112" s="1251"/>
      <c r="LC112" s="1251"/>
      <c r="LD112" s="1251"/>
      <c r="LE112" s="1251"/>
      <c r="LF112" s="1251"/>
      <c r="LG112" s="1251"/>
      <c r="LH112" s="1251"/>
      <c r="LI112" s="1251"/>
      <c r="LJ112" s="1251"/>
      <c r="LK112" s="1251"/>
      <c r="LL112" s="1251"/>
      <c r="LM112" s="1251"/>
      <c r="LN112" s="1251"/>
      <c r="LO112" s="1251"/>
      <c r="LP112" s="1251"/>
      <c r="LQ112" s="1251"/>
      <c r="LR112" s="1251"/>
      <c r="LS112" s="1251"/>
      <c r="LT112" s="1251"/>
      <c r="LU112" s="1251"/>
      <c r="LV112" s="1251"/>
      <c r="LW112" s="1251"/>
      <c r="LX112" s="1251"/>
      <c r="LY112" s="1251"/>
      <c r="LZ112" s="1251"/>
      <c r="MA112" s="1251"/>
      <c r="MB112" s="1251"/>
      <c r="MC112" s="1251"/>
      <c r="MD112" s="1251"/>
      <c r="ME112" s="1251"/>
      <c r="MF112" s="1251"/>
      <c r="MG112" s="1251"/>
      <c r="MH112" s="1251"/>
      <c r="MI112" s="1251"/>
      <c r="MJ112" s="1251"/>
      <c r="MK112" s="1251"/>
      <c r="ML112" s="1251"/>
      <c r="MM112" s="1251"/>
      <c r="MN112" s="1251"/>
      <c r="MO112" s="1251"/>
      <c r="MP112" s="1251"/>
      <c r="MQ112" s="1251"/>
      <c r="MR112" s="1251"/>
      <c r="MS112" s="1251"/>
      <c r="MT112" s="1251"/>
      <c r="MU112" s="1251"/>
      <c r="MV112" s="1251"/>
      <c r="MW112" s="1251"/>
      <c r="MX112" s="1251"/>
      <c r="MY112" s="1251"/>
      <c r="MZ112" s="1251"/>
      <c r="NA112" s="1251"/>
      <c r="NB112" s="1251"/>
      <c r="NC112" s="1251"/>
      <c r="ND112" s="1251"/>
      <c r="NE112" s="1251"/>
      <c r="NF112" s="1251"/>
      <c r="NG112" s="1251"/>
      <c r="NH112" s="1251"/>
      <c r="NI112" s="1251"/>
      <c r="NJ112" s="1251"/>
      <c r="NK112" s="1251"/>
      <c r="NL112" s="1251"/>
      <c r="NM112" s="1251"/>
      <c r="NN112" s="1251"/>
      <c r="NO112" s="1251"/>
      <c r="NP112" s="1251"/>
      <c r="NQ112" s="1251"/>
      <c r="NR112" s="1251"/>
      <c r="NS112" s="1251"/>
      <c r="NT112" s="1251"/>
      <c r="NU112" s="1251"/>
      <c r="NV112" s="1251"/>
      <c r="NW112" s="1251"/>
      <c r="NX112" s="1251"/>
      <c r="NY112" s="1251"/>
      <c r="NZ112" s="1251"/>
      <c r="OA112" s="1251"/>
      <c r="OB112" s="1251"/>
      <c r="OC112" s="1251"/>
      <c r="OD112" s="1251"/>
      <c r="OE112" s="1251"/>
      <c r="OF112" s="1251"/>
      <c r="OG112" s="1251"/>
      <c r="OH112" s="1251"/>
      <c r="OI112" s="1251"/>
      <c r="OJ112" s="1251"/>
      <c r="OK112" s="1251"/>
      <c r="OL112" s="1251"/>
      <c r="OM112" s="1251"/>
      <c r="ON112" s="1251"/>
      <c r="OO112" s="1251"/>
      <c r="OP112" s="1251"/>
      <c r="OQ112" s="1251"/>
      <c r="OR112" s="1251"/>
      <c r="OS112" s="1251"/>
      <c r="OT112" s="1251"/>
      <c r="OU112" s="1251"/>
      <c r="OV112" s="1251"/>
      <c r="OW112" s="1251"/>
      <c r="OX112" s="1251"/>
      <c r="OY112" s="1251"/>
      <c r="OZ112" s="1251"/>
      <c r="PA112" s="1251"/>
      <c r="PB112" s="1251"/>
      <c r="PC112" s="1251"/>
      <c r="PD112" s="1251"/>
      <c r="PE112" s="1251"/>
      <c r="PF112" s="1251"/>
      <c r="PG112" s="1251"/>
      <c r="PH112" s="1251"/>
      <c r="PI112" s="1251"/>
      <c r="PJ112" s="1251"/>
      <c r="PK112" s="1251"/>
      <c r="PL112" s="1251"/>
      <c r="PM112" s="1251"/>
      <c r="PN112" s="1251"/>
      <c r="PO112" s="1251"/>
      <c r="PP112" s="1251"/>
      <c r="PQ112" s="1251"/>
      <c r="PR112" s="1251"/>
      <c r="PS112" s="1251"/>
      <c r="PT112" s="1251"/>
      <c r="PU112" s="1251"/>
      <c r="PV112" s="1251"/>
      <c r="PW112" s="1251"/>
      <c r="PX112" s="1251"/>
      <c r="PY112" s="1251"/>
      <c r="PZ112" s="1251"/>
      <c r="QA112" s="1251"/>
      <c r="QB112" s="1251"/>
      <c r="QC112" s="1251"/>
      <c r="QD112" s="1251"/>
      <c r="QE112" s="1251"/>
      <c r="QF112" s="1251"/>
      <c r="QG112" s="1251"/>
      <c r="QH112" s="1251"/>
      <c r="QI112" s="1251"/>
      <c r="QJ112" s="1251"/>
      <c r="QK112" s="1251"/>
      <c r="QL112" s="1251"/>
      <c r="QM112" s="1251"/>
      <c r="QN112" s="1251"/>
      <c r="QO112" s="1251"/>
      <c r="QP112" s="1251"/>
      <c r="QQ112" s="1251"/>
      <c r="QR112" s="1251"/>
      <c r="QS112" s="1251"/>
      <c r="QT112" s="1251"/>
      <c r="QU112" s="1251"/>
      <c r="QV112" s="1251"/>
      <c r="QW112" s="1251"/>
      <c r="QX112" s="1251"/>
      <c r="QY112" s="1251"/>
      <c r="QZ112" s="1251"/>
      <c r="RA112" s="1251"/>
      <c r="RB112" s="1251"/>
      <c r="RC112" s="1251"/>
      <c r="RD112" s="1251"/>
      <c r="RE112" s="1251"/>
      <c r="RF112" s="1251"/>
      <c r="RG112" s="1251"/>
      <c r="RH112" s="1251"/>
      <c r="RI112" s="1251"/>
      <c r="RJ112" s="1251"/>
      <c r="RK112" s="1251"/>
      <c r="RL112" s="1251"/>
      <c r="RM112" s="1251"/>
      <c r="RN112" s="1251"/>
      <c r="RO112" s="1251"/>
      <c r="RP112" s="1251"/>
      <c r="RQ112" s="1251"/>
      <c r="RR112" s="1251"/>
      <c r="RS112" s="1251"/>
      <c r="RT112" s="1251"/>
      <c r="RU112" s="1251"/>
      <c r="RV112" s="1251"/>
      <c r="RW112" s="1251"/>
      <c r="RX112" s="1251"/>
      <c r="RY112" s="1251"/>
      <c r="RZ112" s="1251"/>
      <c r="SA112" s="1251"/>
      <c r="SB112" s="1251"/>
      <c r="SC112" s="1251"/>
      <c r="SD112" s="1251"/>
      <c r="SE112" s="1251"/>
      <c r="SF112" s="1251"/>
      <c r="SG112" s="1251"/>
      <c r="SH112" s="1251"/>
      <c r="SI112" s="1251"/>
      <c r="SJ112" s="1251"/>
      <c r="SK112" s="1251"/>
      <c r="SL112" s="1251"/>
      <c r="SM112" s="1251"/>
      <c r="SN112" s="1251"/>
      <c r="SO112" s="1251"/>
      <c r="SP112" s="1251"/>
      <c r="SQ112" s="1251"/>
      <c r="SR112" s="1251"/>
      <c r="SS112" s="1251"/>
      <c r="ST112" s="1251"/>
      <c r="SU112" s="1251"/>
      <c r="SV112" s="1251"/>
      <c r="SW112" s="1251"/>
      <c r="SX112" s="1251"/>
      <c r="SY112" s="1251"/>
      <c r="SZ112" s="1251"/>
      <c r="TA112" s="1251"/>
      <c r="TB112" s="1251"/>
      <c r="TC112" s="1251"/>
      <c r="TD112" s="1251"/>
      <c r="TE112" s="1251"/>
      <c r="TF112" s="1251"/>
      <c r="TG112" s="1251"/>
      <c r="TH112" s="1251"/>
      <c r="TI112" s="1251"/>
      <c r="TJ112" s="1251"/>
      <c r="TK112" s="1251"/>
      <c r="TL112" s="1251"/>
      <c r="TM112" s="1251"/>
      <c r="TN112" s="1251"/>
      <c r="TO112" s="1251"/>
      <c r="TP112" s="1251"/>
      <c r="TQ112" s="1251"/>
      <c r="TR112" s="1251"/>
      <c r="TS112" s="1251"/>
      <c r="TT112" s="1251"/>
      <c r="TU112" s="1251"/>
      <c r="TV112" s="1251"/>
      <c r="TW112" s="1251"/>
      <c r="TX112" s="1251"/>
      <c r="TY112" s="1251"/>
      <c r="TZ112" s="1251"/>
      <c r="UA112" s="1251"/>
      <c r="UB112" s="1251"/>
      <c r="UC112" s="1251"/>
      <c r="UD112" s="1251"/>
      <c r="UE112" s="1251"/>
      <c r="UF112" s="1251"/>
      <c r="UG112" s="1251"/>
      <c r="UH112" s="1251"/>
      <c r="UI112" s="1251"/>
      <c r="UJ112" s="1251"/>
      <c r="UK112" s="1251"/>
      <c r="UL112" s="1251"/>
      <c r="UM112" s="1251"/>
      <c r="UN112" s="1251"/>
      <c r="UO112" s="1251"/>
      <c r="UP112" s="1251"/>
      <c r="UQ112" s="1251"/>
      <c r="UR112" s="1251"/>
      <c r="US112" s="1251"/>
      <c r="UT112" s="1251"/>
      <c r="UU112" s="1251"/>
      <c r="UV112" s="1251"/>
      <c r="UW112" s="1251"/>
      <c r="UX112" s="1251"/>
      <c r="UY112" s="1251"/>
      <c r="UZ112" s="1251"/>
      <c r="VA112" s="1251"/>
      <c r="VB112" s="1251"/>
      <c r="VC112" s="1251"/>
      <c r="VD112" s="1251"/>
      <c r="VE112" s="1251"/>
      <c r="VF112" s="1251"/>
      <c r="VG112" s="1251"/>
      <c r="VH112" s="1251"/>
      <c r="VI112" s="1251"/>
      <c r="VJ112" s="1251"/>
      <c r="VK112" s="1251"/>
      <c r="VL112" s="1251"/>
      <c r="VM112" s="1251"/>
      <c r="VN112" s="1251"/>
      <c r="VO112" s="1251"/>
      <c r="VP112" s="1251"/>
      <c r="VQ112" s="1251"/>
      <c r="VR112" s="1251"/>
      <c r="VS112" s="1251"/>
      <c r="VT112" s="1251"/>
      <c r="VU112" s="1251"/>
      <c r="VV112" s="1251"/>
      <c r="VW112" s="1251"/>
      <c r="VX112" s="1251"/>
      <c r="VY112" s="1251"/>
      <c r="VZ112" s="1251"/>
      <c r="WA112" s="1251"/>
      <c r="WB112" s="1251"/>
      <c r="WC112" s="1251"/>
      <c r="WD112" s="1251"/>
      <c r="WE112" s="1251"/>
      <c r="WF112" s="1251"/>
      <c r="WG112" s="1251"/>
      <c r="WH112" s="1251"/>
      <c r="WI112" s="1251"/>
      <c r="WJ112" s="1251"/>
      <c r="WK112" s="1251"/>
      <c r="WL112" s="1251"/>
      <c r="WM112" s="1251"/>
      <c r="WN112" s="1251"/>
      <c r="WO112" s="1251"/>
      <c r="WP112" s="1251"/>
      <c r="WQ112" s="1251"/>
      <c r="WR112" s="1251"/>
      <c r="WS112" s="1251"/>
      <c r="WT112" s="1251"/>
      <c r="WU112" s="1251"/>
      <c r="WV112" s="1251"/>
      <c r="WW112" s="1251"/>
      <c r="WX112" s="1251"/>
      <c r="WY112" s="1251"/>
      <c r="WZ112" s="1251"/>
      <c r="XA112" s="1251"/>
      <c r="XB112" s="1251"/>
      <c r="XC112" s="1251"/>
      <c r="XD112" s="1251"/>
      <c r="XE112" s="1251"/>
      <c r="XF112" s="1251"/>
      <c r="XG112" s="1251"/>
      <c r="XH112" s="1251"/>
      <c r="XI112" s="1251"/>
      <c r="XJ112" s="1251"/>
      <c r="XK112" s="1251"/>
      <c r="XL112" s="1251"/>
      <c r="XM112" s="1251"/>
      <c r="XN112" s="1251"/>
      <c r="XO112" s="1251"/>
      <c r="XP112" s="1251"/>
      <c r="XQ112" s="1251"/>
      <c r="XR112" s="1251"/>
      <c r="XS112" s="1251"/>
      <c r="XT112" s="1251"/>
      <c r="XU112" s="1251"/>
      <c r="XV112" s="1251"/>
      <c r="XW112" s="1251"/>
      <c r="XX112" s="1251"/>
      <c r="XY112" s="1251"/>
      <c r="XZ112" s="1251"/>
      <c r="YA112" s="1251"/>
      <c r="YB112" s="1251"/>
      <c r="YC112" s="1251"/>
      <c r="YD112" s="1251"/>
      <c r="YE112" s="1251"/>
      <c r="YF112" s="1251"/>
      <c r="YG112" s="1251"/>
      <c r="YH112" s="1251"/>
      <c r="YI112" s="1251"/>
      <c r="YJ112" s="1251"/>
      <c r="YK112" s="1251"/>
      <c r="YL112" s="1251"/>
      <c r="YM112" s="1251"/>
      <c r="YN112" s="1251"/>
      <c r="YO112" s="1251"/>
      <c r="YP112" s="1251"/>
      <c r="YQ112" s="1251"/>
      <c r="YR112" s="1251"/>
      <c r="YS112" s="1251"/>
      <c r="YT112" s="1251"/>
      <c r="YU112" s="1251"/>
      <c r="YV112" s="1251"/>
      <c r="YW112" s="1251"/>
      <c r="YX112" s="1251"/>
      <c r="YY112" s="1251"/>
      <c r="YZ112" s="1251"/>
      <c r="ZA112" s="1251"/>
      <c r="ZB112" s="1251"/>
      <c r="ZC112" s="1251"/>
      <c r="ZD112" s="1251"/>
      <c r="ZE112" s="1251"/>
      <c r="ZF112" s="1251"/>
      <c r="ZG112" s="1251"/>
      <c r="ZH112" s="1251"/>
      <c r="ZI112" s="1251"/>
      <c r="ZJ112" s="1251"/>
      <c r="ZK112" s="1251"/>
      <c r="ZL112" s="1251"/>
      <c r="ZM112" s="1251"/>
      <c r="ZN112" s="1251"/>
      <c r="ZO112" s="1251"/>
      <c r="ZP112" s="1251"/>
      <c r="ZQ112" s="1251"/>
      <c r="ZR112" s="1251"/>
      <c r="ZS112" s="1251"/>
      <c r="ZT112" s="1251"/>
      <c r="ZU112" s="1251"/>
      <c r="ZV112" s="1251"/>
      <c r="ZW112" s="1251"/>
      <c r="ZX112" s="1251"/>
      <c r="ZY112" s="1251"/>
      <c r="ZZ112" s="1251"/>
      <c r="AAA112" s="1251"/>
      <c r="AAB112" s="1251"/>
      <c r="AAC112" s="1251"/>
      <c r="AAD112" s="1251"/>
      <c r="AAE112" s="1251"/>
      <c r="AAF112" s="1251"/>
      <c r="AAG112" s="1251"/>
      <c r="AAH112" s="1251"/>
      <c r="AAI112" s="1251"/>
      <c r="AAJ112" s="1251"/>
      <c r="AAK112" s="1251"/>
      <c r="AAL112" s="1251"/>
      <c r="AAM112" s="1251"/>
      <c r="AAN112" s="1251"/>
      <c r="AAO112" s="1251"/>
      <c r="AAP112" s="1251"/>
      <c r="AAQ112" s="1251"/>
      <c r="AAR112" s="1251"/>
      <c r="AAS112" s="1251"/>
      <c r="AAT112" s="1251"/>
      <c r="AAU112" s="1251"/>
      <c r="AAV112" s="1251"/>
      <c r="AAW112" s="1251"/>
      <c r="AAX112" s="1251"/>
      <c r="AAY112" s="1251"/>
      <c r="AAZ112" s="1251"/>
      <c r="ABA112" s="1251"/>
      <c r="ABB112" s="1251"/>
      <c r="ABC112" s="1251"/>
      <c r="ABD112" s="1251"/>
      <c r="ABE112" s="1251"/>
      <c r="ABF112" s="1251"/>
      <c r="ABG112" s="1251"/>
      <c r="ABH112" s="1251"/>
      <c r="ABI112" s="1251"/>
      <c r="ABJ112" s="1251"/>
      <c r="ABK112" s="1251"/>
      <c r="ABL112" s="1251"/>
      <c r="ABM112" s="1251"/>
      <c r="ABN112" s="1251"/>
      <c r="ABO112" s="1251"/>
      <c r="ABP112" s="1251"/>
      <c r="ABQ112" s="1251"/>
      <c r="ABR112" s="1251"/>
      <c r="ABS112" s="1251"/>
      <c r="ABT112" s="1251"/>
      <c r="ABU112" s="1251"/>
      <c r="ABV112" s="1251"/>
      <c r="ABW112" s="1251"/>
      <c r="ABX112" s="1251"/>
      <c r="ABY112" s="1251"/>
      <c r="ABZ112" s="1251"/>
      <c r="ACA112" s="1251"/>
      <c r="ACB112" s="1251"/>
      <c r="ACC112" s="1251"/>
      <c r="ACD112" s="1251"/>
      <c r="ACE112" s="1251"/>
      <c r="ACF112" s="1251"/>
      <c r="ACG112" s="1251"/>
      <c r="ACH112" s="1251"/>
      <c r="ACI112" s="1251"/>
      <c r="ACJ112" s="1251"/>
      <c r="ACK112" s="1251"/>
      <c r="ACL112" s="1251"/>
      <c r="ACM112" s="1251"/>
      <c r="ACN112" s="1251"/>
      <c r="ACO112" s="1251"/>
      <c r="ACP112" s="1251"/>
      <c r="ACQ112" s="1251"/>
      <c r="ACR112" s="1251"/>
      <c r="ACS112" s="1251"/>
      <c r="ACT112" s="1251"/>
      <c r="ACU112" s="1251"/>
      <c r="ACV112" s="1251"/>
      <c r="ACW112" s="1251"/>
      <c r="ACX112" s="1251"/>
      <c r="ACY112" s="1251"/>
      <c r="ACZ112" s="1251"/>
      <c r="ADA112" s="1251"/>
      <c r="ADB112" s="1251"/>
      <c r="ADC112" s="1251"/>
      <c r="ADD112" s="1251"/>
      <c r="ADE112" s="1251"/>
      <c r="ADF112" s="1251"/>
      <c r="ADG112" s="1251"/>
      <c r="ADH112" s="1251"/>
      <c r="ADI112" s="1251"/>
      <c r="ADJ112" s="1251"/>
      <c r="ADK112" s="1251"/>
      <c r="ADL112" s="1251"/>
      <c r="ADM112" s="1251"/>
      <c r="ADN112" s="1251"/>
      <c r="ADO112" s="1251"/>
      <c r="ADP112" s="1251"/>
      <c r="ADQ112" s="1251"/>
      <c r="ADR112" s="1251"/>
      <c r="ADS112" s="1251"/>
      <c r="ADT112" s="1251"/>
      <c r="ADU112" s="1251"/>
      <c r="ADV112" s="1251"/>
      <c r="ADW112" s="1251"/>
      <c r="ADX112" s="1251"/>
      <c r="ADY112" s="1251"/>
      <c r="ADZ112" s="1251"/>
      <c r="AEA112" s="1251"/>
      <c r="AEB112" s="1251"/>
      <c r="AEC112" s="1251"/>
      <c r="AED112" s="1251"/>
      <c r="AEE112" s="1251"/>
      <c r="AEF112" s="1251"/>
      <c r="AEG112" s="1251"/>
      <c r="AEH112" s="1251"/>
      <c r="AEI112" s="1251"/>
      <c r="AEJ112" s="1251"/>
      <c r="AEK112" s="1251"/>
      <c r="AEL112" s="1251"/>
      <c r="AEM112" s="1251"/>
      <c r="AEN112" s="1251"/>
      <c r="AEO112" s="1251"/>
      <c r="AEP112" s="1251"/>
      <c r="AEQ112" s="1251"/>
      <c r="AER112" s="1251"/>
      <c r="AES112" s="1251"/>
      <c r="AET112" s="1251"/>
      <c r="AEU112" s="1251"/>
      <c r="AEV112" s="1251"/>
      <c r="AEW112" s="1251"/>
      <c r="AEX112" s="1251"/>
      <c r="AEY112" s="1251"/>
      <c r="AEZ112" s="1251"/>
      <c r="AFA112" s="1251"/>
      <c r="AFB112" s="1251"/>
      <c r="AFC112" s="1251"/>
      <c r="AFD112" s="1251"/>
      <c r="AFE112" s="1251"/>
      <c r="AFF112" s="1251"/>
      <c r="AFG112" s="1251"/>
      <c r="AFH112" s="1251"/>
      <c r="AFI112" s="1251"/>
      <c r="AFJ112" s="1251"/>
      <c r="AFK112" s="1251"/>
      <c r="AFL112" s="1251"/>
      <c r="AFM112" s="1251"/>
      <c r="AFN112" s="1251"/>
      <c r="AFO112" s="1251"/>
      <c r="AFP112" s="1251"/>
      <c r="AFQ112" s="1251"/>
      <c r="AFR112" s="1251"/>
      <c r="AFS112" s="1251"/>
      <c r="AFT112" s="1251"/>
      <c r="AFU112" s="1251"/>
      <c r="AFV112" s="1251"/>
      <c r="AFW112" s="1251"/>
      <c r="AFX112" s="1251"/>
      <c r="AFY112" s="1251"/>
      <c r="AFZ112" s="1251"/>
      <c r="AGA112" s="1251"/>
      <c r="AGB112" s="1251"/>
      <c r="AGC112" s="1251"/>
      <c r="AGD112" s="1251"/>
      <c r="AGE112" s="1251"/>
      <c r="AGF112" s="1251"/>
      <c r="AGG112" s="1251"/>
      <c r="AGH112" s="1251"/>
      <c r="AGI112" s="1251"/>
      <c r="AGJ112" s="1251"/>
      <c r="AGK112" s="1251"/>
      <c r="AGL112" s="1251"/>
      <c r="AGM112" s="1251"/>
      <c r="AGN112" s="1251"/>
      <c r="AGO112" s="1251"/>
      <c r="AGP112" s="1251"/>
      <c r="AGQ112" s="1251"/>
      <c r="AGR112" s="1251"/>
      <c r="AGS112" s="1251"/>
      <c r="AGT112" s="1251"/>
      <c r="AGU112" s="1251"/>
      <c r="AGV112" s="1251"/>
      <c r="AGW112" s="1251"/>
      <c r="AGX112" s="1251"/>
      <c r="AGY112" s="1251"/>
      <c r="AGZ112" s="1251"/>
      <c r="AHA112" s="1251"/>
      <c r="AHB112" s="1251"/>
      <c r="AHC112" s="1251"/>
      <c r="AHD112" s="1251"/>
      <c r="AHE112" s="1251"/>
      <c r="AHF112" s="1251"/>
      <c r="AHG112" s="1251"/>
      <c r="AHH112" s="1251"/>
      <c r="AHI112" s="1251"/>
      <c r="AHJ112" s="1251"/>
      <c r="AHK112" s="1251"/>
      <c r="AHL112" s="1251"/>
      <c r="AHM112" s="1251"/>
      <c r="AHN112" s="1251"/>
      <c r="AHO112" s="1251"/>
      <c r="AHP112" s="1251"/>
      <c r="AHQ112" s="1251"/>
      <c r="AHR112" s="1251"/>
      <c r="AHS112" s="1251"/>
      <c r="AHT112" s="1251"/>
      <c r="AHU112" s="1251"/>
      <c r="AHV112" s="1251"/>
      <c r="AHW112" s="1251"/>
      <c r="AHX112" s="1251"/>
      <c r="AHY112" s="1251"/>
      <c r="AHZ112" s="1251"/>
      <c r="AIA112" s="1251"/>
      <c r="AIB112" s="1251"/>
      <c r="AIC112" s="1251"/>
      <c r="AID112" s="1251"/>
      <c r="AIE112" s="1251"/>
      <c r="AIF112" s="1251"/>
      <c r="AIG112" s="1251"/>
      <c r="AIH112" s="1251"/>
      <c r="AII112" s="1251"/>
      <c r="AIJ112" s="1251"/>
      <c r="AIK112" s="1251"/>
      <c r="AIL112" s="1251"/>
      <c r="AIM112" s="1251"/>
      <c r="AIN112" s="1251"/>
      <c r="AIO112" s="1251"/>
      <c r="AIP112" s="1251"/>
      <c r="AIQ112" s="1251"/>
      <c r="AIR112" s="1251"/>
      <c r="AIS112" s="1251"/>
      <c r="AIT112" s="1251"/>
      <c r="AIU112" s="1251"/>
      <c r="AIV112" s="1251"/>
      <c r="AIW112" s="1251"/>
      <c r="AIX112" s="1251"/>
      <c r="AIY112" s="1251"/>
      <c r="AIZ112" s="1251"/>
      <c r="AJA112" s="1251"/>
      <c r="AJB112" s="1251"/>
      <c r="AJC112" s="1251"/>
      <c r="AJD112" s="1251"/>
      <c r="AJE112" s="1251"/>
      <c r="AJF112" s="1251"/>
      <c r="AJG112" s="1251"/>
      <c r="AJH112" s="1251"/>
      <c r="AJI112" s="1251"/>
      <c r="AJJ112" s="1251"/>
      <c r="AJK112" s="1251"/>
      <c r="AJL112" s="1251"/>
      <c r="AJM112" s="1251"/>
      <c r="AJN112" s="1251"/>
      <c r="AJO112" s="1251"/>
      <c r="AJP112" s="1251"/>
      <c r="AJQ112" s="1251"/>
      <c r="AJR112" s="1251"/>
      <c r="AJS112" s="1251"/>
      <c r="AJT112" s="1251"/>
      <c r="AJU112" s="1251"/>
      <c r="AJV112" s="1251"/>
      <c r="AJW112" s="1251"/>
      <c r="AJX112" s="1251"/>
      <c r="AJY112" s="1251"/>
      <c r="AJZ112" s="1251"/>
      <c r="AKA112" s="1251"/>
      <c r="AKB112" s="1251"/>
      <c r="AKC112" s="1251"/>
      <c r="AKD112" s="1251"/>
      <c r="AKE112" s="1251"/>
      <c r="AKF112" s="1251"/>
      <c r="AKG112" s="1251"/>
      <c r="AKH112" s="1251"/>
      <c r="AKI112" s="1251"/>
      <c r="AKJ112" s="1251"/>
      <c r="AKK112" s="1251"/>
      <c r="AKL112" s="1251"/>
      <c r="AKM112" s="1251"/>
      <c r="AKN112" s="1251"/>
      <c r="AKO112" s="1251"/>
      <c r="AKP112" s="1251"/>
      <c r="AKQ112" s="1251"/>
      <c r="AKR112" s="1251"/>
      <c r="AKS112" s="1251"/>
      <c r="AKT112" s="1251"/>
      <c r="AKU112" s="1251"/>
      <c r="AKV112" s="1251"/>
      <c r="AKW112" s="1251"/>
      <c r="AKX112" s="1251"/>
      <c r="AKY112" s="1251"/>
      <c r="AKZ112" s="1251"/>
      <c r="ALA112" s="1251"/>
      <c r="ALB112" s="1251"/>
      <c r="ALC112" s="1251"/>
      <c r="ALD112" s="1251"/>
      <c r="ALE112" s="1251"/>
      <c r="ALF112" s="1251"/>
      <c r="ALG112" s="1251"/>
      <c r="ALH112" s="1251"/>
      <c r="ALI112" s="1251"/>
      <c r="ALJ112" s="1251"/>
      <c r="ALK112" s="1251"/>
      <c r="ALL112" s="1251"/>
      <c r="ALM112" s="1251"/>
      <c r="ALN112" s="1251"/>
      <c r="ALO112" s="1251"/>
      <c r="ALP112" s="1251"/>
      <c r="ALQ112" s="1251"/>
      <c r="ALR112" s="1251"/>
      <c r="ALS112" s="1251"/>
      <c r="ALT112" s="1251"/>
      <c r="ALU112" s="1251"/>
      <c r="ALV112" s="1251"/>
      <c r="ALW112" s="1251"/>
      <c r="ALX112" s="1251"/>
      <c r="ALY112" s="1251"/>
      <c r="ALZ112" s="1251"/>
      <c r="AMA112" s="1251"/>
      <c r="AMB112" s="1251"/>
      <c r="AMC112" s="1251"/>
      <c r="AMD112" s="1251"/>
      <c r="AME112" s="1251"/>
      <c r="AMF112" s="1251"/>
      <c r="AMG112" s="1251"/>
      <c r="AMH112" s="1251"/>
      <c r="AMI112" s="1251"/>
      <c r="AMJ112" s="1251"/>
      <c r="AMK112" s="1251"/>
      <c r="AML112" s="1251"/>
      <c r="AMM112" s="1251"/>
      <c r="AMN112" s="1251"/>
      <c r="AMO112" s="1251"/>
      <c r="AMP112" s="1251"/>
      <c r="AMQ112" s="1251"/>
      <c r="AMR112" s="1251"/>
      <c r="AMS112" s="1251"/>
      <c r="AMT112" s="1251"/>
      <c r="AMU112" s="1251"/>
      <c r="AMV112" s="1251"/>
      <c r="AMW112" s="1251"/>
      <c r="AMX112" s="1251"/>
      <c r="AMY112" s="1251"/>
      <c r="AMZ112" s="1251"/>
      <c r="ANA112" s="1251"/>
      <c r="ANB112" s="1251"/>
      <c r="ANC112" s="1251"/>
      <c r="AND112" s="1251"/>
      <c r="ANE112" s="1251"/>
      <c r="ANF112" s="1251"/>
      <c r="ANG112" s="1251"/>
      <c r="ANH112" s="1251"/>
      <c r="ANI112" s="1251"/>
      <c r="ANJ112" s="1251"/>
      <c r="ANK112" s="1251"/>
      <c r="ANL112" s="1251"/>
      <c r="ANM112" s="1251"/>
      <c r="ANN112" s="1251"/>
      <c r="ANO112" s="1251"/>
      <c r="ANP112" s="1251"/>
      <c r="ANQ112" s="1251"/>
      <c r="ANR112" s="1251"/>
      <c r="ANS112" s="1251"/>
      <c r="ANT112" s="1251"/>
      <c r="ANU112" s="1251"/>
      <c r="ANV112" s="1251"/>
      <c r="ANW112" s="1251"/>
      <c r="ANX112" s="1251"/>
      <c r="ANY112" s="1251"/>
      <c r="ANZ112" s="1251"/>
      <c r="AOA112" s="1251"/>
      <c r="AOB112" s="1251"/>
      <c r="AOC112" s="1251"/>
      <c r="AOD112" s="1251"/>
      <c r="AOE112" s="1251"/>
      <c r="AOF112" s="1251"/>
      <c r="AOG112" s="1251"/>
      <c r="AOH112" s="1251"/>
      <c r="AOI112" s="1251"/>
      <c r="AOJ112" s="1251"/>
      <c r="AOK112" s="1251"/>
      <c r="AOL112" s="1251"/>
      <c r="AOM112" s="1251"/>
      <c r="AON112" s="1251"/>
      <c r="AOO112" s="1251"/>
      <c r="AOP112" s="1251"/>
      <c r="AOQ112" s="1251"/>
      <c r="AOR112" s="1251"/>
      <c r="AOS112" s="1251"/>
      <c r="AOT112" s="1251"/>
      <c r="AOU112" s="1251"/>
      <c r="AOV112" s="1251"/>
      <c r="AOW112" s="1251"/>
      <c r="AOX112" s="1251"/>
      <c r="AOY112" s="1251"/>
      <c r="AOZ112" s="1251"/>
      <c r="APA112" s="1251"/>
      <c r="APB112" s="1251"/>
      <c r="APC112" s="1251"/>
      <c r="APD112" s="1251"/>
      <c r="APE112" s="1251"/>
      <c r="APF112" s="1251"/>
      <c r="APG112" s="1251"/>
      <c r="APH112" s="1251"/>
      <c r="API112" s="1251"/>
      <c r="APJ112" s="1251"/>
      <c r="APK112" s="1251"/>
      <c r="APL112" s="1251"/>
      <c r="APM112" s="1251"/>
      <c r="APN112" s="1251"/>
      <c r="APO112" s="1251"/>
      <c r="APP112" s="1251"/>
      <c r="APQ112" s="1251"/>
      <c r="APR112" s="1251"/>
      <c r="APS112" s="1251"/>
      <c r="APT112" s="1251"/>
      <c r="APU112" s="1251"/>
      <c r="APV112" s="1251"/>
      <c r="APW112" s="1251"/>
      <c r="APX112" s="1251"/>
      <c r="APY112" s="1251"/>
      <c r="APZ112" s="1251"/>
      <c r="AQA112" s="1251"/>
      <c r="AQB112" s="1251"/>
      <c r="AQC112" s="1251"/>
      <c r="AQD112" s="1251"/>
      <c r="AQE112" s="1251"/>
      <c r="AQF112" s="1251"/>
      <c r="AQG112" s="1251"/>
      <c r="AQH112" s="1251"/>
      <c r="AQI112" s="1251"/>
      <c r="AQJ112" s="1251"/>
      <c r="AQK112" s="1251"/>
      <c r="AQL112" s="1251"/>
      <c r="AQM112" s="1251"/>
      <c r="AQN112" s="1251"/>
      <c r="AQO112" s="1251"/>
      <c r="AQP112" s="1251"/>
      <c r="AQQ112" s="1251"/>
      <c r="AQR112" s="1251"/>
      <c r="AQS112" s="1251"/>
      <c r="AQT112" s="1251"/>
      <c r="AQU112" s="1251"/>
      <c r="AQV112" s="1251"/>
      <c r="AQW112" s="1251"/>
      <c r="AQX112" s="1251"/>
      <c r="AQY112" s="1251"/>
      <c r="AQZ112" s="1251"/>
      <c r="ARA112" s="1251"/>
      <c r="ARB112" s="1251"/>
      <c r="ARC112" s="1251"/>
      <c r="ARD112" s="1251"/>
      <c r="ARE112" s="1251"/>
      <c r="ARF112" s="1251"/>
      <c r="ARG112" s="1251"/>
      <c r="ARH112" s="1251"/>
      <c r="ARI112" s="1251"/>
      <c r="ARJ112" s="1251"/>
      <c r="ARK112" s="1251"/>
      <c r="ARL112" s="1251"/>
      <c r="ARM112" s="1251"/>
      <c r="ARN112" s="1251"/>
      <c r="ARO112" s="1251"/>
      <c r="ARP112" s="1251"/>
      <c r="ARQ112" s="1251"/>
      <c r="ARR112" s="1251"/>
      <c r="ARS112" s="1251"/>
      <c r="ART112" s="1251"/>
      <c r="ARU112" s="1251"/>
      <c r="ARV112" s="1251"/>
      <c r="ARW112" s="1251"/>
      <c r="ARX112" s="1251"/>
      <c r="ARY112" s="1251"/>
      <c r="ARZ112" s="1251"/>
      <c r="ASA112" s="1251"/>
      <c r="ASB112" s="1251"/>
      <c r="ASC112" s="1251"/>
      <c r="ASD112" s="1251"/>
      <c r="ASE112" s="1251"/>
      <c r="ASF112" s="1251"/>
      <c r="ASG112" s="1251"/>
      <c r="ASH112" s="1251"/>
      <c r="ASI112" s="1251"/>
      <c r="ASJ112" s="1251"/>
      <c r="ASK112" s="1251"/>
      <c r="ASL112" s="1251"/>
      <c r="ASM112" s="1251"/>
      <c r="ASN112" s="1251"/>
      <c r="ASO112" s="1251"/>
      <c r="ASP112" s="1251"/>
      <c r="ASQ112" s="1251"/>
      <c r="ASR112" s="1251"/>
      <c r="ASS112" s="1251"/>
      <c r="AST112" s="1251"/>
      <c r="ASU112" s="1251"/>
      <c r="ASV112" s="1251"/>
      <c r="ASW112" s="1251"/>
      <c r="ASX112" s="1251"/>
      <c r="ASY112" s="1251"/>
      <c r="ASZ112" s="1251"/>
      <c r="ATA112" s="1251"/>
      <c r="ATB112" s="1251"/>
      <c r="ATC112" s="1251"/>
      <c r="ATD112" s="1251"/>
      <c r="ATE112" s="1251"/>
      <c r="ATF112" s="1251"/>
      <c r="ATG112" s="1251"/>
      <c r="ATH112" s="1251"/>
      <c r="ATI112" s="1251"/>
      <c r="ATJ112" s="1251"/>
      <c r="ATK112" s="1251"/>
      <c r="ATL112" s="1251"/>
      <c r="ATM112" s="1251"/>
      <c r="ATN112" s="1251"/>
      <c r="ATO112" s="1251"/>
      <c r="ATP112" s="1251"/>
      <c r="ATQ112" s="1251"/>
      <c r="ATR112" s="1251"/>
      <c r="ATS112" s="1251"/>
      <c r="ATT112" s="1251"/>
      <c r="ATU112" s="1251"/>
      <c r="ATV112" s="1251"/>
      <c r="ATW112" s="1251"/>
      <c r="ATX112" s="1251"/>
      <c r="ATY112" s="1251"/>
      <c r="ATZ112" s="1251"/>
      <c r="AUA112" s="1251"/>
      <c r="AUB112" s="1251"/>
      <c r="AUC112" s="1251"/>
      <c r="AUD112" s="1251"/>
      <c r="AUE112" s="1251"/>
      <c r="AUF112" s="1251"/>
      <c r="AUG112" s="1251"/>
      <c r="AUH112" s="1251"/>
      <c r="AUI112" s="1251"/>
      <c r="AUJ112" s="1251"/>
      <c r="AUK112" s="1251"/>
      <c r="AUL112" s="1251"/>
      <c r="AUM112" s="1251"/>
      <c r="AUN112" s="1251"/>
      <c r="AUO112" s="1251"/>
      <c r="AUP112" s="1251"/>
      <c r="AUQ112" s="1251"/>
      <c r="AUR112" s="1251"/>
      <c r="AUS112" s="1251"/>
      <c r="AUT112" s="1251"/>
      <c r="AUU112" s="1251"/>
      <c r="AUV112" s="1251"/>
      <c r="AUW112" s="1251"/>
      <c r="AUX112" s="1251"/>
      <c r="AUY112" s="1251"/>
      <c r="AUZ112" s="1251"/>
      <c r="AVA112" s="1251"/>
      <c r="AVB112" s="1251"/>
      <c r="AVC112" s="1251"/>
      <c r="AVD112" s="1251"/>
      <c r="AVE112" s="1251"/>
      <c r="AVF112" s="1251"/>
      <c r="AVG112" s="1251"/>
      <c r="AVH112" s="1251"/>
      <c r="AVI112" s="1251"/>
      <c r="AVJ112" s="1251"/>
      <c r="AVK112" s="1251"/>
      <c r="AVL112" s="1251"/>
      <c r="AVM112" s="1251"/>
      <c r="AVN112" s="1251"/>
      <c r="AVO112" s="1251"/>
      <c r="AVP112" s="1251"/>
      <c r="AVQ112" s="1251"/>
      <c r="AVR112" s="1251"/>
      <c r="AVS112" s="1251"/>
      <c r="AVT112" s="1251"/>
      <c r="AVU112" s="1251"/>
      <c r="AVV112" s="1251"/>
      <c r="AVW112" s="1251"/>
      <c r="AVX112" s="1251"/>
      <c r="AVY112" s="1251"/>
      <c r="AVZ112" s="1251"/>
      <c r="AWA112" s="1251"/>
      <c r="AWB112" s="1251"/>
      <c r="AWC112" s="1251"/>
      <c r="AWD112" s="1251"/>
      <c r="AWE112" s="1251"/>
      <c r="AWF112" s="1251"/>
      <c r="AWG112" s="1251"/>
      <c r="AWH112" s="1251"/>
      <c r="AWI112" s="1251"/>
      <c r="AWJ112" s="1251"/>
      <c r="AWK112" s="1251"/>
      <c r="AWL112" s="1251"/>
      <c r="AWM112" s="1251"/>
      <c r="AWN112" s="1251"/>
      <c r="AWO112" s="1251"/>
      <c r="AWP112" s="1251"/>
      <c r="AWQ112" s="1251"/>
      <c r="AWR112" s="1251"/>
      <c r="AWS112" s="1251"/>
      <c r="AWT112" s="1251"/>
      <c r="AWU112" s="1251"/>
      <c r="AWV112" s="1251"/>
      <c r="AWW112" s="1251"/>
      <c r="AWX112" s="1251"/>
      <c r="AWY112" s="1251"/>
      <c r="AWZ112" s="1251"/>
      <c r="AXA112" s="1251"/>
      <c r="AXB112" s="1251"/>
      <c r="AXC112" s="1251"/>
      <c r="AXD112" s="1251"/>
      <c r="AXE112" s="1251"/>
      <c r="AXF112" s="1251"/>
      <c r="AXG112" s="1251"/>
      <c r="AXH112" s="1251"/>
      <c r="AXI112" s="1251"/>
      <c r="AXJ112" s="1251"/>
      <c r="AXK112" s="1251"/>
      <c r="AXL112" s="1251"/>
      <c r="AXM112" s="1251"/>
      <c r="AXN112" s="1251"/>
      <c r="AXO112" s="1251"/>
      <c r="AXP112" s="1251"/>
      <c r="AXQ112" s="1251"/>
      <c r="AXR112" s="1251"/>
      <c r="AXS112" s="1251"/>
      <c r="AXT112" s="1251"/>
      <c r="AXU112" s="1251"/>
      <c r="AXV112" s="1251"/>
      <c r="AXW112" s="1251"/>
      <c r="AXX112" s="1251"/>
      <c r="AXY112" s="1251"/>
      <c r="AXZ112" s="1251"/>
      <c r="AYA112" s="1251"/>
      <c r="AYB112" s="1251"/>
      <c r="AYC112" s="1251"/>
      <c r="AYD112" s="1251"/>
      <c r="AYE112" s="1251"/>
      <c r="AYF112" s="1251"/>
      <c r="AYG112" s="1251"/>
      <c r="AYH112" s="1251"/>
      <c r="AYI112" s="1251"/>
      <c r="AYJ112" s="1251"/>
      <c r="AYK112" s="1251"/>
      <c r="AYL112" s="1251"/>
      <c r="AYM112" s="1251"/>
      <c r="AYN112" s="1251"/>
      <c r="AYO112" s="1251"/>
      <c r="AYP112" s="1251"/>
      <c r="AYQ112" s="1251"/>
      <c r="AYR112" s="1251"/>
      <c r="AYS112" s="1251"/>
      <c r="AYT112" s="1251"/>
      <c r="AYU112" s="1251"/>
      <c r="AYV112" s="1251"/>
      <c r="AYW112" s="1251"/>
      <c r="AYX112" s="1251"/>
      <c r="AYY112" s="1251"/>
      <c r="AYZ112" s="1251"/>
      <c r="AZA112" s="1251"/>
      <c r="AZB112" s="1251"/>
      <c r="AZC112" s="1251"/>
      <c r="AZD112" s="1251"/>
      <c r="AZE112" s="1251"/>
      <c r="AZF112" s="1251"/>
      <c r="AZG112" s="1251"/>
      <c r="AZH112" s="1251"/>
      <c r="AZI112" s="1251"/>
      <c r="AZJ112" s="1251"/>
      <c r="AZK112" s="1251"/>
      <c r="AZL112" s="1251"/>
      <c r="AZM112" s="1251"/>
      <c r="AZN112" s="1251"/>
      <c r="AZO112" s="1251"/>
      <c r="AZP112" s="1251"/>
      <c r="AZQ112" s="1251"/>
      <c r="AZR112" s="1251"/>
      <c r="AZS112" s="1251"/>
      <c r="AZT112" s="1251"/>
      <c r="AZU112" s="1251"/>
      <c r="AZV112" s="1251"/>
      <c r="AZW112" s="1251"/>
      <c r="AZX112" s="1251"/>
      <c r="AZY112" s="1251"/>
      <c r="AZZ112" s="1251"/>
      <c r="BAA112" s="1251"/>
      <c r="BAB112" s="1251"/>
      <c r="BAC112" s="1251"/>
      <c r="BAD112" s="1251"/>
      <c r="BAE112" s="1251"/>
      <c r="BAF112" s="1251"/>
      <c r="BAG112" s="1251"/>
      <c r="BAH112" s="1251"/>
      <c r="BAI112" s="1251"/>
      <c r="BAJ112" s="1251"/>
      <c r="BAK112" s="1251"/>
      <c r="BAL112" s="1251"/>
      <c r="BAM112" s="1251"/>
      <c r="BAN112" s="1251"/>
      <c r="BAO112" s="1251"/>
      <c r="BAP112" s="1251"/>
      <c r="BAQ112" s="1251"/>
      <c r="BAR112" s="1251"/>
      <c r="BAS112" s="1251"/>
      <c r="BAT112" s="1251"/>
      <c r="BAU112" s="1251"/>
      <c r="BAV112" s="1251"/>
      <c r="BAW112" s="1251"/>
      <c r="BAX112" s="1251"/>
      <c r="BAY112" s="1251"/>
      <c r="BAZ112" s="1251"/>
      <c r="BBA112" s="1251"/>
      <c r="BBB112" s="1251"/>
      <c r="BBC112" s="1251"/>
      <c r="BBD112" s="1251"/>
      <c r="BBE112" s="1251"/>
      <c r="BBF112" s="1251"/>
      <c r="BBG112" s="1251"/>
      <c r="BBH112" s="1251"/>
      <c r="BBI112" s="1251"/>
      <c r="BBJ112" s="1251"/>
      <c r="BBK112" s="1251"/>
      <c r="BBL112" s="1251"/>
      <c r="BBM112" s="1251"/>
      <c r="BBN112" s="1251"/>
      <c r="BBO112" s="1251"/>
      <c r="BBP112" s="1251"/>
      <c r="BBQ112" s="1251"/>
      <c r="BBR112" s="1251"/>
      <c r="BBS112" s="1251"/>
      <c r="BBT112" s="1251"/>
      <c r="BBU112" s="1251"/>
      <c r="BBV112" s="1251"/>
      <c r="BBW112" s="1251"/>
      <c r="BBX112" s="1251"/>
      <c r="BBY112" s="1251"/>
      <c r="BBZ112" s="1251"/>
      <c r="BCA112" s="1251"/>
      <c r="BCB112" s="1251"/>
      <c r="BCC112" s="1251"/>
      <c r="BCD112" s="1251"/>
      <c r="BCE112" s="1251"/>
      <c r="BCF112" s="1251"/>
      <c r="BCG112" s="1251"/>
      <c r="BCH112" s="1251"/>
      <c r="BCI112" s="1251"/>
      <c r="BCJ112" s="1251"/>
      <c r="BCK112" s="1251"/>
      <c r="BCL112" s="1251"/>
      <c r="BCM112" s="1251"/>
      <c r="BCN112" s="1251"/>
      <c r="BCO112" s="1251"/>
      <c r="BCP112" s="1251"/>
      <c r="BCQ112" s="1251"/>
      <c r="BCR112" s="1251"/>
      <c r="BCS112" s="1251"/>
      <c r="BCT112" s="1251"/>
      <c r="BCU112" s="1251"/>
      <c r="BCV112" s="1251"/>
      <c r="BCW112" s="1251"/>
      <c r="BCX112" s="1251"/>
      <c r="BCY112" s="1251"/>
      <c r="BCZ112" s="1251"/>
      <c r="BDA112" s="1251"/>
      <c r="BDB112" s="1251"/>
      <c r="BDC112" s="1251"/>
      <c r="BDD112" s="1251"/>
      <c r="BDE112" s="1251"/>
      <c r="BDF112" s="1251"/>
      <c r="BDG112" s="1251"/>
      <c r="BDH112" s="1251"/>
      <c r="BDI112" s="1251"/>
      <c r="BDJ112" s="1251"/>
      <c r="BDK112" s="1251"/>
      <c r="BDL112" s="1251"/>
      <c r="BDM112" s="1251"/>
      <c r="BDN112" s="1251"/>
      <c r="BDO112" s="1251"/>
      <c r="BDP112" s="1251"/>
      <c r="BDQ112" s="1251"/>
      <c r="BDR112" s="1251"/>
      <c r="BDS112" s="1251"/>
      <c r="BDT112" s="1251"/>
      <c r="BDU112" s="1251"/>
      <c r="BDV112" s="1251"/>
      <c r="BDW112" s="1251"/>
      <c r="BDX112" s="1251"/>
      <c r="BDY112" s="1251"/>
      <c r="BDZ112" s="1251"/>
      <c r="BEA112" s="1251"/>
      <c r="BEB112" s="1251"/>
      <c r="BEC112" s="1251"/>
      <c r="BED112" s="1251"/>
      <c r="BEE112" s="1251"/>
      <c r="BEF112" s="1251"/>
      <c r="BEG112" s="1251"/>
      <c r="BEH112" s="1251"/>
      <c r="BEI112" s="1251"/>
      <c r="BEJ112" s="1251"/>
      <c r="BEK112" s="1251"/>
      <c r="BEL112" s="1251"/>
      <c r="BEM112" s="1251"/>
      <c r="BEN112" s="1251"/>
      <c r="BEO112" s="1251"/>
      <c r="BEP112" s="1251"/>
      <c r="BEQ112" s="1251"/>
      <c r="BER112" s="1251"/>
      <c r="BES112" s="1251"/>
      <c r="BET112" s="1251"/>
      <c r="BEU112" s="1251"/>
      <c r="BEV112" s="1251"/>
      <c r="BEW112" s="1251"/>
      <c r="BEX112" s="1251"/>
      <c r="BEY112" s="1251"/>
      <c r="BEZ112" s="1251"/>
      <c r="BFA112" s="1251"/>
      <c r="BFB112" s="1251"/>
      <c r="BFC112" s="1251"/>
      <c r="BFD112" s="1251"/>
      <c r="BFE112" s="1251"/>
      <c r="BFF112" s="1251"/>
      <c r="BFG112" s="1251"/>
      <c r="BFH112" s="1251"/>
      <c r="BFI112" s="1251"/>
      <c r="BFJ112" s="1251"/>
      <c r="BFK112" s="1251"/>
      <c r="BFL112" s="1251"/>
      <c r="BFM112" s="1251"/>
      <c r="BFN112" s="1251"/>
      <c r="BFO112" s="1251"/>
      <c r="BFP112" s="1251"/>
      <c r="BFQ112" s="1251"/>
      <c r="BFR112" s="1251"/>
      <c r="BFS112" s="1251"/>
      <c r="BFT112" s="1251"/>
      <c r="BFU112" s="1251"/>
      <c r="BFV112" s="1251"/>
      <c r="BFW112" s="1251"/>
      <c r="BFX112" s="1251"/>
      <c r="BFY112" s="1251"/>
      <c r="BFZ112" s="1251"/>
      <c r="BGA112" s="1251"/>
      <c r="BGB112" s="1251"/>
      <c r="BGC112" s="1251"/>
      <c r="BGD112" s="1251"/>
      <c r="BGE112" s="1251"/>
      <c r="BGF112" s="1251"/>
      <c r="BGG112" s="1251"/>
      <c r="BGH112" s="1251"/>
      <c r="BGI112" s="1251"/>
      <c r="BGJ112" s="1251"/>
      <c r="BGK112" s="1251"/>
      <c r="BGL112" s="1251"/>
      <c r="BGM112" s="1251"/>
      <c r="BGN112" s="1251"/>
      <c r="BGO112" s="1251"/>
      <c r="BGP112" s="1251"/>
      <c r="BGQ112" s="1251"/>
      <c r="BGR112" s="1251"/>
      <c r="BGS112" s="1251"/>
      <c r="BGT112" s="1251"/>
      <c r="BGU112" s="1251"/>
      <c r="BGV112" s="1251"/>
      <c r="BGW112" s="1251"/>
      <c r="BGX112" s="1251"/>
      <c r="BGY112" s="1251"/>
      <c r="BGZ112" s="1251"/>
      <c r="BHA112" s="1251"/>
      <c r="BHB112" s="1251"/>
      <c r="BHC112" s="1251"/>
      <c r="BHD112" s="1251"/>
      <c r="BHE112" s="1251"/>
      <c r="BHF112" s="1251"/>
      <c r="BHG112" s="1251"/>
      <c r="BHH112" s="1251"/>
      <c r="BHI112" s="1251"/>
      <c r="BHJ112" s="1251"/>
      <c r="BHK112" s="1251"/>
      <c r="BHL112" s="1251"/>
      <c r="BHM112" s="1251"/>
      <c r="BHN112" s="1251"/>
      <c r="BHO112" s="1251"/>
      <c r="BHP112" s="1251"/>
      <c r="BHQ112" s="1251"/>
      <c r="BHR112" s="1251"/>
      <c r="BHS112" s="1251"/>
      <c r="BHT112" s="1251"/>
      <c r="BHU112" s="1251"/>
      <c r="BHV112" s="1251"/>
      <c r="BHW112" s="1251"/>
      <c r="BHX112" s="1251"/>
      <c r="BHY112" s="1251"/>
      <c r="BHZ112" s="1251"/>
      <c r="BIA112" s="1251"/>
      <c r="BIB112" s="1251"/>
      <c r="BIC112" s="1251"/>
      <c r="BID112" s="1251"/>
      <c r="BIE112" s="1251"/>
      <c r="BIF112" s="1251"/>
      <c r="BIG112" s="1251"/>
      <c r="BIH112" s="1251"/>
      <c r="BII112" s="1251"/>
      <c r="BIJ112" s="1251"/>
      <c r="BIK112" s="1251"/>
      <c r="BIL112" s="1251"/>
      <c r="BIM112" s="1251"/>
      <c r="BIN112" s="1251"/>
      <c r="BIO112" s="1251"/>
      <c r="BIP112" s="1251"/>
      <c r="BIQ112" s="1251"/>
      <c r="BIR112" s="1251"/>
      <c r="BIS112" s="1251"/>
      <c r="BIT112" s="1251"/>
      <c r="BIU112" s="1251"/>
      <c r="BIV112" s="1251"/>
      <c r="BIW112" s="1251"/>
      <c r="BIX112" s="1251"/>
      <c r="BIY112" s="1251"/>
      <c r="BIZ112" s="1251"/>
      <c r="BJA112" s="1251"/>
      <c r="BJB112" s="1251"/>
      <c r="BJC112" s="1251"/>
      <c r="BJD112" s="1251"/>
      <c r="BJE112" s="1251"/>
      <c r="BJF112" s="1251"/>
      <c r="BJG112" s="1251"/>
      <c r="BJH112" s="1251"/>
      <c r="BJI112" s="1251"/>
      <c r="BJJ112" s="1251"/>
      <c r="BJK112" s="1251"/>
      <c r="BJL112" s="1251"/>
      <c r="BJM112" s="1251"/>
      <c r="BJN112" s="1251"/>
      <c r="BJO112" s="1251"/>
      <c r="BJP112" s="1251"/>
      <c r="BJQ112" s="1251"/>
      <c r="BJR112" s="1251"/>
      <c r="BJS112" s="1251"/>
      <c r="BJT112" s="1251"/>
      <c r="BJU112" s="1251"/>
      <c r="BJV112" s="1251"/>
      <c r="BJW112" s="1251"/>
      <c r="BJX112" s="1251"/>
      <c r="BJY112" s="1251"/>
      <c r="BJZ112" s="1251"/>
      <c r="BKA112" s="1251"/>
      <c r="BKB112" s="1251"/>
      <c r="BKC112" s="1251"/>
      <c r="BKD112" s="1251"/>
      <c r="BKE112" s="1251"/>
      <c r="BKF112" s="1251"/>
      <c r="BKG112" s="1251"/>
      <c r="BKH112" s="1251"/>
      <c r="BKI112" s="1251"/>
      <c r="BKJ112" s="1251"/>
      <c r="BKK112" s="1251"/>
      <c r="BKL112" s="1251"/>
      <c r="BKM112" s="1251"/>
      <c r="BKN112" s="1251"/>
      <c r="BKO112" s="1251"/>
      <c r="BKP112" s="1251"/>
      <c r="BKQ112" s="1251"/>
      <c r="BKR112" s="1251"/>
      <c r="BKS112" s="1251"/>
      <c r="BKT112" s="1251"/>
      <c r="BKU112" s="1251"/>
      <c r="BKV112" s="1251"/>
      <c r="BKW112" s="1251"/>
      <c r="BKX112" s="1251"/>
      <c r="BKY112" s="1251"/>
      <c r="BKZ112" s="1251"/>
      <c r="BLA112" s="1251"/>
      <c r="BLB112" s="1251"/>
      <c r="BLC112" s="1251"/>
      <c r="BLD112" s="1251"/>
      <c r="BLE112" s="1251"/>
      <c r="BLF112" s="1251"/>
      <c r="BLG112" s="1251"/>
      <c r="BLH112" s="1251"/>
      <c r="BLI112" s="1251"/>
      <c r="BLJ112" s="1251"/>
      <c r="BLK112" s="1251"/>
      <c r="BLL112" s="1251"/>
      <c r="BLM112" s="1251"/>
      <c r="BLN112" s="1251"/>
      <c r="BLO112" s="1251"/>
      <c r="BLP112" s="1251"/>
      <c r="BLQ112" s="1251"/>
      <c r="BLR112" s="1251"/>
      <c r="BLS112" s="1251"/>
      <c r="BLT112" s="1251"/>
      <c r="BLU112" s="1251"/>
      <c r="BLV112" s="1251"/>
      <c r="BLW112" s="1251"/>
      <c r="BLX112" s="1251"/>
      <c r="BLY112" s="1251"/>
      <c r="BLZ112" s="1251"/>
      <c r="BMA112" s="1251"/>
      <c r="BMB112" s="1251"/>
      <c r="BMC112" s="1251"/>
      <c r="BMD112" s="1251"/>
      <c r="BME112" s="1251"/>
      <c r="BMF112" s="1251"/>
      <c r="BMG112" s="1251"/>
      <c r="BMH112" s="1251"/>
      <c r="BMI112" s="1251"/>
      <c r="BMJ112" s="1251"/>
      <c r="BMK112" s="1251"/>
      <c r="BML112" s="1251"/>
      <c r="BMM112" s="1251"/>
      <c r="BMN112" s="1251"/>
      <c r="BMO112" s="1251"/>
      <c r="BMP112" s="1251"/>
      <c r="BMQ112" s="1251"/>
      <c r="BMR112" s="1251"/>
      <c r="BMS112" s="1251"/>
      <c r="BMT112" s="1251"/>
      <c r="BMU112" s="1251"/>
      <c r="BMV112" s="1251"/>
      <c r="BMW112" s="1251"/>
      <c r="BMX112" s="1251"/>
      <c r="BMY112" s="1251"/>
      <c r="BMZ112" s="1251"/>
      <c r="BNA112" s="1251"/>
      <c r="BNB112" s="1251"/>
      <c r="BNC112" s="1251"/>
      <c r="BND112" s="1251"/>
      <c r="BNE112" s="1251"/>
      <c r="BNF112" s="1251"/>
      <c r="BNG112" s="1251"/>
      <c r="BNH112" s="1251"/>
      <c r="BNI112" s="1251"/>
      <c r="BNJ112" s="1251"/>
      <c r="BNK112" s="1251"/>
      <c r="BNL112" s="1251"/>
      <c r="BNM112" s="1251"/>
      <c r="BNN112" s="1251"/>
      <c r="BNO112" s="1251"/>
      <c r="BNP112" s="1251"/>
      <c r="BNQ112" s="1251"/>
      <c r="BNR112" s="1251"/>
      <c r="BNS112" s="1251"/>
      <c r="BNT112" s="1251"/>
      <c r="BNU112" s="1251"/>
      <c r="BNV112" s="1251"/>
      <c r="BNW112" s="1251"/>
      <c r="BNX112" s="1251"/>
      <c r="BNY112" s="1251"/>
      <c r="BNZ112" s="1251"/>
      <c r="BOA112" s="1251"/>
      <c r="BOB112" s="1251"/>
      <c r="BOC112" s="1251"/>
      <c r="BOD112" s="1251"/>
      <c r="BOE112" s="1251"/>
      <c r="BOF112" s="1251"/>
      <c r="BOG112" s="1251"/>
      <c r="BOH112" s="1251"/>
      <c r="BOI112" s="1251"/>
      <c r="BOJ112" s="1251"/>
      <c r="BOK112" s="1251"/>
      <c r="BOL112" s="1251"/>
      <c r="BOM112" s="1251"/>
      <c r="BON112" s="1251"/>
      <c r="BOO112" s="1251"/>
      <c r="BOP112" s="1251"/>
      <c r="BOQ112" s="1251"/>
      <c r="BOR112" s="1251"/>
      <c r="BOS112" s="1251"/>
      <c r="BOT112" s="1251"/>
      <c r="BOU112" s="1251"/>
      <c r="BOV112" s="1251"/>
      <c r="BOW112" s="1251"/>
      <c r="BOX112" s="1251"/>
      <c r="BOY112" s="1251"/>
      <c r="BOZ112" s="1251"/>
      <c r="BPA112" s="1251"/>
      <c r="BPB112" s="1251"/>
      <c r="BPC112" s="1251"/>
      <c r="BPD112" s="1251"/>
      <c r="BPE112" s="1251"/>
      <c r="BPF112" s="1251"/>
      <c r="BPG112" s="1251"/>
      <c r="BPH112" s="1251"/>
      <c r="BPI112" s="1251"/>
      <c r="BPJ112" s="1251"/>
      <c r="BPK112" s="1251"/>
      <c r="BPL112" s="1251"/>
      <c r="BPM112" s="1251"/>
      <c r="BPN112" s="1251"/>
      <c r="BPO112" s="1251"/>
      <c r="BPP112" s="1251"/>
      <c r="BPQ112" s="1251"/>
      <c r="BPR112" s="1251"/>
      <c r="BPS112" s="1251"/>
      <c r="BPT112" s="1251"/>
      <c r="BPU112" s="1251"/>
      <c r="BPV112" s="1251"/>
      <c r="BPW112" s="1251"/>
      <c r="BPX112" s="1251"/>
      <c r="BPY112" s="1251"/>
      <c r="BPZ112" s="1251"/>
      <c r="BQA112" s="1251"/>
      <c r="BQB112" s="1251"/>
      <c r="BQC112" s="1251"/>
      <c r="BQD112" s="1251"/>
      <c r="BQE112" s="1251"/>
      <c r="BQF112" s="1251"/>
      <c r="BQG112" s="1251"/>
      <c r="BQH112" s="1251"/>
      <c r="BQI112" s="1251"/>
      <c r="BQJ112" s="1251"/>
      <c r="BQK112" s="1251"/>
      <c r="BQL112" s="1251"/>
      <c r="BQM112" s="1251"/>
      <c r="BQN112" s="1251"/>
      <c r="BQO112" s="1251"/>
      <c r="BQP112" s="1251"/>
      <c r="BQQ112" s="1251"/>
      <c r="BQR112" s="1251"/>
      <c r="BQS112" s="1251"/>
      <c r="BQT112" s="1251"/>
      <c r="BQU112" s="1251"/>
      <c r="BQV112" s="1251"/>
      <c r="BQW112" s="1251"/>
      <c r="BQX112" s="1251"/>
      <c r="BQY112" s="1251"/>
      <c r="BQZ112" s="1251"/>
      <c r="BRA112" s="1251"/>
      <c r="BRB112" s="1251"/>
      <c r="BRC112" s="1251"/>
      <c r="BRD112" s="1251"/>
      <c r="BRE112" s="1251"/>
      <c r="BRF112" s="1251"/>
      <c r="BRG112" s="1251"/>
      <c r="BRH112" s="1251"/>
      <c r="BRI112" s="1251"/>
      <c r="BRJ112" s="1251"/>
      <c r="BRK112" s="1251"/>
      <c r="BRL112" s="1251"/>
      <c r="BRM112" s="1251"/>
      <c r="BRN112" s="1251"/>
      <c r="BRO112" s="1251"/>
      <c r="BRP112" s="1251"/>
      <c r="BRQ112" s="1251"/>
      <c r="BRR112" s="1251"/>
      <c r="BRS112" s="1251"/>
      <c r="BRT112" s="1251"/>
      <c r="BRU112" s="1251"/>
      <c r="BRV112" s="1251"/>
      <c r="BRW112" s="1251"/>
      <c r="BRX112" s="1251"/>
      <c r="BRY112" s="1251"/>
      <c r="BRZ112" s="1251"/>
      <c r="BSA112" s="1251"/>
      <c r="BSB112" s="1251"/>
      <c r="BSC112" s="1251"/>
      <c r="BSD112" s="1251"/>
      <c r="BSE112" s="1251"/>
      <c r="BSF112" s="1251"/>
      <c r="BSG112" s="1251"/>
      <c r="BSH112" s="1251"/>
      <c r="BSI112" s="1251"/>
      <c r="BSJ112" s="1251"/>
      <c r="BSK112" s="1251"/>
      <c r="BSL112" s="1251"/>
      <c r="BSM112" s="1251"/>
      <c r="BSN112" s="1251"/>
      <c r="BSO112" s="1251"/>
      <c r="BSP112" s="1251"/>
      <c r="BSQ112" s="1251"/>
      <c r="BSR112" s="1251"/>
      <c r="BSS112" s="1251"/>
      <c r="BST112" s="1251"/>
      <c r="BSU112" s="1251"/>
      <c r="BSV112" s="1251"/>
      <c r="BSW112" s="1251"/>
      <c r="BSX112" s="1251"/>
      <c r="BSY112" s="1251"/>
      <c r="BSZ112" s="1251"/>
      <c r="BTA112" s="1251"/>
      <c r="BTB112" s="1251"/>
      <c r="BTC112" s="1251"/>
      <c r="BTD112" s="1251"/>
      <c r="BTE112" s="1251"/>
      <c r="BTF112" s="1251"/>
      <c r="BTG112" s="1251"/>
      <c r="BTH112" s="1251"/>
      <c r="BTI112" s="1251"/>
    </row>
    <row r="113" spans="1:1881" s="1261" customFormat="1" ht="102.75" hidden="1" customHeight="1" thickBot="1" x14ac:dyDescent="0.35">
      <c r="A113" s="1274">
        <v>38</v>
      </c>
      <c r="B113" s="1272" t="s">
        <v>567</v>
      </c>
      <c r="C113" s="659" t="s">
        <v>1276</v>
      </c>
      <c r="D113" s="659" t="s">
        <v>1279</v>
      </c>
      <c r="E113" s="1249" t="e">
        <f>HLOOKUP($D$2,'2020 Data(H)'!$C$1:$CZ$426,26,FALSE)</f>
        <v>#N/A</v>
      </c>
      <c r="F113" s="1263">
        <v>0</v>
      </c>
      <c r="G113" s="727"/>
      <c r="H113" s="17"/>
      <c r="I113" s="760"/>
      <c r="J113" s="1252"/>
      <c r="K113" s="1251"/>
      <c r="L113" s="701"/>
      <c r="M113" s="1251"/>
      <c r="N113" s="1253"/>
      <c r="O113" s="1251"/>
      <c r="P113" s="1251"/>
      <c r="Q113" s="1251"/>
      <c r="R113" s="1251"/>
      <c r="S113" s="1251"/>
      <c r="T113" s="1251"/>
      <c r="U113" s="1251"/>
      <c r="V113" s="1251"/>
      <c r="W113" s="1251"/>
      <c r="X113" s="1251"/>
      <c r="Y113" s="1251"/>
      <c r="Z113" s="1274"/>
      <c r="AA113" s="1274"/>
      <c r="AB113" s="1274"/>
      <c r="AC113" s="1274"/>
      <c r="AD113" s="1274"/>
      <c r="AE113" s="1274"/>
      <c r="AF113" s="1274"/>
      <c r="AG113" s="1274"/>
      <c r="AH113" s="1274"/>
      <c r="AI113" s="1274"/>
      <c r="AJ113" s="1274"/>
      <c r="AK113" s="1274"/>
      <c r="AL113" s="1274"/>
      <c r="AM113" s="1274"/>
      <c r="AN113" s="1274"/>
      <c r="AO113" s="1274"/>
      <c r="AP113" s="1274"/>
      <c r="AQ113" s="1274"/>
      <c r="AR113" s="1274"/>
      <c r="AS113" s="1251"/>
      <c r="AT113" s="1251"/>
      <c r="AU113" s="1251"/>
      <c r="AV113" s="1251"/>
      <c r="AW113" s="1251"/>
      <c r="AX113" s="1251"/>
      <c r="AY113" s="1251"/>
      <c r="AZ113" s="1251"/>
      <c r="BA113" s="1251"/>
      <c r="BB113" s="1251"/>
      <c r="BC113" s="1251"/>
      <c r="BD113" s="1251"/>
      <c r="BE113" s="1251"/>
      <c r="BF113" s="1251"/>
      <c r="BG113" s="1251"/>
      <c r="BH113" s="1251"/>
      <c r="BI113" s="1251"/>
      <c r="BJ113" s="1251"/>
      <c r="BK113" s="1251"/>
      <c r="BL113" s="1251"/>
      <c r="BM113" s="1251"/>
      <c r="BN113" s="1251"/>
      <c r="BO113" s="1251"/>
      <c r="BP113" s="1251"/>
      <c r="BQ113" s="1251"/>
      <c r="BR113" s="1251"/>
      <c r="BS113" s="1251"/>
      <c r="BT113" s="1251"/>
      <c r="BU113" s="1251"/>
      <c r="BV113" s="1251"/>
      <c r="BW113" s="1251"/>
      <c r="BX113" s="1251"/>
      <c r="BY113" s="1251"/>
      <c r="BZ113" s="1251"/>
      <c r="CA113" s="1251"/>
      <c r="CB113" s="1251"/>
      <c r="CC113" s="1251"/>
      <c r="CD113" s="1251"/>
      <c r="CE113" s="1251"/>
      <c r="CF113" s="1251"/>
      <c r="CG113" s="1251"/>
      <c r="CH113" s="1251"/>
      <c r="CI113" s="1251"/>
      <c r="CJ113" s="1251"/>
      <c r="CK113" s="1251"/>
      <c r="CL113" s="1251"/>
      <c r="CM113" s="1251"/>
      <c r="CN113" s="1251"/>
      <c r="CO113" s="1251"/>
      <c r="CP113" s="1251"/>
      <c r="CQ113" s="1251"/>
      <c r="CR113" s="1251"/>
      <c r="CS113" s="1251"/>
      <c r="CT113" s="1251"/>
      <c r="CU113" s="1251"/>
      <c r="CV113" s="1251"/>
      <c r="CW113" s="1251"/>
      <c r="CX113" s="1251"/>
      <c r="CY113" s="1251"/>
      <c r="CZ113" s="1251"/>
      <c r="DA113" s="1251"/>
      <c r="DB113" s="1251"/>
      <c r="DC113" s="1251"/>
      <c r="DD113" s="1251"/>
      <c r="DE113" s="1251"/>
      <c r="DF113" s="1251"/>
      <c r="DG113" s="1251"/>
      <c r="DH113" s="1251"/>
      <c r="DI113" s="1251"/>
      <c r="DJ113" s="1251"/>
      <c r="DK113" s="1251"/>
      <c r="DL113" s="1251"/>
      <c r="DM113" s="1251"/>
      <c r="DN113" s="1251"/>
      <c r="DO113" s="1251"/>
      <c r="DP113" s="1251"/>
      <c r="DQ113" s="1251"/>
      <c r="DR113" s="1251"/>
      <c r="DS113" s="1251"/>
      <c r="DT113" s="1251"/>
      <c r="DU113" s="1251"/>
      <c r="DV113" s="1251"/>
      <c r="DW113" s="1251"/>
      <c r="DX113" s="1251"/>
      <c r="DY113" s="1251"/>
      <c r="DZ113" s="1251"/>
      <c r="EA113" s="1251"/>
      <c r="EB113" s="1251"/>
      <c r="EC113" s="1251"/>
      <c r="ED113" s="1251"/>
      <c r="EE113" s="1251"/>
      <c r="EF113" s="1251"/>
      <c r="EG113" s="1251"/>
      <c r="EH113" s="1251"/>
      <c r="EI113" s="1251"/>
      <c r="EJ113" s="1251"/>
      <c r="EK113" s="1251"/>
      <c r="EL113" s="1251"/>
      <c r="EM113" s="1251"/>
      <c r="EN113" s="1251"/>
      <c r="EO113" s="1251"/>
      <c r="EP113" s="1251"/>
      <c r="EQ113" s="1251"/>
      <c r="ER113" s="1251"/>
      <c r="ES113" s="1251"/>
      <c r="ET113" s="1251"/>
      <c r="EU113" s="1251"/>
      <c r="EV113" s="1251"/>
      <c r="EW113" s="1251"/>
      <c r="EX113" s="1251"/>
      <c r="EY113" s="1251"/>
      <c r="EZ113" s="1251"/>
      <c r="FA113" s="1251"/>
      <c r="FB113" s="1251"/>
      <c r="FC113" s="1251"/>
      <c r="FD113" s="1251"/>
      <c r="FE113" s="1251"/>
      <c r="FF113" s="1251"/>
      <c r="FG113" s="1251"/>
      <c r="FH113" s="1251"/>
      <c r="FI113" s="1251"/>
      <c r="FJ113" s="1251"/>
      <c r="FK113" s="1251"/>
      <c r="FL113" s="1251"/>
      <c r="FM113" s="1251"/>
      <c r="FN113" s="1251"/>
      <c r="FO113" s="1251"/>
      <c r="FP113" s="1251"/>
      <c r="FQ113" s="1251"/>
      <c r="FR113" s="1251"/>
      <c r="FS113" s="1251"/>
      <c r="FT113" s="1251"/>
      <c r="FU113" s="1251"/>
      <c r="FV113" s="1251"/>
      <c r="FW113" s="1251"/>
      <c r="FX113" s="1251"/>
      <c r="FY113" s="1251"/>
      <c r="FZ113" s="1251"/>
      <c r="GA113" s="1251"/>
      <c r="GB113" s="1251"/>
      <c r="GC113" s="1251"/>
      <c r="GD113" s="1251"/>
      <c r="GE113" s="1251"/>
      <c r="GF113" s="1251"/>
      <c r="GG113" s="1251"/>
      <c r="GH113" s="1251"/>
      <c r="GI113" s="1251"/>
      <c r="GJ113" s="1251"/>
      <c r="GK113" s="1251"/>
      <c r="GL113" s="1251"/>
      <c r="GM113" s="1251"/>
      <c r="GN113" s="1251"/>
      <c r="GO113" s="1251"/>
      <c r="GP113" s="1251"/>
      <c r="GQ113" s="1251"/>
      <c r="GR113" s="1251"/>
      <c r="GS113" s="1251"/>
      <c r="GT113" s="1251"/>
      <c r="GU113" s="1251"/>
      <c r="GV113" s="1251"/>
      <c r="GW113" s="1251"/>
      <c r="GX113" s="1251"/>
      <c r="GY113" s="1251"/>
      <c r="GZ113" s="1251"/>
      <c r="HA113" s="1251"/>
      <c r="HB113" s="1251"/>
      <c r="HC113" s="1251"/>
      <c r="HD113" s="1251"/>
      <c r="HE113" s="1251"/>
      <c r="HF113" s="1251"/>
      <c r="HG113" s="1251"/>
      <c r="HH113" s="1251"/>
      <c r="HI113" s="1251"/>
      <c r="HJ113" s="1251"/>
      <c r="HK113" s="1251"/>
      <c r="HL113" s="1251"/>
      <c r="HM113" s="1251"/>
      <c r="HN113" s="1251"/>
      <c r="HO113" s="1251"/>
      <c r="HP113" s="1251"/>
      <c r="HQ113" s="1251"/>
      <c r="HR113" s="1251"/>
      <c r="HS113" s="1251"/>
      <c r="HT113" s="1251"/>
      <c r="HU113" s="1251"/>
      <c r="HV113" s="1251"/>
      <c r="HW113" s="1251"/>
      <c r="HX113" s="1251"/>
      <c r="HY113" s="1251"/>
      <c r="HZ113" s="1251"/>
      <c r="IA113" s="1251"/>
      <c r="IB113" s="1251"/>
      <c r="IC113" s="1251"/>
      <c r="ID113" s="1251"/>
      <c r="IE113" s="1251"/>
      <c r="IF113" s="1251"/>
      <c r="IG113" s="1251"/>
      <c r="IH113" s="1251"/>
      <c r="II113" s="1251"/>
      <c r="IJ113" s="1251"/>
      <c r="IK113" s="1251"/>
      <c r="IL113" s="1251"/>
      <c r="IM113" s="1251"/>
      <c r="IN113" s="1251"/>
      <c r="IO113" s="1251"/>
      <c r="IP113" s="1251"/>
      <c r="IQ113" s="1251"/>
      <c r="IR113" s="1251"/>
      <c r="IS113" s="1251"/>
      <c r="IT113" s="1251"/>
      <c r="IU113" s="1251"/>
      <c r="IV113" s="1251"/>
      <c r="IW113" s="1251"/>
      <c r="IX113" s="1251"/>
      <c r="IY113" s="1251"/>
      <c r="IZ113" s="1251"/>
      <c r="JA113" s="1251"/>
      <c r="JB113" s="1251"/>
      <c r="JC113" s="1251"/>
      <c r="JD113" s="1251"/>
      <c r="JE113" s="1251"/>
      <c r="JF113" s="1251"/>
      <c r="JG113" s="1251"/>
      <c r="JH113" s="1251"/>
      <c r="JI113" s="1251"/>
      <c r="JJ113" s="1251"/>
      <c r="JK113" s="1251"/>
      <c r="JL113" s="1251"/>
      <c r="JM113" s="1251"/>
      <c r="JN113" s="1251"/>
      <c r="JO113" s="1251"/>
      <c r="JP113" s="1251"/>
      <c r="JQ113" s="1251"/>
      <c r="JR113" s="1251"/>
      <c r="JS113" s="1251"/>
      <c r="JT113" s="1251"/>
      <c r="JU113" s="1251"/>
      <c r="JV113" s="1251"/>
      <c r="JW113" s="1251"/>
      <c r="JX113" s="1251"/>
      <c r="JY113" s="1251"/>
      <c r="JZ113" s="1251"/>
      <c r="KA113" s="1251"/>
      <c r="KB113" s="1251"/>
      <c r="KC113" s="1251"/>
      <c r="KD113" s="1251"/>
      <c r="KE113" s="1251"/>
      <c r="KF113" s="1251"/>
      <c r="KG113" s="1251"/>
      <c r="KH113" s="1251"/>
      <c r="KI113" s="1251"/>
      <c r="KJ113" s="1251"/>
      <c r="KK113" s="1251"/>
      <c r="KL113" s="1251"/>
      <c r="KM113" s="1251"/>
      <c r="KN113" s="1251"/>
      <c r="KO113" s="1251"/>
      <c r="KP113" s="1251"/>
      <c r="KQ113" s="1251"/>
      <c r="KR113" s="1251"/>
      <c r="KS113" s="1251"/>
      <c r="KT113" s="1251"/>
      <c r="KU113" s="1251"/>
      <c r="KV113" s="1251"/>
      <c r="KW113" s="1251"/>
      <c r="KX113" s="1251"/>
      <c r="KY113" s="1251"/>
      <c r="KZ113" s="1251"/>
      <c r="LA113" s="1251"/>
      <c r="LB113" s="1251"/>
      <c r="LC113" s="1251"/>
      <c r="LD113" s="1251"/>
      <c r="LE113" s="1251"/>
      <c r="LF113" s="1251"/>
      <c r="LG113" s="1251"/>
      <c r="LH113" s="1251"/>
      <c r="LI113" s="1251"/>
      <c r="LJ113" s="1251"/>
      <c r="LK113" s="1251"/>
      <c r="LL113" s="1251"/>
      <c r="LM113" s="1251"/>
      <c r="LN113" s="1251"/>
      <c r="LO113" s="1251"/>
      <c r="LP113" s="1251"/>
      <c r="LQ113" s="1251"/>
      <c r="LR113" s="1251"/>
      <c r="LS113" s="1251"/>
      <c r="LT113" s="1251"/>
      <c r="LU113" s="1251"/>
      <c r="LV113" s="1251"/>
      <c r="LW113" s="1251"/>
      <c r="LX113" s="1251"/>
      <c r="LY113" s="1251"/>
      <c r="LZ113" s="1251"/>
      <c r="MA113" s="1251"/>
      <c r="MB113" s="1251"/>
      <c r="MC113" s="1251"/>
      <c r="MD113" s="1251"/>
      <c r="ME113" s="1251"/>
      <c r="MF113" s="1251"/>
      <c r="MG113" s="1251"/>
      <c r="MH113" s="1251"/>
      <c r="MI113" s="1251"/>
      <c r="MJ113" s="1251"/>
      <c r="MK113" s="1251"/>
      <c r="ML113" s="1251"/>
      <c r="MM113" s="1251"/>
      <c r="MN113" s="1251"/>
      <c r="MO113" s="1251"/>
      <c r="MP113" s="1251"/>
      <c r="MQ113" s="1251"/>
      <c r="MR113" s="1251"/>
      <c r="MS113" s="1251"/>
      <c r="MT113" s="1251"/>
      <c r="MU113" s="1251"/>
      <c r="MV113" s="1251"/>
      <c r="MW113" s="1251"/>
      <c r="MX113" s="1251"/>
      <c r="MY113" s="1251"/>
      <c r="MZ113" s="1251"/>
      <c r="NA113" s="1251"/>
      <c r="NB113" s="1251"/>
      <c r="NC113" s="1251"/>
      <c r="ND113" s="1251"/>
      <c r="NE113" s="1251"/>
      <c r="NF113" s="1251"/>
      <c r="NG113" s="1251"/>
      <c r="NH113" s="1251"/>
      <c r="NI113" s="1251"/>
      <c r="NJ113" s="1251"/>
      <c r="NK113" s="1251"/>
      <c r="NL113" s="1251"/>
      <c r="NM113" s="1251"/>
      <c r="NN113" s="1251"/>
      <c r="NO113" s="1251"/>
      <c r="NP113" s="1251"/>
      <c r="NQ113" s="1251"/>
      <c r="NR113" s="1251"/>
      <c r="NS113" s="1251"/>
      <c r="NT113" s="1251"/>
      <c r="NU113" s="1251"/>
      <c r="NV113" s="1251"/>
      <c r="NW113" s="1251"/>
      <c r="NX113" s="1251"/>
      <c r="NY113" s="1251"/>
      <c r="NZ113" s="1251"/>
      <c r="OA113" s="1251"/>
      <c r="OB113" s="1251"/>
      <c r="OC113" s="1251"/>
      <c r="OD113" s="1251"/>
      <c r="OE113" s="1251"/>
      <c r="OF113" s="1251"/>
      <c r="OG113" s="1251"/>
      <c r="OH113" s="1251"/>
      <c r="OI113" s="1251"/>
      <c r="OJ113" s="1251"/>
      <c r="OK113" s="1251"/>
      <c r="OL113" s="1251"/>
      <c r="OM113" s="1251"/>
      <c r="ON113" s="1251"/>
      <c r="OO113" s="1251"/>
      <c r="OP113" s="1251"/>
      <c r="OQ113" s="1251"/>
      <c r="OR113" s="1251"/>
      <c r="OS113" s="1251"/>
      <c r="OT113" s="1251"/>
      <c r="OU113" s="1251"/>
      <c r="OV113" s="1251"/>
      <c r="OW113" s="1251"/>
      <c r="OX113" s="1251"/>
      <c r="OY113" s="1251"/>
      <c r="OZ113" s="1251"/>
      <c r="PA113" s="1251"/>
      <c r="PB113" s="1251"/>
      <c r="PC113" s="1251"/>
      <c r="PD113" s="1251"/>
      <c r="PE113" s="1251"/>
      <c r="PF113" s="1251"/>
      <c r="PG113" s="1251"/>
      <c r="PH113" s="1251"/>
      <c r="PI113" s="1251"/>
      <c r="PJ113" s="1251"/>
      <c r="PK113" s="1251"/>
      <c r="PL113" s="1251"/>
      <c r="PM113" s="1251"/>
      <c r="PN113" s="1251"/>
      <c r="PO113" s="1251"/>
      <c r="PP113" s="1251"/>
      <c r="PQ113" s="1251"/>
      <c r="PR113" s="1251"/>
      <c r="PS113" s="1251"/>
      <c r="PT113" s="1251"/>
      <c r="PU113" s="1251"/>
      <c r="PV113" s="1251"/>
      <c r="PW113" s="1251"/>
      <c r="PX113" s="1251"/>
      <c r="PY113" s="1251"/>
      <c r="PZ113" s="1251"/>
      <c r="QA113" s="1251"/>
      <c r="QB113" s="1251"/>
      <c r="QC113" s="1251"/>
      <c r="QD113" s="1251"/>
      <c r="QE113" s="1251"/>
      <c r="QF113" s="1251"/>
      <c r="QG113" s="1251"/>
      <c r="QH113" s="1251"/>
      <c r="QI113" s="1251"/>
      <c r="QJ113" s="1251"/>
      <c r="QK113" s="1251"/>
      <c r="QL113" s="1251"/>
      <c r="QM113" s="1251"/>
      <c r="QN113" s="1251"/>
      <c r="QO113" s="1251"/>
      <c r="QP113" s="1251"/>
      <c r="QQ113" s="1251"/>
      <c r="QR113" s="1251"/>
      <c r="QS113" s="1251"/>
      <c r="QT113" s="1251"/>
      <c r="QU113" s="1251"/>
      <c r="QV113" s="1251"/>
      <c r="QW113" s="1251"/>
      <c r="QX113" s="1251"/>
      <c r="QY113" s="1251"/>
      <c r="QZ113" s="1251"/>
      <c r="RA113" s="1251"/>
      <c r="RB113" s="1251"/>
      <c r="RC113" s="1251"/>
      <c r="RD113" s="1251"/>
      <c r="RE113" s="1251"/>
      <c r="RF113" s="1251"/>
      <c r="RG113" s="1251"/>
      <c r="RH113" s="1251"/>
      <c r="RI113" s="1251"/>
      <c r="RJ113" s="1251"/>
      <c r="RK113" s="1251"/>
      <c r="RL113" s="1251"/>
      <c r="RM113" s="1251"/>
      <c r="RN113" s="1251"/>
      <c r="RO113" s="1251"/>
      <c r="RP113" s="1251"/>
      <c r="RQ113" s="1251"/>
      <c r="RR113" s="1251"/>
      <c r="RS113" s="1251"/>
      <c r="RT113" s="1251"/>
      <c r="RU113" s="1251"/>
      <c r="RV113" s="1251"/>
      <c r="RW113" s="1251"/>
      <c r="RX113" s="1251"/>
      <c r="RY113" s="1251"/>
      <c r="RZ113" s="1251"/>
      <c r="SA113" s="1251"/>
      <c r="SB113" s="1251"/>
      <c r="SC113" s="1251"/>
      <c r="SD113" s="1251"/>
      <c r="SE113" s="1251"/>
      <c r="SF113" s="1251"/>
      <c r="SG113" s="1251"/>
      <c r="SH113" s="1251"/>
      <c r="SI113" s="1251"/>
      <c r="SJ113" s="1251"/>
      <c r="SK113" s="1251"/>
      <c r="SL113" s="1251"/>
      <c r="SM113" s="1251"/>
      <c r="SN113" s="1251"/>
      <c r="SO113" s="1251"/>
      <c r="SP113" s="1251"/>
      <c r="SQ113" s="1251"/>
      <c r="SR113" s="1251"/>
      <c r="SS113" s="1251"/>
      <c r="ST113" s="1251"/>
      <c r="SU113" s="1251"/>
      <c r="SV113" s="1251"/>
      <c r="SW113" s="1251"/>
      <c r="SX113" s="1251"/>
      <c r="SY113" s="1251"/>
      <c r="SZ113" s="1251"/>
      <c r="TA113" s="1251"/>
      <c r="TB113" s="1251"/>
      <c r="TC113" s="1251"/>
      <c r="TD113" s="1251"/>
      <c r="TE113" s="1251"/>
      <c r="TF113" s="1251"/>
      <c r="TG113" s="1251"/>
      <c r="TH113" s="1251"/>
      <c r="TI113" s="1251"/>
      <c r="TJ113" s="1251"/>
      <c r="TK113" s="1251"/>
      <c r="TL113" s="1251"/>
      <c r="TM113" s="1251"/>
      <c r="TN113" s="1251"/>
      <c r="TO113" s="1251"/>
      <c r="TP113" s="1251"/>
      <c r="TQ113" s="1251"/>
      <c r="TR113" s="1251"/>
      <c r="TS113" s="1251"/>
      <c r="TT113" s="1251"/>
      <c r="TU113" s="1251"/>
      <c r="TV113" s="1251"/>
      <c r="TW113" s="1251"/>
      <c r="TX113" s="1251"/>
      <c r="TY113" s="1251"/>
      <c r="TZ113" s="1251"/>
      <c r="UA113" s="1251"/>
      <c r="UB113" s="1251"/>
      <c r="UC113" s="1251"/>
      <c r="UD113" s="1251"/>
      <c r="UE113" s="1251"/>
      <c r="UF113" s="1251"/>
      <c r="UG113" s="1251"/>
      <c r="UH113" s="1251"/>
      <c r="UI113" s="1251"/>
      <c r="UJ113" s="1251"/>
      <c r="UK113" s="1251"/>
      <c r="UL113" s="1251"/>
      <c r="UM113" s="1251"/>
      <c r="UN113" s="1251"/>
      <c r="UO113" s="1251"/>
      <c r="UP113" s="1251"/>
      <c r="UQ113" s="1251"/>
      <c r="UR113" s="1251"/>
      <c r="US113" s="1251"/>
      <c r="UT113" s="1251"/>
      <c r="UU113" s="1251"/>
      <c r="UV113" s="1251"/>
      <c r="UW113" s="1251"/>
      <c r="UX113" s="1251"/>
      <c r="UY113" s="1251"/>
      <c r="UZ113" s="1251"/>
      <c r="VA113" s="1251"/>
      <c r="VB113" s="1251"/>
      <c r="VC113" s="1251"/>
      <c r="VD113" s="1251"/>
      <c r="VE113" s="1251"/>
      <c r="VF113" s="1251"/>
      <c r="VG113" s="1251"/>
      <c r="VH113" s="1251"/>
      <c r="VI113" s="1251"/>
      <c r="VJ113" s="1251"/>
      <c r="VK113" s="1251"/>
      <c r="VL113" s="1251"/>
      <c r="VM113" s="1251"/>
      <c r="VN113" s="1251"/>
      <c r="VO113" s="1251"/>
      <c r="VP113" s="1251"/>
      <c r="VQ113" s="1251"/>
      <c r="VR113" s="1251"/>
      <c r="VS113" s="1251"/>
      <c r="VT113" s="1251"/>
      <c r="VU113" s="1251"/>
      <c r="VV113" s="1251"/>
      <c r="VW113" s="1251"/>
      <c r="VX113" s="1251"/>
      <c r="VY113" s="1251"/>
      <c r="VZ113" s="1251"/>
      <c r="WA113" s="1251"/>
      <c r="WB113" s="1251"/>
      <c r="WC113" s="1251"/>
      <c r="WD113" s="1251"/>
      <c r="WE113" s="1251"/>
      <c r="WF113" s="1251"/>
      <c r="WG113" s="1251"/>
      <c r="WH113" s="1251"/>
      <c r="WI113" s="1251"/>
      <c r="WJ113" s="1251"/>
      <c r="WK113" s="1251"/>
      <c r="WL113" s="1251"/>
      <c r="WM113" s="1251"/>
      <c r="WN113" s="1251"/>
      <c r="WO113" s="1251"/>
      <c r="WP113" s="1251"/>
      <c r="WQ113" s="1251"/>
      <c r="WR113" s="1251"/>
      <c r="WS113" s="1251"/>
      <c r="WT113" s="1251"/>
      <c r="WU113" s="1251"/>
      <c r="WV113" s="1251"/>
      <c r="WW113" s="1251"/>
      <c r="WX113" s="1251"/>
      <c r="WY113" s="1251"/>
      <c r="WZ113" s="1251"/>
      <c r="XA113" s="1251"/>
      <c r="XB113" s="1251"/>
      <c r="XC113" s="1251"/>
      <c r="XD113" s="1251"/>
      <c r="XE113" s="1251"/>
      <c r="XF113" s="1251"/>
      <c r="XG113" s="1251"/>
      <c r="XH113" s="1251"/>
      <c r="XI113" s="1251"/>
      <c r="XJ113" s="1251"/>
      <c r="XK113" s="1251"/>
      <c r="XL113" s="1251"/>
      <c r="XM113" s="1251"/>
      <c r="XN113" s="1251"/>
      <c r="XO113" s="1251"/>
      <c r="XP113" s="1251"/>
      <c r="XQ113" s="1251"/>
      <c r="XR113" s="1251"/>
      <c r="XS113" s="1251"/>
      <c r="XT113" s="1251"/>
      <c r="XU113" s="1251"/>
      <c r="XV113" s="1251"/>
      <c r="XW113" s="1251"/>
      <c r="XX113" s="1251"/>
      <c r="XY113" s="1251"/>
      <c r="XZ113" s="1251"/>
      <c r="YA113" s="1251"/>
      <c r="YB113" s="1251"/>
      <c r="YC113" s="1251"/>
      <c r="YD113" s="1251"/>
      <c r="YE113" s="1251"/>
      <c r="YF113" s="1251"/>
      <c r="YG113" s="1251"/>
      <c r="YH113" s="1251"/>
      <c r="YI113" s="1251"/>
      <c r="YJ113" s="1251"/>
      <c r="YK113" s="1251"/>
      <c r="YL113" s="1251"/>
      <c r="YM113" s="1251"/>
      <c r="YN113" s="1251"/>
      <c r="YO113" s="1251"/>
      <c r="YP113" s="1251"/>
      <c r="YQ113" s="1251"/>
      <c r="YR113" s="1251"/>
      <c r="YS113" s="1251"/>
      <c r="YT113" s="1251"/>
      <c r="YU113" s="1251"/>
      <c r="YV113" s="1251"/>
      <c r="YW113" s="1251"/>
      <c r="YX113" s="1251"/>
      <c r="YY113" s="1251"/>
      <c r="YZ113" s="1251"/>
      <c r="ZA113" s="1251"/>
      <c r="ZB113" s="1251"/>
      <c r="ZC113" s="1251"/>
      <c r="ZD113" s="1251"/>
      <c r="ZE113" s="1251"/>
      <c r="ZF113" s="1251"/>
      <c r="ZG113" s="1251"/>
      <c r="ZH113" s="1251"/>
      <c r="ZI113" s="1251"/>
      <c r="ZJ113" s="1251"/>
      <c r="ZK113" s="1251"/>
      <c r="ZL113" s="1251"/>
      <c r="ZM113" s="1251"/>
      <c r="ZN113" s="1251"/>
      <c r="ZO113" s="1251"/>
      <c r="ZP113" s="1251"/>
      <c r="ZQ113" s="1251"/>
      <c r="ZR113" s="1251"/>
      <c r="ZS113" s="1251"/>
      <c r="ZT113" s="1251"/>
      <c r="ZU113" s="1251"/>
      <c r="ZV113" s="1251"/>
      <c r="ZW113" s="1251"/>
      <c r="ZX113" s="1251"/>
      <c r="ZY113" s="1251"/>
      <c r="ZZ113" s="1251"/>
      <c r="AAA113" s="1251"/>
      <c r="AAB113" s="1251"/>
      <c r="AAC113" s="1251"/>
      <c r="AAD113" s="1251"/>
      <c r="AAE113" s="1251"/>
      <c r="AAF113" s="1251"/>
      <c r="AAG113" s="1251"/>
      <c r="AAH113" s="1251"/>
      <c r="AAI113" s="1251"/>
      <c r="AAJ113" s="1251"/>
      <c r="AAK113" s="1251"/>
      <c r="AAL113" s="1251"/>
      <c r="AAM113" s="1251"/>
      <c r="AAN113" s="1251"/>
      <c r="AAO113" s="1251"/>
      <c r="AAP113" s="1251"/>
      <c r="AAQ113" s="1251"/>
      <c r="AAR113" s="1251"/>
      <c r="AAS113" s="1251"/>
      <c r="AAT113" s="1251"/>
      <c r="AAU113" s="1251"/>
      <c r="AAV113" s="1251"/>
      <c r="AAW113" s="1251"/>
      <c r="AAX113" s="1251"/>
      <c r="AAY113" s="1251"/>
      <c r="AAZ113" s="1251"/>
      <c r="ABA113" s="1251"/>
      <c r="ABB113" s="1251"/>
      <c r="ABC113" s="1251"/>
      <c r="ABD113" s="1251"/>
      <c r="ABE113" s="1251"/>
      <c r="ABF113" s="1251"/>
      <c r="ABG113" s="1251"/>
      <c r="ABH113" s="1251"/>
      <c r="ABI113" s="1251"/>
      <c r="ABJ113" s="1251"/>
      <c r="ABK113" s="1251"/>
      <c r="ABL113" s="1251"/>
      <c r="ABM113" s="1251"/>
      <c r="ABN113" s="1251"/>
      <c r="ABO113" s="1251"/>
      <c r="ABP113" s="1251"/>
      <c r="ABQ113" s="1251"/>
      <c r="ABR113" s="1251"/>
      <c r="ABS113" s="1251"/>
      <c r="ABT113" s="1251"/>
      <c r="ABU113" s="1251"/>
      <c r="ABV113" s="1251"/>
      <c r="ABW113" s="1251"/>
      <c r="ABX113" s="1251"/>
      <c r="ABY113" s="1251"/>
      <c r="ABZ113" s="1251"/>
      <c r="ACA113" s="1251"/>
      <c r="ACB113" s="1251"/>
      <c r="ACC113" s="1251"/>
      <c r="ACD113" s="1251"/>
      <c r="ACE113" s="1251"/>
      <c r="ACF113" s="1251"/>
      <c r="ACG113" s="1251"/>
      <c r="ACH113" s="1251"/>
      <c r="ACI113" s="1251"/>
      <c r="ACJ113" s="1251"/>
      <c r="ACK113" s="1251"/>
      <c r="ACL113" s="1251"/>
      <c r="ACM113" s="1251"/>
      <c r="ACN113" s="1251"/>
      <c r="ACO113" s="1251"/>
      <c r="ACP113" s="1251"/>
      <c r="ACQ113" s="1251"/>
      <c r="ACR113" s="1251"/>
      <c r="ACS113" s="1251"/>
      <c r="ACT113" s="1251"/>
      <c r="ACU113" s="1251"/>
      <c r="ACV113" s="1251"/>
      <c r="ACW113" s="1251"/>
      <c r="ACX113" s="1251"/>
      <c r="ACY113" s="1251"/>
      <c r="ACZ113" s="1251"/>
      <c r="ADA113" s="1251"/>
      <c r="ADB113" s="1251"/>
      <c r="ADC113" s="1251"/>
      <c r="ADD113" s="1251"/>
      <c r="ADE113" s="1251"/>
      <c r="ADF113" s="1251"/>
      <c r="ADG113" s="1251"/>
      <c r="ADH113" s="1251"/>
      <c r="ADI113" s="1251"/>
      <c r="ADJ113" s="1251"/>
      <c r="ADK113" s="1251"/>
      <c r="ADL113" s="1251"/>
      <c r="ADM113" s="1251"/>
      <c r="ADN113" s="1251"/>
      <c r="ADO113" s="1251"/>
      <c r="ADP113" s="1251"/>
      <c r="ADQ113" s="1251"/>
      <c r="ADR113" s="1251"/>
      <c r="ADS113" s="1251"/>
      <c r="ADT113" s="1251"/>
      <c r="ADU113" s="1251"/>
      <c r="ADV113" s="1251"/>
      <c r="ADW113" s="1251"/>
      <c r="ADX113" s="1251"/>
      <c r="ADY113" s="1251"/>
      <c r="ADZ113" s="1251"/>
      <c r="AEA113" s="1251"/>
      <c r="AEB113" s="1251"/>
      <c r="AEC113" s="1251"/>
      <c r="AED113" s="1251"/>
      <c r="AEE113" s="1251"/>
      <c r="AEF113" s="1251"/>
      <c r="AEG113" s="1251"/>
      <c r="AEH113" s="1251"/>
      <c r="AEI113" s="1251"/>
      <c r="AEJ113" s="1251"/>
      <c r="AEK113" s="1251"/>
      <c r="AEL113" s="1251"/>
      <c r="AEM113" s="1251"/>
      <c r="AEN113" s="1251"/>
      <c r="AEO113" s="1251"/>
      <c r="AEP113" s="1251"/>
      <c r="AEQ113" s="1251"/>
      <c r="AER113" s="1251"/>
      <c r="AES113" s="1251"/>
      <c r="AET113" s="1251"/>
      <c r="AEU113" s="1251"/>
      <c r="AEV113" s="1251"/>
      <c r="AEW113" s="1251"/>
      <c r="AEX113" s="1251"/>
      <c r="AEY113" s="1251"/>
      <c r="AEZ113" s="1251"/>
      <c r="AFA113" s="1251"/>
      <c r="AFB113" s="1251"/>
      <c r="AFC113" s="1251"/>
      <c r="AFD113" s="1251"/>
      <c r="AFE113" s="1251"/>
      <c r="AFF113" s="1251"/>
      <c r="AFG113" s="1251"/>
      <c r="AFH113" s="1251"/>
      <c r="AFI113" s="1251"/>
      <c r="AFJ113" s="1251"/>
      <c r="AFK113" s="1251"/>
      <c r="AFL113" s="1251"/>
      <c r="AFM113" s="1251"/>
      <c r="AFN113" s="1251"/>
      <c r="AFO113" s="1251"/>
      <c r="AFP113" s="1251"/>
      <c r="AFQ113" s="1251"/>
      <c r="AFR113" s="1251"/>
      <c r="AFS113" s="1251"/>
      <c r="AFT113" s="1251"/>
      <c r="AFU113" s="1251"/>
      <c r="AFV113" s="1251"/>
      <c r="AFW113" s="1251"/>
      <c r="AFX113" s="1251"/>
      <c r="AFY113" s="1251"/>
      <c r="AFZ113" s="1251"/>
      <c r="AGA113" s="1251"/>
      <c r="AGB113" s="1251"/>
      <c r="AGC113" s="1251"/>
      <c r="AGD113" s="1251"/>
      <c r="AGE113" s="1251"/>
      <c r="AGF113" s="1251"/>
      <c r="AGG113" s="1251"/>
      <c r="AGH113" s="1251"/>
      <c r="AGI113" s="1251"/>
      <c r="AGJ113" s="1251"/>
      <c r="AGK113" s="1251"/>
      <c r="AGL113" s="1251"/>
      <c r="AGM113" s="1251"/>
      <c r="AGN113" s="1251"/>
      <c r="AGO113" s="1251"/>
      <c r="AGP113" s="1251"/>
      <c r="AGQ113" s="1251"/>
      <c r="AGR113" s="1251"/>
      <c r="AGS113" s="1251"/>
      <c r="AGT113" s="1251"/>
      <c r="AGU113" s="1251"/>
      <c r="AGV113" s="1251"/>
      <c r="AGW113" s="1251"/>
      <c r="AGX113" s="1251"/>
      <c r="AGY113" s="1251"/>
      <c r="AGZ113" s="1251"/>
      <c r="AHA113" s="1251"/>
      <c r="AHB113" s="1251"/>
      <c r="AHC113" s="1251"/>
      <c r="AHD113" s="1251"/>
      <c r="AHE113" s="1251"/>
      <c r="AHF113" s="1251"/>
      <c r="AHG113" s="1251"/>
      <c r="AHH113" s="1251"/>
      <c r="AHI113" s="1251"/>
      <c r="AHJ113" s="1251"/>
      <c r="AHK113" s="1251"/>
      <c r="AHL113" s="1251"/>
      <c r="AHM113" s="1251"/>
      <c r="AHN113" s="1251"/>
      <c r="AHO113" s="1251"/>
      <c r="AHP113" s="1251"/>
      <c r="AHQ113" s="1251"/>
      <c r="AHR113" s="1251"/>
      <c r="AHS113" s="1251"/>
      <c r="AHT113" s="1251"/>
      <c r="AHU113" s="1251"/>
      <c r="AHV113" s="1251"/>
      <c r="AHW113" s="1251"/>
      <c r="AHX113" s="1251"/>
      <c r="AHY113" s="1251"/>
      <c r="AHZ113" s="1251"/>
      <c r="AIA113" s="1251"/>
      <c r="AIB113" s="1251"/>
      <c r="AIC113" s="1251"/>
      <c r="AID113" s="1251"/>
      <c r="AIE113" s="1251"/>
      <c r="AIF113" s="1251"/>
      <c r="AIG113" s="1251"/>
      <c r="AIH113" s="1251"/>
      <c r="AII113" s="1251"/>
      <c r="AIJ113" s="1251"/>
      <c r="AIK113" s="1251"/>
      <c r="AIL113" s="1251"/>
      <c r="AIM113" s="1251"/>
      <c r="AIN113" s="1251"/>
      <c r="AIO113" s="1251"/>
      <c r="AIP113" s="1251"/>
      <c r="AIQ113" s="1251"/>
      <c r="AIR113" s="1251"/>
      <c r="AIS113" s="1251"/>
      <c r="AIT113" s="1251"/>
      <c r="AIU113" s="1251"/>
      <c r="AIV113" s="1251"/>
      <c r="AIW113" s="1251"/>
      <c r="AIX113" s="1251"/>
      <c r="AIY113" s="1251"/>
      <c r="AIZ113" s="1251"/>
      <c r="AJA113" s="1251"/>
      <c r="AJB113" s="1251"/>
      <c r="AJC113" s="1251"/>
      <c r="AJD113" s="1251"/>
      <c r="AJE113" s="1251"/>
      <c r="AJF113" s="1251"/>
      <c r="AJG113" s="1251"/>
      <c r="AJH113" s="1251"/>
      <c r="AJI113" s="1251"/>
      <c r="AJJ113" s="1251"/>
      <c r="AJK113" s="1251"/>
      <c r="AJL113" s="1251"/>
      <c r="AJM113" s="1251"/>
      <c r="AJN113" s="1251"/>
      <c r="AJO113" s="1251"/>
      <c r="AJP113" s="1251"/>
      <c r="AJQ113" s="1251"/>
      <c r="AJR113" s="1251"/>
      <c r="AJS113" s="1251"/>
      <c r="AJT113" s="1251"/>
      <c r="AJU113" s="1251"/>
      <c r="AJV113" s="1251"/>
      <c r="AJW113" s="1251"/>
      <c r="AJX113" s="1251"/>
      <c r="AJY113" s="1251"/>
      <c r="AJZ113" s="1251"/>
      <c r="AKA113" s="1251"/>
      <c r="AKB113" s="1251"/>
      <c r="AKC113" s="1251"/>
      <c r="AKD113" s="1251"/>
      <c r="AKE113" s="1251"/>
      <c r="AKF113" s="1251"/>
      <c r="AKG113" s="1251"/>
      <c r="AKH113" s="1251"/>
      <c r="AKI113" s="1251"/>
      <c r="AKJ113" s="1251"/>
      <c r="AKK113" s="1251"/>
      <c r="AKL113" s="1251"/>
      <c r="AKM113" s="1251"/>
      <c r="AKN113" s="1251"/>
      <c r="AKO113" s="1251"/>
      <c r="AKP113" s="1251"/>
      <c r="AKQ113" s="1251"/>
      <c r="AKR113" s="1251"/>
      <c r="AKS113" s="1251"/>
      <c r="AKT113" s="1251"/>
      <c r="AKU113" s="1251"/>
      <c r="AKV113" s="1251"/>
      <c r="AKW113" s="1251"/>
      <c r="AKX113" s="1251"/>
      <c r="AKY113" s="1251"/>
      <c r="AKZ113" s="1251"/>
      <c r="ALA113" s="1251"/>
      <c r="ALB113" s="1251"/>
      <c r="ALC113" s="1251"/>
      <c r="ALD113" s="1251"/>
      <c r="ALE113" s="1251"/>
      <c r="ALF113" s="1251"/>
      <c r="ALG113" s="1251"/>
      <c r="ALH113" s="1251"/>
      <c r="ALI113" s="1251"/>
      <c r="ALJ113" s="1251"/>
      <c r="ALK113" s="1251"/>
      <c r="ALL113" s="1251"/>
      <c r="ALM113" s="1251"/>
      <c r="ALN113" s="1251"/>
      <c r="ALO113" s="1251"/>
      <c r="ALP113" s="1251"/>
      <c r="ALQ113" s="1251"/>
      <c r="ALR113" s="1251"/>
      <c r="ALS113" s="1251"/>
      <c r="ALT113" s="1251"/>
      <c r="ALU113" s="1251"/>
      <c r="ALV113" s="1251"/>
      <c r="ALW113" s="1251"/>
      <c r="ALX113" s="1251"/>
      <c r="ALY113" s="1251"/>
      <c r="ALZ113" s="1251"/>
      <c r="AMA113" s="1251"/>
      <c r="AMB113" s="1251"/>
      <c r="AMC113" s="1251"/>
      <c r="AMD113" s="1251"/>
      <c r="AME113" s="1251"/>
      <c r="AMF113" s="1251"/>
      <c r="AMG113" s="1251"/>
      <c r="AMH113" s="1251"/>
      <c r="AMI113" s="1251"/>
      <c r="AMJ113" s="1251"/>
      <c r="AMK113" s="1251"/>
      <c r="AML113" s="1251"/>
      <c r="AMM113" s="1251"/>
      <c r="AMN113" s="1251"/>
      <c r="AMO113" s="1251"/>
      <c r="AMP113" s="1251"/>
      <c r="AMQ113" s="1251"/>
      <c r="AMR113" s="1251"/>
      <c r="AMS113" s="1251"/>
      <c r="AMT113" s="1251"/>
      <c r="AMU113" s="1251"/>
      <c r="AMV113" s="1251"/>
      <c r="AMW113" s="1251"/>
      <c r="AMX113" s="1251"/>
      <c r="AMY113" s="1251"/>
      <c r="AMZ113" s="1251"/>
      <c r="ANA113" s="1251"/>
      <c r="ANB113" s="1251"/>
      <c r="ANC113" s="1251"/>
      <c r="AND113" s="1251"/>
      <c r="ANE113" s="1251"/>
      <c r="ANF113" s="1251"/>
      <c r="ANG113" s="1251"/>
      <c r="ANH113" s="1251"/>
      <c r="ANI113" s="1251"/>
      <c r="ANJ113" s="1251"/>
      <c r="ANK113" s="1251"/>
      <c r="ANL113" s="1251"/>
      <c r="ANM113" s="1251"/>
      <c r="ANN113" s="1251"/>
      <c r="ANO113" s="1251"/>
      <c r="ANP113" s="1251"/>
      <c r="ANQ113" s="1251"/>
      <c r="ANR113" s="1251"/>
      <c r="ANS113" s="1251"/>
      <c r="ANT113" s="1251"/>
      <c r="ANU113" s="1251"/>
      <c r="ANV113" s="1251"/>
      <c r="ANW113" s="1251"/>
      <c r="ANX113" s="1251"/>
      <c r="ANY113" s="1251"/>
      <c r="ANZ113" s="1251"/>
      <c r="AOA113" s="1251"/>
      <c r="AOB113" s="1251"/>
      <c r="AOC113" s="1251"/>
      <c r="AOD113" s="1251"/>
      <c r="AOE113" s="1251"/>
      <c r="AOF113" s="1251"/>
      <c r="AOG113" s="1251"/>
      <c r="AOH113" s="1251"/>
      <c r="AOI113" s="1251"/>
      <c r="AOJ113" s="1251"/>
      <c r="AOK113" s="1251"/>
      <c r="AOL113" s="1251"/>
      <c r="AOM113" s="1251"/>
      <c r="AON113" s="1251"/>
      <c r="AOO113" s="1251"/>
      <c r="AOP113" s="1251"/>
      <c r="AOQ113" s="1251"/>
      <c r="AOR113" s="1251"/>
      <c r="AOS113" s="1251"/>
      <c r="AOT113" s="1251"/>
      <c r="AOU113" s="1251"/>
      <c r="AOV113" s="1251"/>
      <c r="AOW113" s="1251"/>
      <c r="AOX113" s="1251"/>
      <c r="AOY113" s="1251"/>
      <c r="AOZ113" s="1251"/>
      <c r="APA113" s="1251"/>
      <c r="APB113" s="1251"/>
      <c r="APC113" s="1251"/>
      <c r="APD113" s="1251"/>
      <c r="APE113" s="1251"/>
      <c r="APF113" s="1251"/>
      <c r="APG113" s="1251"/>
      <c r="APH113" s="1251"/>
      <c r="API113" s="1251"/>
      <c r="APJ113" s="1251"/>
      <c r="APK113" s="1251"/>
      <c r="APL113" s="1251"/>
      <c r="APM113" s="1251"/>
      <c r="APN113" s="1251"/>
      <c r="APO113" s="1251"/>
      <c r="APP113" s="1251"/>
      <c r="APQ113" s="1251"/>
      <c r="APR113" s="1251"/>
      <c r="APS113" s="1251"/>
      <c r="APT113" s="1251"/>
      <c r="APU113" s="1251"/>
      <c r="APV113" s="1251"/>
      <c r="APW113" s="1251"/>
      <c r="APX113" s="1251"/>
      <c r="APY113" s="1251"/>
      <c r="APZ113" s="1251"/>
      <c r="AQA113" s="1251"/>
      <c r="AQB113" s="1251"/>
      <c r="AQC113" s="1251"/>
      <c r="AQD113" s="1251"/>
      <c r="AQE113" s="1251"/>
      <c r="AQF113" s="1251"/>
      <c r="AQG113" s="1251"/>
      <c r="AQH113" s="1251"/>
      <c r="AQI113" s="1251"/>
      <c r="AQJ113" s="1251"/>
      <c r="AQK113" s="1251"/>
      <c r="AQL113" s="1251"/>
      <c r="AQM113" s="1251"/>
      <c r="AQN113" s="1251"/>
      <c r="AQO113" s="1251"/>
      <c r="AQP113" s="1251"/>
      <c r="AQQ113" s="1251"/>
      <c r="AQR113" s="1251"/>
      <c r="AQS113" s="1251"/>
      <c r="AQT113" s="1251"/>
      <c r="AQU113" s="1251"/>
      <c r="AQV113" s="1251"/>
      <c r="AQW113" s="1251"/>
      <c r="AQX113" s="1251"/>
      <c r="AQY113" s="1251"/>
      <c r="AQZ113" s="1251"/>
      <c r="ARA113" s="1251"/>
      <c r="ARB113" s="1251"/>
      <c r="ARC113" s="1251"/>
      <c r="ARD113" s="1251"/>
      <c r="ARE113" s="1251"/>
      <c r="ARF113" s="1251"/>
      <c r="ARG113" s="1251"/>
      <c r="ARH113" s="1251"/>
      <c r="ARI113" s="1251"/>
      <c r="ARJ113" s="1251"/>
      <c r="ARK113" s="1251"/>
      <c r="ARL113" s="1251"/>
      <c r="ARM113" s="1251"/>
      <c r="ARN113" s="1251"/>
      <c r="ARO113" s="1251"/>
      <c r="ARP113" s="1251"/>
      <c r="ARQ113" s="1251"/>
      <c r="ARR113" s="1251"/>
      <c r="ARS113" s="1251"/>
      <c r="ART113" s="1251"/>
      <c r="ARU113" s="1251"/>
      <c r="ARV113" s="1251"/>
      <c r="ARW113" s="1251"/>
      <c r="ARX113" s="1251"/>
      <c r="ARY113" s="1251"/>
      <c r="ARZ113" s="1251"/>
      <c r="ASA113" s="1251"/>
      <c r="ASB113" s="1251"/>
      <c r="ASC113" s="1251"/>
      <c r="ASD113" s="1251"/>
      <c r="ASE113" s="1251"/>
      <c r="ASF113" s="1251"/>
      <c r="ASG113" s="1251"/>
      <c r="ASH113" s="1251"/>
      <c r="ASI113" s="1251"/>
      <c r="ASJ113" s="1251"/>
      <c r="ASK113" s="1251"/>
      <c r="ASL113" s="1251"/>
      <c r="ASM113" s="1251"/>
      <c r="ASN113" s="1251"/>
      <c r="ASO113" s="1251"/>
      <c r="ASP113" s="1251"/>
      <c r="ASQ113" s="1251"/>
      <c r="ASR113" s="1251"/>
      <c r="ASS113" s="1251"/>
      <c r="AST113" s="1251"/>
      <c r="ASU113" s="1251"/>
      <c r="ASV113" s="1251"/>
      <c r="ASW113" s="1251"/>
      <c r="ASX113" s="1251"/>
      <c r="ASY113" s="1251"/>
      <c r="ASZ113" s="1251"/>
      <c r="ATA113" s="1251"/>
      <c r="ATB113" s="1251"/>
      <c r="ATC113" s="1251"/>
      <c r="ATD113" s="1251"/>
      <c r="ATE113" s="1251"/>
      <c r="ATF113" s="1251"/>
      <c r="ATG113" s="1251"/>
      <c r="ATH113" s="1251"/>
      <c r="ATI113" s="1251"/>
      <c r="ATJ113" s="1251"/>
      <c r="ATK113" s="1251"/>
      <c r="ATL113" s="1251"/>
      <c r="ATM113" s="1251"/>
      <c r="ATN113" s="1251"/>
      <c r="ATO113" s="1251"/>
      <c r="ATP113" s="1251"/>
      <c r="ATQ113" s="1251"/>
      <c r="ATR113" s="1251"/>
      <c r="ATS113" s="1251"/>
      <c r="ATT113" s="1251"/>
      <c r="ATU113" s="1251"/>
      <c r="ATV113" s="1251"/>
      <c r="ATW113" s="1251"/>
      <c r="ATX113" s="1251"/>
      <c r="ATY113" s="1251"/>
      <c r="ATZ113" s="1251"/>
      <c r="AUA113" s="1251"/>
      <c r="AUB113" s="1251"/>
      <c r="AUC113" s="1251"/>
      <c r="AUD113" s="1251"/>
      <c r="AUE113" s="1251"/>
      <c r="AUF113" s="1251"/>
      <c r="AUG113" s="1251"/>
      <c r="AUH113" s="1251"/>
      <c r="AUI113" s="1251"/>
      <c r="AUJ113" s="1251"/>
      <c r="AUK113" s="1251"/>
      <c r="AUL113" s="1251"/>
      <c r="AUM113" s="1251"/>
      <c r="AUN113" s="1251"/>
      <c r="AUO113" s="1251"/>
      <c r="AUP113" s="1251"/>
      <c r="AUQ113" s="1251"/>
      <c r="AUR113" s="1251"/>
      <c r="AUS113" s="1251"/>
      <c r="AUT113" s="1251"/>
      <c r="AUU113" s="1251"/>
      <c r="AUV113" s="1251"/>
      <c r="AUW113" s="1251"/>
      <c r="AUX113" s="1251"/>
      <c r="AUY113" s="1251"/>
      <c r="AUZ113" s="1251"/>
      <c r="AVA113" s="1251"/>
      <c r="AVB113" s="1251"/>
      <c r="AVC113" s="1251"/>
      <c r="AVD113" s="1251"/>
      <c r="AVE113" s="1251"/>
      <c r="AVF113" s="1251"/>
      <c r="AVG113" s="1251"/>
      <c r="AVH113" s="1251"/>
      <c r="AVI113" s="1251"/>
      <c r="AVJ113" s="1251"/>
      <c r="AVK113" s="1251"/>
      <c r="AVL113" s="1251"/>
      <c r="AVM113" s="1251"/>
      <c r="AVN113" s="1251"/>
      <c r="AVO113" s="1251"/>
      <c r="AVP113" s="1251"/>
      <c r="AVQ113" s="1251"/>
      <c r="AVR113" s="1251"/>
      <c r="AVS113" s="1251"/>
      <c r="AVT113" s="1251"/>
      <c r="AVU113" s="1251"/>
      <c r="AVV113" s="1251"/>
      <c r="AVW113" s="1251"/>
      <c r="AVX113" s="1251"/>
      <c r="AVY113" s="1251"/>
      <c r="AVZ113" s="1251"/>
      <c r="AWA113" s="1251"/>
      <c r="AWB113" s="1251"/>
      <c r="AWC113" s="1251"/>
      <c r="AWD113" s="1251"/>
      <c r="AWE113" s="1251"/>
      <c r="AWF113" s="1251"/>
      <c r="AWG113" s="1251"/>
      <c r="AWH113" s="1251"/>
      <c r="AWI113" s="1251"/>
      <c r="AWJ113" s="1251"/>
      <c r="AWK113" s="1251"/>
      <c r="AWL113" s="1251"/>
      <c r="AWM113" s="1251"/>
      <c r="AWN113" s="1251"/>
      <c r="AWO113" s="1251"/>
      <c r="AWP113" s="1251"/>
      <c r="AWQ113" s="1251"/>
      <c r="AWR113" s="1251"/>
      <c r="AWS113" s="1251"/>
      <c r="AWT113" s="1251"/>
      <c r="AWU113" s="1251"/>
      <c r="AWV113" s="1251"/>
      <c r="AWW113" s="1251"/>
      <c r="AWX113" s="1251"/>
      <c r="AWY113" s="1251"/>
      <c r="AWZ113" s="1251"/>
      <c r="AXA113" s="1251"/>
      <c r="AXB113" s="1251"/>
      <c r="AXC113" s="1251"/>
      <c r="AXD113" s="1251"/>
      <c r="AXE113" s="1251"/>
      <c r="AXF113" s="1251"/>
      <c r="AXG113" s="1251"/>
      <c r="AXH113" s="1251"/>
      <c r="AXI113" s="1251"/>
      <c r="AXJ113" s="1251"/>
      <c r="AXK113" s="1251"/>
      <c r="AXL113" s="1251"/>
      <c r="AXM113" s="1251"/>
      <c r="AXN113" s="1251"/>
      <c r="AXO113" s="1251"/>
      <c r="AXP113" s="1251"/>
      <c r="AXQ113" s="1251"/>
      <c r="AXR113" s="1251"/>
      <c r="AXS113" s="1251"/>
      <c r="AXT113" s="1251"/>
      <c r="AXU113" s="1251"/>
      <c r="AXV113" s="1251"/>
      <c r="AXW113" s="1251"/>
      <c r="AXX113" s="1251"/>
      <c r="AXY113" s="1251"/>
      <c r="AXZ113" s="1251"/>
      <c r="AYA113" s="1251"/>
      <c r="AYB113" s="1251"/>
      <c r="AYC113" s="1251"/>
      <c r="AYD113" s="1251"/>
      <c r="AYE113" s="1251"/>
      <c r="AYF113" s="1251"/>
      <c r="AYG113" s="1251"/>
      <c r="AYH113" s="1251"/>
      <c r="AYI113" s="1251"/>
      <c r="AYJ113" s="1251"/>
      <c r="AYK113" s="1251"/>
      <c r="AYL113" s="1251"/>
      <c r="AYM113" s="1251"/>
      <c r="AYN113" s="1251"/>
      <c r="AYO113" s="1251"/>
      <c r="AYP113" s="1251"/>
      <c r="AYQ113" s="1251"/>
      <c r="AYR113" s="1251"/>
      <c r="AYS113" s="1251"/>
      <c r="AYT113" s="1251"/>
      <c r="AYU113" s="1251"/>
      <c r="AYV113" s="1251"/>
      <c r="AYW113" s="1251"/>
      <c r="AYX113" s="1251"/>
      <c r="AYY113" s="1251"/>
      <c r="AYZ113" s="1251"/>
      <c r="AZA113" s="1251"/>
      <c r="AZB113" s="1251"/>
      <c r="AZC113" s="1251"/>
      <c r="AZD113" s="1251"/>
      <c r="AZE113" s="1251"/>
      <c r="AZF113" s="1251"/>
      <c r="AZG113" s="1251"/>
      <c r="AZH113" s="1251"/>
      <c r="AZI113" s="1251"/>
      <c r="AZJ113" s="1251"/>
      <c r="AZK113" s="1251"/>
      <c r="AZL113" s="1251"/>
      <c r="AZM113" s="1251"/>
      <c r="AZN113" s="1251"/>
      <c r="AZO113" s="1251"/>
      <c r="AZP113" s="1251"/>
      <c r="AZQ113" s="1251"/>
      <c r="AZR113" s="1251"/>
      <c r="AZS113" s="1251"/>
      <c r="AZT113" s="1251"/>
      <c r="AZU113" s="1251"/>
      <c r="AZV113" s="1251"/>
      <c r="AZW113" s="1251"/>
      <c r="AZX113" s="1251"/>
      <c r="AZY113" s="1251"/>
      <c r="AZZ113" s="1251"/>
      <c r="BAA113" s="1251"/>
      <c r="BAB113" s="1251"/>
      <c r="BAC113" s="1251"/>
      <c r="BAD113" s="1251"/>
      <c r="BAE113" s="1251"/>
      <c r="BAF113" s="1251"/>
      <c r="BAG113" s="1251"/>
      <c r="BAH113" s="1251"/>
      <c r="BAI113" s="1251"/>
      <c r="BAJ113" s="1251"/>
      <c r="BAK113" s="1251"/>
      <c r="BAL113" s="1251"/>
      <c r="BAM113" s="1251"/>
      <c r="BAN113" s="1251"/>
      <c r="BAO113" s="1251"/>
      <c r="BAP113" s="1251"/>
      <c r="BAQ113" s="1251"/>
      <c r="BAR113" s="1251"/>
      <c r="BAS113" s="1251"/>
      <c r="BAT113" s="1251"/>
      <c r="BAU113" s="1251"/>
      <c r="BAV113" s="1251"/>
      <c r="BAW113" s="1251"/>
      <c r="BAX113" s="1251"/>
      <c r="BAY113" s="1251"/>
      <c r="BAZ113" s="1251"/>
      <c r="BBA113" s="1251"/>
      <c r="BBB113" s="1251"/>
      <c r="BBC113" s="1251"/>
      <c r="BBD113" s="1251"/>
      <c r="BBE113" s="1251"/>
      <c r="BBF113" s="1251"/>
      <c r="BBG113" s="1251"/>
      <c r="BBH113" s="1251"/>
      <c r="BBI113" s="1251"/>
      <c r="BBJ113" s="1251"/>
      <c r="BBK113" s="1251"/>
      <c r="BBL113" s="1251"/>
      <c r="BBM113" s="1251"/>
      <c r="BBN113" s="1251"/>
      <c r="BBO113" s="1251"/>
      <c r="BBP113" s="1251"/>
      <c r="BBQ113" s="1251"/>
      <c r="BBR113" s="1251"/>
      <c r="BBS113" s="1251"/>
      <c r="BBT113" s="1251"/>
      <c r="BBU113" s="1251"/>
      <c r="BBV113" s="1251"/>
      <c r="BBW113" s="1251"/>
      <c r="BBX113" s="1251"/>
      <c r="BBY113" s="1251"/>
      <c r="BBZ113" s="1251"/>
      <c r="BCA113" s="1251"/>
      <c r="BCB113" s="1251"/>
      <c r="BCC113" s="1251"/>
      <c r="BCD113" s="1251"/>
      <c r="BCE113" s="1251"/>
      <c r="BCF113" s="1251"/>
      <c r="BCG113" s="1251"/>
      <c r="BCH113" s="1251"/>
      <c r="BCI113" s="1251"/>
      <c r="BCJ113" s="1251"/>
      <c r="BCK113" s="1251"/>
      <c r="BCL113" s="1251"/>
      <c r="BCM113" s="1251"/>
      <c r="BCN113" s="1251"/>
      <c r="BCO113" s="1251"/>
      <c r="BCP113" s="1251"/>
      <c r="BCQ113" s="1251"/>
      <c r="BCR113" s="1251"/>
      <c r="BCS113" s="1251"/>
      <c r="BCT113" s="1251"/>
      <c r="BCU113" s="1251"/>
      <c r="BCV113" s="1251"/>
      <c r="BCW113" s="1251"/>
      <c r="BCX113" s="1251"/>
      <c r="BCY113" s="1251"/>
      <c r="BCZ113" s="1251"/>
      <c r="BDA113" s="1251"/>
      <c r="BDB113" s="1251"/>
      <c r="BDC113" s="1251"/>
      <c r="BDD113" s="1251"/>
      <c r="BDE113" s="1251"/>
      <c r="BDF113" s="1251"/>
      <c r="BDG113" s="1251"/>
      <c r="BDH113" s="1251"/>
      <c r="BDI113" s="1251"/>
      <c r="BDJ113" s="1251"/>
      <c r="BDK113" s="1251"/>
      <c r="BDL113" s="1251"/>
      <c r="BDM113" s="1251"/>
      <c r="BDN113" s="1251"/>
      <c r="BDO113" s="1251"/>
      <c r="BDP113" s="1251"/>
      <c r="BDQ113" s="1251"/>
      <c r="BDR113" s="1251"/>
      <c r="BDS113" s="1251"/>
      <c r="BDT113" s="1251"/>
      <c r="BDU113" s="1251"/>
      <c r="BDV113" s="1251"/>
      <c r="BDW113" s="1251"/>
      <c r="BDX113" s="1251"/>
      <c r="BDY113" s="1251"/>
      <c r="BDZ113" s="1251"/>
      <c r="BEA113" s="1251"/>
      <c r="BEB113" s="1251"/>
      <c r="BEC113" s="1251"/>
      <c r="BED113" s="1251"/>
      <c r="BEE113" s="1251"/>
      <c r="BEF113" s="1251"/>
      <c r="BEG113" s="1251"/>
      <c r="BEH113" s="1251"/>
      <c r="BEI113" s="1251"/>
      <c r="BEJ113" s="1251"/>
      <c r="BEK113" s="1251"/>
      <c r="BEL113" s="1251"/>
      <c r="BEM113" s="1251"/>
      <c r="BEN113" s="1251"/>
      <c r="BEO113" s="1251"/>
      <c r="BEP113" s="1251"/>
      <c r="BEQ113" s="1251"/>
      <c r="BER113" s="1251"/>
      <c r="BES113" s="1251"/>
      <c r="BET113" s="1251"/>
      <c r="BEU113" s="1251"/>
      <c r="BEV113" s="1251"/>
      <c r="BEW113" s="1251"/>
      <c r="BEX113" s="1251"/>
      <c r="BEY113" s="1251"/>
      <c r="BEZ113" s="1251"/>
      <c r="BFA113" s="1251"/>
      <c r="BFB113" s="1251"/>
      <c r="BFC113" s="1251"/>
      <c r="BFD113" s="1251"/>
      <c r="BFE113" s="1251"/>
      <c r="BFF113" s="1251"/>
      <c r="BFG113" s="1251"/>
      <c r="BFH113" s="1251"/>
      <c r="BFI113" s="1251"/>
      <c r="BFJ113" s="1251"/>
      <c r="BFK113" s="1251"/>
      <c r="BFL113" s="1251"/>
      <c r="BFM113" s="1251"/>
      <c r="BFN113" s="1251"/>
      <c r="BFO113" s="1251"/>
      <c r="BFP113" s="1251"/>
      <c r="BFQ113" s="1251"/>
      <c r="BFR113" s="1251"/>
      <c r="BFS113" s="1251"/>
      <c r="BFT113" s="1251"/>
      <c r="BFU113" s="1251"/>
      <c r="BFV113" s="1251"/>
      <c r="BFW113" s="1251"/>
      <c r="BFX113" s="1251"/>
      <c r="BFY113" s="1251"/>
      <c r="BFZ113" s="1251"/>
      <c r="BGA113" s="1251"/>
      <c r="BGB113" s="1251"/>
      <c r="BGC113" s="1251"/>
      <c r="BGD113" s="1251"/>
      <c r="BGE113" s="1251"/>
      <c r="BGF113" s="1251"/>
      <c r="BGG113" s="1251"/>
      <c r="BGH113" s="1251"/>
      <c r="BGI113" s="1251"/>
      <c r="BGJ113" s="1251"/>
      <c r="BGK113" s="1251"/>
      <c r="BGL113" s="1251"/>
      <c r="BGM113" s="1251"/>
      <c r="BGN113" s="1251"/>
      <c r="BGO113" s="1251"/>
      <c r="BGP113" s="1251"/>
      <c r="BGQ113" s="1251"/>
      <c r="BGR113" s="1251"/>
      <c r="BGS113" s="1251"/>
      <c r="BGT113" s="1251"/>
      <c r="BGU113" s="1251"/>
      <c r="BGV113" s="1251"/>
      <c r="BGW113" s="1251"/>
      <c r="BGX113" s="1251"/>
      <c r="BGY113" s="1251"/>
      <c r="BGZ113" s="1251"/>
      <c r="BHA113" s="1251"/>
      <c r="BHB113" s="1251"/>
      <c r="BHC113" s="1251"/>
      <c r="BHD113" s="1251"/>
      <c r="BHE113" s="1251"/>
      <c r="BHF113" s="1251"/>
      <c r="BHG113" s="1251"/>
      <c r="BHH113" s="1251"/>
      <c r="BHI113" s="1251"/>
      <c r="BHJ113" s="1251"/>
      <c r="BHK113" s="1251"/>
      <c r="BHL113" s="1251"/>
      <c r="BHM113" s="1251"/>
      <c r="BHN113" s="1251"/>
      <c r="BHO113" s="1251"/>
      <c r="BHP113" s="1251"/>
      <c r="BHQ113" s="1251"/>
      <c r="BHR113" s="1251"/>
      <c r="BHS113" s="1251"/>
      <c r="BHT113" s="1251"/>
      <c r="BHU113" s="1251"/>
      <c r="BHV113" s="1251"/>
      <c r="BHW113" s="1251"/>
      <c r="BHX113" s="1251"/>
      <c r="BHY113" s="1251"/>
      <c r="BHZ113" s="1251"/>
      <c r="BIA113" s="1251"/>
      <c r="BIB113" s="1251"/>
      <c r="BIC113" s="1251"/>
      <c r="BID113" s="1251"/>
      <c r="BIE113" s="1251"/>
      <c r="BIF113" s="1251"/>
      <c r="BIG113" s="1251"/>
      <c r="BIH113" s="1251"/>
      <c r="BII113" s="1251"/>
      <c r="BIJ113" s="1251"/>
      <c r="BIK113" s="1251"/>
      <c r="BIL113" s="1251"/>
      <c r="BIM113" s="1251"/>
      <c r="BIN113" s="1251"/>
      <c r="BIO113" s="1251"/>
      <c r="BIP113" s="1251"/>
      <c r="BIQ113" s="1251"/>
      <c r="BIR113" s="1251"/>
      <c r="BIS113" s="1251"/>
      <c r="BIT113" s="1251"/>
      <c r="BIU113" s="1251"/>
      <c r="BIV113" s="1251"/>
      <c r="BIW113" s="1251"/>
      <c r="BIX113" s="1251"/>
      <c r="BIY113" s="1251"/>
      <c r="BIZ113" s="1251"/>
      <c r="BJA113" s="1251"/>
      <c r="BJB113" s="1251"/>
      <c r="BJC113" s="1251"/>
      <c r="BJD113" s="1251"/>
      <c r="BJE113" s="1251"/>
      <c r="BJF113" s="1251"/>
      <c r="BJG113" s="1251"/>
      <c r="BJH113" s="1251"/>
      <c r="BJI113" s="1251"/>
      <c r="BJJ113" s="1251"/>
      <c r="BJK113" s="1251"/>
      <c r="BJL113" s="1251"/>
      <c r="BJM113" s="1251"/>
      <c r="BJN113" s="1251"/>
      <c r="BJO113" s="1251"/>
      <c r="BJP113" s="1251"/>
      <c r="BJQ113" s="1251"/>
      <c r="BJR113" s="1251"/>
      <c r="BJS113" s="1251"/>
      <c r="BJT113" s="1251"/>
      <c r="BJU113" s="1251"/>
      <c r="BJV113" s="1251"/>
      <c r="BJW113" s="1251"/>
      <c r="BJX113" s="1251"/>
      <c r="BJY113" s="1251"/>
      <c r="BJZ113" s="1251"/>
      <c r="BKA113" s="1251"/>
      <c r="BKB113" s="1251"/>
      <c r="BKC113" s="1251"/>
      <c r="BKD113" s="1251"/>
      <c r="BKE113" s="1251"/>
      <c r="BKF113" s="1251"/>
      <c r="BKG113" s="1251"/>
      <c r="BKH113" s="1251"/>
      <c r="BKI113" s="1251"/>
      <c r="BKJ113" s="1251"/>
      <c r="BKK113" s="1251"/>
      <c r="BKL113" s="1251"/>
      <c r="BKM113" s="1251"/>
      <c r="BKN113" s="1251"/>
      <c r="BKO113" s="1251"/>
      <c r="BKP113" s="1251"/>
      <c r="BKQ113" s="1251"/>
      <c r="BKR113" s="1251"/>
      <c r="BKS113" s="1251"/>
      <c r="BKT113" s="1251"/>
      <c r="BKU113" s="1251"/>
      <c r="BKV113" s="1251"/>
      <c r="BKW113" s="1251"/>
      <c r="BKX113" s="1251"/>
      <c r="BKY113" s="1251"/>
      <c r="BKZ113" s="1251"/>
      <c r="BLA113" s="1251"/>
      <c r="BLB113" s="1251"/>
      <c r="BLC113" s="1251"/>
      <c r="BLD113" s="1251"/>
      <c r="BLE113" s="1251"/>
      <c r="BLF113" s="1251"/>
      <c r="BLG113" s="1251"/>
      <c r="BLH113" s="1251"/>
      <c r="BLI113" s="1251"/>
      <c r="BLJ113" s="1251"/>
      <c r="BLK113" s="1251"/>
      <c r="BLL113" s="1251"/>
      <c r="BLM113" s="1251"/>
      <c r="BLN113" s="1251"/>
      <c r="BLO113" s="1251"/>
      <c r="BLP113" s="1251"/>
      <c r="BLQ113" s="1251"/>
      <c r="BLR113" s="1251"/>
      <c r="BLS113" s="1251"/>
      <c r="BLT113" s="1251"/>
      <c r="BLU113" s="1251"/>
      <c r="BLV113" s="1251"/>
      <c r="BLW113" s="1251"/>
      <c r="BLX113" s="1251"/>
      <c r="BLY113" s="1251"/>
      <c r="BLZ113" s="1251"/>
      <c r="BMA113" s="1251"/>
      <c r="BMB113" s="1251"/>
      <c r="BMC113" s="1251"/>
      <c r="BMD113" s="1251"/>
      <c r="BME113" s="1251"/>
      <c r="BMF113" s="1251"/>
      <c r="BMG113" s="1251"/>
      <c r="BMH113" s="1251"/>
      <c r="BMI113" s="1251"/>
      <c r="BMJ113" s="1251"/>
      <c r="BMK113" s="1251"/>
      <c r="BML113" s="1251"/>
      <c r="BMM113" s="1251"/>
      <c r="BMN113" s="1251"/>
      <c r="BMO113" s="1251"/>
      <c r="BMP113" s="1251"/>
      <c r="BMQ113" s="1251"/>
      <c r="BMR113" s="1251"/>
      <c r="BMS113" s="1251"/>
      <c r="BMT113" s="1251"/>
      <c r="BMU113" s="1251"/>
      <c r="BMV113" s="1251"/>
      <c r="BMW113" s="1251"/>
      <c r="BMX113" s="1251"/>
      <c r="BMY113" s="1251"/>
      <c r="BMZ113" s="1251"/>
      <c r="BNA113" s="1251"/>
      <c r="BNB113" s="1251"/>
      <c r="BNC113" s="1251"/>
      <c r="BND113" s="1251"/>
      <c r="BNE113" s="1251"/>
      <c r="BNF113" s="1251"/>
      <c r="BNG113" s="1251"/>
      <c r="BNH113" s="1251"/>
      <c r="BNI113" s="1251"/>
      <c r="BNJ113" s="1251"/>
      <c r="BNK113" s="1251"/>
      <c r="BNL113" s="1251"/>
      <c r="BNM113" s="1251"/>
      <c r="BNN113" s="1251"/>
      <c r="BNO113" s="1251"/>
      <c r="BNP113" s="1251"/>
      <c r="BNQ113" s="1251"/>
      <c r="BNR113" s="1251"/>
      <c r="BNS113" s="1251"/>
      <c r="BNT113" s="1251"/>
      <c r="BNU113" s="1251"/>
      <c r="BNV113" s="1251"/>
      <c r="BNW113" s="1251"/>
      <c r="BNX113" s="1251"/>
      <c r="BNY113" s="1251"/>
      <c r="BNZ113" s="1251"/>
      <c r="BOA113" s="1251"/>
      <c r="BOB113" s="1251"/>
      <c r="BOC113" s="1251"/>
      <c r="BOD113" s="1251"/>
      <c r="BOE113" s="1251"/>
      <c r="BOF113" s="1251"/>
      <c r="BOG113" s="1251"/>
      <c r="BOH113" s="1251"/>
      <c r="BOI113" s="1251"/>
      <c r="BOJ113" s="1251"/>
      <c r="BOK113" s="1251"/>
      <c r="BOL113" s="1251"/>
      <c r="BOM113" s="1251"/>
      <c r="BON113" s="1251"/>
      <c r="BOO113" s="1251"/>
      <c r="BOP113" s="1251"/>
      <c r="BOQ113" s="1251"/>
      <c r="BOR113" s="1251"/>
      <c r="BOS113" s="1251"/>
      <c r="BOT113" s="1251"/>
      <c r="BOU113" s="1251"/>
      <c r="BOV113" s="1251"/>
      <c r="BOW113" s="1251"/>
      <c r="BOX113" s="1251"/>
      <c r="BOY113" s="1251"/>
      <c r="BOZ113" s="1251"/>
      <c r="BPA113" s="1251"/>
      <c r="BPB113" s="1251"/>
      <c r="BPC113" s="1251"/>
      <c r="BPD113" s="1251"/>
      <c r="BPE113" s="1251"/>
      <c r="BPF113" s="1251"/>
      <c r="BPG113" s="1251"/>
      <c r="BPH113" s="1251"/>
      <c r="BPI113" s="1251"/>
      <c r="BPJ113" s="1251"/>
      <c r="BPK113" s="1251"/>
      <c r="BPL113" s="1251"/>
      <c r="BPM113" s="1251"/>
      <c r="BPN113" s="1251"/>
      <c r="BPO113" s="1251"/>
      <c r="BPP113" s="1251"/>
      <c r="BPQ113" s="1251"/>
      <c r="BPR113" s="1251"/>
      <c r="BPS113" s="1251"/>
      <c r="BPT113" s="1251"/>
      <c r="BPU113" s="1251"/>
      <c r="BPV113" s="1251"/>
      <c r="BPW113" s="1251"/>
      <c r="BPX113" s="1251"/>
      <c r="BPY113" s="1251"/>
      <c r="BPZ113" s="1251"/>
      <c r="BQA113" s="1251"/>
      <c r="BQB113" s="1251"/>
      <c r="BQC113" s="1251"/>
      <c r="BQD113" s="1251"/>
      <c r="BQE113" s="1251"/>
      <c r="BQF113" s="1251"/>
      <c r="BQG113" s="1251"/>
      <c r="BQH113" s="1251"/>
      <c r="BQI113" s="1251"/>
      <c r="BQJ113" s="1251"/>
      <c r="BQK113" s="1251"/>
      <c r="BQL113" s="1251"/>
      <c r="BQM113" s="1251"/>
      <c r="BQN113" s="1251"/>
      <c r="BQO113" s="1251"/>
      <c r="BQP113" s="1251"/>
      <c r="BQQ113" s="1251"/>
      <c r="BQR113" s="1251"/>
      <c r="BQS113" s="1251"/>
      <c r="BQT113" s="1251"/>
      <c r="BQU113" s="1251"/>
      <c r="BQV113" s="1251"/>
      <c r="BQW113" s="1251"/>
      <c r="BQX113" s="1251"/>
      <c r="BQY113" s="1251"/>
      <c r="BQZ113" s="1251"/>
      <c r="BRA113" s="1251"/>
      <c r="BRB113" s="1251"/>
      <c r="BRC113" s="1251"/>
      <c r="BRD113" s="1251"/>
      <c r="BRE113" s="1251"/>
      <c r="BRF113" s="1251"/>
      <c r="BRG113" s="1251"/>
      <c r="BRH113" s="1251"/>
      <c r="BRI113" s="1251"/>
      <c r="BRJ113" s="1251"/>
      <c r="BRK113" s="1251"/>
      <c r="BRL113" s="1251"/>
      <c r="BRM113" s="1251"/>
      <c r="BRN113" s="1251"/>
      <c r="BRO113" s="1251"/>
      <c r="BRP113" s="1251"/>
      <c r="BRQ113" s="1251"/>
      <c r="BRR113" s="1251"/>
      <c r="BRS113" s="1251"/>
      <c r="BRT113" s="1251"/>
      <c r="BRU113" s="1251"/>
      <c r="BRV113" s="1251"/>
      <c r="BRW113" s="1251"/>
      <c r="BRX113" s="1251"/>
      <c r="BRY113" s="1251"/>
      <c r="BRZ113" s="1251"/>
      <c r="BSA113" s="1251"/>
      <c r="BSB113" s="1251"/>
      <c r="BSC113" s="1251"/>
      <c r="BSD113" s="1251"/>
      <c r="BSE113" s="1251"/>
      <c r="BSF113" s="1251"/>
      <c r="BSG113" s="1251"/>
      <c r="BSH113" s="1251"/>
      <c r="BSI113" s="1251"/>
      <c r="BSJ113" s="1251"/>
      <c r="BSK113" s="1251"/>
      <c r="BSL113" s="1251"/>
      <c r="BSM113" s="1251"/>
      <c r="BSN113" s="1251"/>
      <c r="BSO113" s="1251"/>
      <c r="BSP113" s="1251"/>
      <c r="BSQ113" s="1251"/>
      <c r="BSR113" s="1251"/>
      <c r="BSS113" s="1251"/>
      <c r="BST113" s="1251"/>
      <c r="BSU113" s="1251"/>
      <c r="BSV113" s="1251"/>
      <c r="BSW113" s="1251"/>
      <c r="BSX113" s="1251"/>
      <c r="BSY113" s="1251"/>
      <c r="BSZ113" s="1251"/>
      <c r="BTA113" s="1251"/>
      <c r="BTB113" s="1251"/>
      <c r="BTC113" s="1251"/>
      <c r="BTD113" s="1251"/>
      <c r="BTE113" s="1251"/>
      <c r="BTF113" s="1251"/>
      <c r="BTG113" s="1251"/>
      <c r="BTH113" s="1251"/>
      <c r="BTI113" s="1251"/>
    </row>
    <row r="114" spans="1:1881" s="1261" customFormat="1" ht="117.75" hidden="1" customHeight="1" thickBot="1" x14ac:dyDescent="0.35">
      <c r="A114" s="1274">
        <v>32</v>
      </c>
      <c r="B114" s="1272" t="s">
        <v>652</v>
      </c>
      <c r="C114" s="1275" t="s">
        <v>1266</v>
      </c>
      <c r="D114" s="1275" t="s">
        <v>1267</v>
      </c>
      <c r="E114" s="1249" t="e">
        <f>HLOOKUP($D$2,'2020 Data(H)'!$C$1:$CZ$426,20,FALSE)</f>
        <v>#N/A</v>
      </c>
      <c r="F114" s="1263">
        <v>0</v>
      </c>
      <c r="G114" s="727"/>
      <c r="H114" s="17"/>
      <c r="I114" s="760"/>
      <c r="J114" s="1252"/>
      <c r="K114" s="1251"/>
      <c r="L114" s="701"/>
      <c r="M114" s="1251"/>
      <c r="N114" s="1253"/>
      <c r="O114" s="1251"/>
      <c r="P114" s="1251"/>
      <c r="Q114" s="1251"/>
      <c r="R114" s="1251"/>
      <c r="S114" s="1251"/>
      <c r="T114" s="1251"/>
      <c r="U114" s="1251"/>
      <c r="V114" s="1251"/>
      <c r="W114" s="1251"/>
      <c r="X114" s="1251"/>
      <c r="Y114" s="1251"/>
      <c r="Z114" s="1274"/>
      <c r="AA114" s="1274"/>
      <c r="AB114" s="1274"/>
      <c r="AC114" s="1274"/>
      <c r="AD114" s="1274"/>
      <c r="AE114" s="1274"/>
      <c r="AF114" s="1274"/>
      <c r="AG114" s="1274"/>
      <c r="AH114" s="1274"/>
      <c r="AI114" s="1274"/>
      <c r="AJ114" s="1274"/>
      <c r="AK114" s="1274"/>
      <c r="AL114" s="1274"/>
      <c r="AM114" s="1274"/>
      <c r="AN114" s="1274"/>
      <c r="AO114" s="1274"/>
      <c r="AP114" s="1274"/>
      <c r="AQ114" s="1274"/>
      <c r="AR114" s="1274"/>
      <c r="AS114" s="1251"/>
      <c r="AT114" s="1251"/>
      <c r="AU114" s="1251"/>
      <c r="AV114" s="1251"/>
      <c r="AW114" s="1251"/>
      <c r="AX114" s="1251"/>
      <c r="AY114" s="1251"/>
      <c r="AZ114" s="1251"/>
      <c r="BA114" s="1251"/>
      <c r="BB114" s="1251"/>
      <c r="BC114" s="1251"/>
      <c r="BD114" s="1251"/>
      <c r="BE114" s="1251"/>
      <c r="BF114" s="1251"/>
      <c r="BG114" s="1251"/>
      <c r="BH114" s="1251"/>
      <c r="BI114" s="1251"/>
      <c r="BJ114" s="1251"/>
      <c r="BK114" s="1251"/>
      <c r="BL114" s="1251"/>
      <c r="BM114" s="1251"/>
      <c r="BN114" s="1251"/>
      <c r="BO114" s="1251"/>
      <c r="BP114" s="1251"/>
      <c r="BQ114" s="1251"/>
      <c r="BR114" s="1251"/>
      <c r="BS114" s="1251"/>
      <c r="BT114" s="1251"/>
      <c r="BU114" s="1251"/>
      <c r="BV114" s="1251"/>
      <c r="BW114" s="1251"/>
      <c r="BX114" s="1251"/>
      <c r="BY114" s="1251"/>
      <c r="BZ114" s="1251"/>
      <c r="CA114" s="1251"/>
      <c r="CB114" s="1251"/>
      <c r="CC114" s="1251"/>
      <c r="CD114" s="1251"/>
      <c r="CE114" s="1251"/>
      <c r="CF114" s="1251"/>
      <c r="CG114" s="1251"/>
      <c r="CH114" s="1251"/>
      <c r="CI114" s="1251"/>
      <c r="CJ114" s="1251"/>
      <c r="CK114" s="1251"/>
      <c r="CL114" s="1251"/>
      <c r="CM114" s="1251"/>
      <c r="CN114" s="1251"/>
      <c r="CO114" s="1251"/>
      <c r="CP114" s="1251"/>
      <c r="CQ114" s="1251"/>
      <c r="CR114" s="1251"/>
      <c r="CS114" s="1251"/>
      <c r="CT114" s="1251"/>
      <c r="CU114" s="1251"/>
      <c r="CV114" s="1251"/>
      <c r="CW114" s="1251"/>
      <c r="CX114" s="1251"/>
      <c r="CY114" s="1251"/>
      <c r="CZ114" s="1251"/>
      <c r="DA114" s="1251"/>
      <c r="DB114" s="1251"/>
      <c r="DC114" s="1251"/>
      <c r="DD114" s="1251"/>
      <c r="DE114" s="1251"/>
      <c r="DF114" s="1251"/>
      <c r="DG114" s="1251"/>
      <c r="DH114" s="1251"/>
      <c r="DI114" s="1251"/>
      <c r="DJ114" s="1251"/>
      <c r="DK114" s="1251"/>
      <c r="DL114" s="1251"/>
      <c r="DM114" s="1251"/>
      <c r="DN114" s="1251"/>
      <c r="DO114" s="1251"/>
      <c r="DP114" s="1251"/>
      <c r="DQ114" s="1251"/>
      <c r="DR114" s="1251"/>
      <c r="DS114" s="1251"/>
      <c r="DT114" s="1251"/>
      <c r="DU114" s="1251"/>
      <c r="DV114" s="1251"/>
      <c r="DW114" s="1251"/>
      <c r="DX114" s="1251"/>
      <c r="DY114" s="1251"/>
      <c r="DZ114" s="1251"/>
      <c r="EA114" s="1251"/>
      <c r="EB114" s="1251"/>
      <c r="EC114" s="1251"/>
      <c r="ED114" s="1251"/>
      <c r="EE114" s="1251"/>
      <c r="EF114" s="1251"/>
      <c r="EG114" s="1251"/>
      <c r="EH114" s="1251"/>
      <c r="EI114" s="1251"/>
      <c r="EJ114" s="1251"/>
      <c r="EK114" s="1251"/>
      <c r="EL114" s="1251"/>
      <c r="EM114" s="1251"/>
      <c r="EN114" s="1251"/>
      <c r="EO114" s="1251"/>
      <c r="EP114" s="1251"/>
      <c r="EQ114" s="1251"/>
      <c r="ER114" s="1251"/>
      <c r="ES114" s="1251"/>
      <c r="ET114" s="1251"/>
      <c r="EU114" s="1251"/>
      <c r="EV114" s="1251"/>
      <c r="EW114" s="1251"/>
      <c r="EX114" s="1251"/>
      <c r="EY114" s="1251"/>
      <c r="EZ114" s="1251"/>
      <c r="FA114" s="1251"/>
      <c r="FB114" s="1251"/>
      <c r="FC114" s="1251"/>
      <c r="FD114" s="1251"/>
      <c r="FE114" s="1251"/>
      <c r="FF114" s="1251"/>
      <c r="FG114" s="1251"/>
      <c r="FH114" s="1251"/>
      <c r="FI114" s="1251"/>
      <c r="FJ114" s="1251"/>
      <c r="FK114" s="1251"/>
      <c r="FL114" s="1251"/>
      <c r="FM114" s="1251"/>
      <c r="FN114" s="1251"/>
      <c r="FO114" s="1251"/>
      <c r="FP114" s="1251"/>
      <c r="FQ114" s="1251"/>
      <c r="FR114" s="1251"/>
      <c r="FS114" s="1251"/>
      <c r="FT114" s="1251"/>
      <c r="FU114" s="1251"/>
      <c r="FV114" s="1251"/>
      <c r="FW114" s="1251"/>
      <c r="FX114" s="1251"/>
      <c r="FY114" s="1251"/>
      <c r="FZ114" s="1251"/>
      <c r="GA114" s="1251"/>
      <c r="GB114" s="1251"/>
      <c r="GC114" s="1251"/>
      <c r="GD114" s="1251"/>
      <c r="GE114" s="1251"/>
      <c r="GF114" s="1251"/>
      <c r="GG114" s="1251"/>
      <c r="GH114" s="1251"/>
      <c r="GI114" s="1251"/>
      <c r="GJ114" s="1251"/>
      <c r="GK114" s="1251"/>
      <c r="GL114" s="1251"/>
      <c r="GM114" s="1251"/>
      <c r="GN114" s="1251"/>
      <c r="GO114" s="1251"/>
      <c r="GP114" s="1251"/>
      <c r="GQ114" s="1251"/>
      <c r="GR114" s="1251"/>
      <c r="GS114" s="1251"/>
      <c r="GT114" s="1251"/>
      <c r="GU114" s="1251"/>
      <c r="GV114" s="1251"/>
      <c r="GW114" s="1251"/>
      <c r="GX114" s="1251"/>
      <c r="GY114" s="1251"/>
      <c r="GZ114" s="1251"/>
      <c r="HA114" s="1251"/>
      <c r="HB114" s="1251"/>
      <c r="HC114" s="1251"/>
      <c r="HD114" s="1251"/>
      <c r="HE114" s="1251"/>
      <c r="HF114" s="1251"/>
      <c r="HG114" s="1251"/>
      <c r="HH114" s="1251"/>
      <c r="HI114" s="1251"/>
      <c r="HJ114" s="1251"/>
      <c r="HK114" s="1251"/>
      <c r="HL114" s="1251"/>
      <c r="HM114" s="1251"/>
      <c r="HN114" s="1251"/>
      <c r="HO114" s="1251"/>
      <c r="HP114" s="1251"/>
      <c r="HQ114" s="1251"/>
      <c r="HR114" s="1251"/>
      <c r="HS114" s="1251"/>
      <c r="HT114" s="1251"/>
      <c r="HU114" s="1251"/>
      <c r="HV114" s="1251"/>
      <c r="HW114" s="1251"/>
      <c r="HX114" s="1251"/>
      <c r="HY114" s="1251"/>
      <c r="HZ114" s="1251"/>
      <c r="IA114" s="1251"/>
      <c r="IB114" s="1251"/>
      <c r="IC114" s="1251"/>
      <c r="ID114" s="1251"/>
      <c r="IE114" s="1251"/>
      <c r="IF114" s="1251"/>
      <c r="IG114" s="1251"/>
      <c r="IH114" s="1251"/>
      <c r="II114" s="1251"/>
      <c r="IJ114" s="1251"/>
      <c r="IK114" s="1251"/>
      <c r="IL114" s="1251"/>
      <c r="IM114" s="1251"/>
      <c r="IN114" s="1251"/>
      <c r="IO114" s="1251"/>
      <c r="IP114" s="1251"/>
      <c r="IQ114" s="1251"/>
      <c r="IR114" s="1251"/>
      <c r="IS114" s="1251"/>
      <c r="IT114" s="1251"/>
      <c r="IU114" s="1251"/>
      <c r="IV114" s="1251"/>
      <c r="IW114" s="1251"/>
      <c r="IX114" s="1251"/>
      <c r="IY114" s="1251"/>
      <c r="IZ114" s="1251"/>
      <c r="JA114" s="1251"/>
      <c r="JB114" s="1251"/>
      <c r="JC114" s="1251"/>
      <c r="JD114" s="1251"/>
      <c r="JE114" s="1251"/>
      <c r="JF114" s="1251"/>
      <c r="JG114" s="1251"/>
      <c r="JH114" s="1251"/>
      <c r="JI114" s="1251"/>
      <c r="JJ114" s="1251"/>
      <c r="JK114" s="1251"/>
      <c r="JL114" s="1251"/>
      <c r="JM114" s="1251"/>
      <c r="JN114" s="1251"/>
      <c r="JO114" s="1251"/>
      <c r="JP114" s="1251"/>
      <c r="JQ114" s="1251"/>
      <c r="JR114" s="1251"/>
      <c r="JS114" s="1251"/>
      <c r="JT114" s="1251"/>
      <c r="JU114" s="1251"/>
      <c r="JV114" s="1251"/>
      <c r="JW114" s="1251"/>
      <c r="JX114" s="1251"/>
      <c r="JY114" s="1251"/>
      <c r="JZ114" s="1251"/>
      <c r="KA114" s="1251"/>
      <c r="KB114" s="1251"/>
      <c r="KC114" s="1251"/>
      <c r="KD114" s="1251"/>
      <c r="KE114" s="1251"/>
      <c r="KF114" s="1251"/>
      <c r="KG114" s="1251"/>
      <c r="KH114" s="1251"/>
      <c r="KI114" s="1251"/>
      <c r="KJ114" s="1251"/>
      <c r="KK114" s="1251"/>
      <c r="KL114" s="1251"/>
      <c r="KM114" s="1251"/>
      <c r="KN114" s="1251"/>
      <c r="KO114" s="1251"/>
      <c r="KP114" s="1251"/>
      <c r="KQ114" s="1251"/>
      <c r="KR114" s="1251"/>
      <c r="KS114" s="1251"/>
      <c r="KT114" s="1251"/>
      <c r="KU114" s="1251"/>
      <c r="KV114" s="1251"/>
      <c r="KW114" s="1251"/>
      <c r="KX114" s="1251"/>
      <c r="KY114" s="1251"/>
      <c r="KZ114" s="1251"/>
      <c r="LA114" s="1251"/>
      <c r="LB114" s="1251"/>
      <c r="LC114" s="1251"/>
      <c r="LD114" s="1251"/>
      <c r="LE114" s="1251"/>
      <c r="LF114" s="1251"/>
      <c r="LG114" s="1251"/>
      <c r="LH114" s="1251"/>
      <c r="LI114" s="1251"/>
      <c r="LJ114" s="1251"/>
      <c r="LK114" s="1251"/>
      <c r="LL114" s="1251"/>
      <c r="LM114" s="1251"/>
      <c r="LN114" s="1251"/>
      <c r="LO114" s="1251"/>
      <c r="LP114" s="1251"/>
      <c r="LQ114" s="1251"/>
      <c r="LR114" s="1251"/>
      <c r="LS114" s="1251"/>
      <c r="LT114" s="1251"/>
      <c r="LU114" s="1251"/>
      <c r="LV114" s="1251"/>
      <c r="LW114" s="1251"/>
      <c r="LX114" s="1251"/>
      <c r="LY114" s="1251"/>
      <c r="LZ114" s="1251"/>
      <c r="MA114" s="1251"/>
      <c r="MB114" s="1251"/>
      <c r="MC114" s="1251"/>
      <c r="MD114" s="1251"/>
      <c r="ME114" s="1251"/>
      <c r="MF114" s="1251"/>
      <c r="MG114" s="1251"/>
      <c r="MH114" s="1251"/>
      <c r="MI114" s="1251"/>
      <c r="MJ114" s="1251"/>
      <c r="MK114" s="1251"/>
      <c r="ML114" s="1251"/>
      <c r="MM114" s="1251"/>
      <c r="MN114" s="1251"/>
      <c r="MO114" s="1251"/>
      <c r="MP114" s="1251"/>
      <c r="MQ114" s="1251"/>
      <c r="MR114" s="1251"/>
      <c r="MS114" s="1251"/>
      <c r="MT114" s="1251"/>
      <c r="MU114" s="1251"/>
      <c r="MV114" s="1251"/>
      <c r="MW114" s="1251"/>
      <c r="MX114" s="1251"/>
      <c r="MY114" s="1251"/>
      <c r="MZ114" s="1251"/>
      <c r="NA114" s="1251"/>
      <c r="NB114" s="1251"/>
      <c r="NC114" s="1251"/>
      <c r="ND114" s="1251"/>
      <c r="NE114" s="1251"/>
      <c r="NF114" s="1251"/>
      <c r="NG114" s="1251"/>
      <c r="NH114" s="1251"/>
      <c r="NI114" s="1251"/>
      <c r="NJ114" s="1251"/>
      <c r="NK114" s="1251"/>
      <c r="NL114" s="1251"/>
      <c r="NM114" s="1251"/>
      <c r="NN114" s="1251"/>
      <c r="NO114" s="1251"/>
      <c r="NP114" s="1251"/>
      <c r="NQ114" s="1251"/>
      <c r="NR114" s="1251"/>
      <c r="NS114" s="1251"/>
      <c r="NT114" s="1251"/>
      <c r="NU114" s="1251"/>
      <c r="NV114" s="1251"/>
      <c r="NW114" s="1251"/>
      <c r="NX114" s="1251"/>
      <c r="NY114" s="1251"/>
      <c r="NZ114" s="1251"/>
      <c r="OA114" s="1251"/>
      <c r="OB114" s="1251"/>
      <c r="OC114" s="1251"/>
      <c r="OD114" s="1251"/>
      <c r="OE114" s="1251"/>
      <c r="OF114" s="1251"/>
      <c r="OG114" s="1251"/>
      <c r="OH114" s="1251"/>
      <c r="OI114" s="1251"/>
      <c r="OJ114" s="1251"/>
      <c r="OK114" s="1251"/>
      <c r="OL114" s="1251"/>
      <c r="OM114" s="1251"/>
      <c r="ON114" s="1251"/>
      <c r="OO114" s="1251"/>
      <c r="OP114" s="1251"/>
      <c r="OQ114" s="1251"/>
      <c r="OR114" s="1251"/>
      <c r="OS114" s="1251"/>
      <c r="OT114" s="1251"/>
      <c r="OU114" s="1251"/>
      <c r="OV114" s="1251"/>
      <c r="OW114" s="1251"/>
      <c r="OX114" s="1251"/>
      <c r="OY114" s="1251"/>
      <c r="OZ114" s="1251"/>
      <c r="PA114" s="1251"/>
      <c r="PB114" s="1251"/>
      <c r="PC114" s="1251"/>
      <c r="PD114" s="1251"/>
      <c r="PE114" s="1251"/>
      <c r="PF114" s="1251"/>
      <c r="PG114" s="1251"/>
      <c r="PH114" s="1251"/>
      <c r="PI114" s="1251"/>
      <c r="PJ114" s="1251"/>
      <c r="PK114" s="1251"/>
      <c r="PL114" s="1251"/>
      <c r="PM114" s="1251"/>
      <c r="PN114" s="1251"/>
      <c r="PO114" s="1251"/>
      <c r="PP114" s="1251"/>
      <c r="PQ114" s="1251"/>
      <c r="PR114" s="1251"/>
      <c r="PS114" s="1251"/>
      <c r="PT114" s="1251"/>
      <c r="PU114" s="1251"/>
      <c r="PV114" s="1251"/>
      <c r="PW114" s="1251"/>
      <c r="PX114" s="1251"/>
      <c r="PY114" s="1251"/>
      <c r="PZ114" s="1251"/>
      <c r="QA114" s="1251"/>
      <c r="QB114" s="1251"/>
      <c r="QC114" s="1251"/>
      <c r="QD114" s="1251"/>
      <c r="QE114" s="1251"/>
      <c r="QF114" s="1251"/>
      <c r="QG114" s="1251"/>
      <c r="QH114" s="1251"/>
      <c r="QI114" s="1251"/>
      <c r="QJ114" s="1251"/>
      <c r="QK114" s="1251"/>
      <c r="QL114" s="1251"/>
      <c r="QM114" s="1251"/>
      <c r="QN114" s="1251"/>
      <c r="QO114" s="1251"/>
      <c r="QP114" s="1251"/>
      <c r="QQ114" s="1251"/>
      <c r="QR114" s="1251"/>
      <c r="QS114" s="1251"/>
      <c r="QT114" s="1251"/>
      <c r="QU114" s="1251"/>
      <c r="QV114" s="1251"/>
      <c r="QW114" s="1251"/>
      <c r="QX114" s="1251"/>
      <c r="QY114" s="1251"/>
      <c r="QZ114" s="1251"/>
      <c r="RA114" s="1251"/>
      <c r="RB114" s="1251"/>
      <c r="RC114" s="1251"/>
      <c r="RD114" s="1251"/>
      <c r="RE114" s="1251"/>
      <c r="RF114" s="1251"/>
      <c r="RG114" s="1251"/>
      <c r="RH114" s="1251"/>
      <c r="RI114" s="1251"/>
      <c r="RJ114" s="1251"/>
      <c r="RK114" s="1251"/>
      <c r="RL114" s="1251"/>
      <c r="RM114" s="1251"/>
      <c r="RN114" s="1251"/>
      <c r="RO114" s="1251"/>
      <c r="RP114" s="1251"/>
      <c r="RQ114" s="1251"/>
      <c r="RR114" s="1251"/>
      <c r="RS114" s="1251"/>
      <c r="RT114" s="1251"/>
      <c r="RU114" s="1251"/>
      <c r="RV114" s="1251"/>
      <c r="RW114" s="1251"/>
      <c r="RX114" s="1251"/>
      <c r="RY114" s="1251"/>
      <c r="RZ114" s="1251"/>
      <c r="SA114" s="1251"/>
      <c r="SB114" s="1251"/>
      <c r="SC114" s="1251"/>
      <c r="SD114" s="1251"/>
      <c r="SE114" s="1251"/>
      <c r="SF114" s="1251"/>
      <c r="SG114" s="1251"/>
      <c r="SH114" s="1251"/>
      <c r="SI114" s="1251"/>
      <c r="SJ114" s="1251"/>
      <c r="SK114" s="1251"/>
      <c r="SL114" s="1251"/>
      <c r="SM114" s="1251"/>
      <c r="SN114" s="1251"/>
      <c r="SO114" s="1251"/>
      <c r="SP114" s="1251"/>
      <c r="SQ114" s="1251"/>
      <c r="SR114" s="1251"/>
      <c r="SS114" s="1251"/>
      <c r="ST114" s="1251"/>
      <c r="SU114" s="1251"/>
      <c r="SV114" s="1251"/>
      <c r="SW114" s="1251"/>
      <c r="SX114" s="1251"/>
      <c r="SY114" s="1251"/>
      <c r="SZ114" s="1251"/>
      <c r="TA114" s="1251"/>
      <c r="TB114" s="1251"/>
      <c r="TC114" s="1251"/>
      <c r="TD114" s="1251"/>
      <c r="TE114" s="1251"/>
      <c r="TF114" s="1251"/>
      <c r="TG114" s="1251"/>
      <c r="TH114" s="1251"/>
      <c r="TI114" s="1251"/>
      <c r="TJ114" s="1251"/>
      <c r="TK114" s="1251"/>
      <c r="TL114" s="1251"/>
      <c r="TM114" s="1251"/>
      <c r="TN114" s="1251"/>
      <c r="TO114" s="1251"/>
      <c r="TP114" s="1251"/>
      <c r="TQ114" s="1251"/>
      <c r="TR114" s="1251"/>
      <c r="TS114" s="1251"/>
      <c r="TT114" s="1251"/>
      <c r="TU114" s="1251"/>
      <c r="TV114" s="1251"/>
      <c r="TW114" s="1251"/>
      <c r="TX114" s="1251"/>
      <c r="TY114" s="1251"/>
      <c r="TZ114" s="1251"/>
      <c r="UA114" s="1251"/>
      <c r="UB114" s="1251"/>
      <c r="UC114" s="1251"/>
      <c r="UD114" s="1251"/>
      <c r="UE114" s="1251"/>
      <c r="UF114" s="1251"/>
      <c r="UG114" s="1251"/>
      <c r="UH114" s="1251"/>
      <c r="UI114" s="1251"/>
      <c r="UJ114" s="1251"/>
      <c r="UK114" s="1251"/>
      <c r="UL114" s="1251"/>
      <c r="UM114" s="1251"/>
      <c r="UN114" s="1251"/>
      <c r="UO114" s="1251"/>
      <c r="UP114" s="1251"/>
      <c r="UQ114" s="1251"/>
      <c r="UR114" s="1251"/>
      <c r="US114" s="1251"/>
      <c r="UT114" s="1251"/>
      <c r="UU114" s="1251"/>
      <c r="UV114" s="1251"/>
      <c r="UW114" s="1251"/>
      <c r="UX114" s="1251"/>
      <c r="UY114" s="1251"/>
      <c r="UZ114" s="1251"/>
      <c r="VA114" s="1251"/>
      <c r="VB114" s="1251"/>
      <c r="VC114" s="1251"/>
      <c r="VD114" s="1251"/>
      <c r="VE114" s="1251"/>
      <c r="VF114" s="1251"/>
      <c r="VG114" s="1251"/>
      <c r="VH114" s="1251"/>
      <c r="VI114" s="1251"/>
      <c r="VJ114" s="1251"/>
      <c r="VK114" s="1251"/>
      <c r="VL114" s="1251"/>
      <c r="VM114" s="1251"/>
      <c r="VN114" s="1251"/>
      <c r="VO114" s="1251"/>
      <c r="VP114" s="1251"/>
      <c r="VQ114" s="1251"/>
      <c r="VR114" s="1251"/>
      <c r="VS114" s="1251"/>
      <c r="VT114" s="1251"/>
      <c r="VU114" s="1251"/>
      <c r="VV114" s="1251"/>
      <c r="VW114" s="1251"/>
      <c r="VX114" s="1251"/>
      <c r="VY114" s="1251"/>
      <c r="VZ114" s="1251"/>
      <c r="WA114" s="1251"/>
      <c r="WB114" s="1251"/>
      <c r="WC114" s="1251"/>
      <c r="WD114" s="1251"/>
      <c r="WE114" s="1251"/>
      <c r="WF114" s="1251"/>
      <c r="WG114" s="1251"/>
      <c r="WH114" s="1251"/>
      <c r="WI114" s="1251"/>
      <c r="WJ114" s="1251"/>
      <c r="WK114" s="1251"/>
      <c r="WL114" s="1251"/>
      <c r="WM114" s="1251"/>
      <c r="WN114" s="1251"/>
      <c r="WO114" s="1251"/>
      <c r="WP114" s="1251"/>
      <c r="WQ114" s="1251"/>
      <c r="WR114" s="1251"/>
      <c r="WS114" s="1251"/>
      <c r="WT114" s="1251"/>
      <c r="WU114" s="1251"/>
      <c r="WV114" s="1251"/>
      <c r="WW114" s="1251"/>
      <c r="WX114" s="1251"/>
      <c r="WY114" s="1251"/>
      <c r="WZ114" s="1251"/>
      <c r="XA114" s="1251"/>
      <c r="XB114" s="1251"/>
      <c r="XC114" s="1251"/>
      <c r="XD114" s="1251"/>
      <c r="XE114" s="1251"/>
      <c r="XF114" s="1251"/>
      <c r="XG114" s="1251"/>
      <c r="XH114" s="1251"/>
      <c r="XI114" s="1251"/>
      <c r="XJ114" s="1251"/>
      <c r="XK114" s="1251"/>
      <c r="XL114" s="1251"/>
      <c r="XM114" s="1251"/>
      <c r="XN114" s="1251"/>
      <c r="XO114" s="1251"/>
      <c r="XP114" s="1251"/>
      <c r="XQ114" s="1251"/>
      <c r="XR114" s="1251"/>
      <c r="XS114" s="1251"/>
      <c r="XT114" s="1251"/>
      <c r="XU114" s="1251"/>
      <c r="XV114" s="1251"/>
      <c r="XW114" s="1251"/>
      <c r="XX114" s="1251"/>
      <c r="XY114" s="1251"/>
      <c r="XZ114" s="1251"/>
      <c r="YA114" s="1251"/>
      <c r="YB114" s="1251"/>
      <c r="YC114" s="1251"/>
      <c r="YD114" s="1251"/>
      <c r="YE114" s="1251"/>
      <c r="YF114" s="1251"/>
      <c r="YG114" s="1251"/>
      <c r="YH114" s="1251"/>
      <c r="YI114" s="1251"/>
      <c r="YJ114" s="1251"/>
      <c r="YK114" s="1251"/>
      <c r="YL114" s="1251"/>
      <c r="YM114" s="1251"/>
      <c r="YN114" s="1251"/>
      <c r="YO114" s="1251"/>
      <c r="YP114" s="1251"/>
      <c r="YQ114" s="1251"/>
      <c r="YR114" s="1251"/>
      <c r="YS114" s="1251"/>
      <c r="YT114" s="1251"/>
      <c r="YU114" s="1251"/>
      <c r="YV114" s="1251"/>
      <c r="YW114" s="1251"/>
      <c r="YX114" s="1251"/>
      <c r="YY114" s="1251"/>
      <c r="YZ114" s="1251"/>
      <c r="ZA114" s="1251"/>
      <c r="ZB114" s="1251"/>
      <c r="ZC114" s="1251"/>
      <c r="ZD114" s="1251"/>
      <c r="ZE114" s="1251"/>
      <c r="ZF114" s="1251"/>
      <c r="ZG114" s="1251"/>
      <c r="ZH114" s="1251"/>
      <c r="ZI114" s="1251"/>
      <c r="ZJ114" s="1251"/>
      <c r="ZK114" s="1251"/>
      <c r="ZL114" s="1251"/>
      <c r="ZM114" s="1251"/>
      <c r="ZN114" s="1251"/>
      <c r="ZO114" s="1251"/>
      <c r="ZP114" s="1251"/>
      <c r="ZQ114" s="1251"/>
      <c r="ZR114" s="1251"/>
      <c r="ZS114" s="1251"/>
      <c r="ZT114" s="1251"/>
      <c r="ZU114" s="1251"/>
      <c r="ZV114" s="1251"/>
      <c r="ZW114" s="1251"/>
      <c r="ZX114" s="1251"/>
      <c r="ZY114" s="1251"/>
      <c r="ZZ114" s="1251"/>
      <c r="AAA114" s="1251"/>
      <c r="AAB114" s="1251"/>
      <c r="AAC114" s="1251"/>
      <c r="AAD114" s="1251"/>
      <c r="AAE114" s="1251"/>
      <c r="AAF114" s="1251"/>
      <c r="AAG114" s="1251"/>
      <c r="AAH114" s="1251"/>
      <c r="AAI114" s="1251"/>
      <c r="AAJ114" s="1251"/>
      <c r="AAK114" s="1251"/>
      <c r="AAL114" s="1251"/>
      <c r="AAM114" s="1251"/>
      <c r="AAN114" s="1251"/>
      <c r="AAO114" s="1251"/>
      <c r="AAP114" s="1251"/>
      <c r="AAQ114" s="1251"/>
      <c r="AAR114" s="1251"/>
      <c r="AAS114" s="1251"/>
      <c r="AAT114" s="1251"/>
      <c r="AAU114" s="1251"/>
      <c r="AAV114" s="1251"/>
      <c r="AAW114" s="1251"/>
      <c r="AAX114" s="1251"/>
      <c r="AAY114" s="1251"/>
      <c r="AAZ114" s="1251"/>
      <c r="ABA114" s="1251"/>
      <c r="ABB114" s="1251"/>
      <c r="ABC114" s="1251"/>
      <c r="ABD114" s="1251"/>
      <c r="ABE114" s="1251"/>
      <c r="ABF114" s="1251"/>
      <c r="ABG114" s="1251"/>
      <c r="ABH114" s="1251"/>
      <c r="ABI114" s="1251"/>
      <c r="ABJ114" s="1251"/>
      <c r="ABK114" s="1251"/>
      <c r="ABL114" s="1251"/>
      <c r="ABM114" s="1251"/>
      <c r="ABN114" s="1251"/>
      <c r="ABO114" s="1251"/>
      <c r="ABP114" s="1251"/>
      <c r="ABQ114" s="1251"/>
      <c r="ABR114" s="1251"/>
      <c r="ABS114" s="1251"/>
      <c r="ABT114" s="1251"/>
      <c r="ABU114" s="1251"/>
      <c r="ABV114" s="1251"/>
      <c r="ABW114" s="1251"/>
      <c r="ABX114" s="1251"/>
      <c r="ABY114" s="1251"/>
      <c r="ABZ114" s="1251"/>
      <c r="ACA114" s="1251"/>
      <c r="ACB114" s="1251"/>
      <c r="ACC114" s="1251"/>
      <c r="ACD114" s="1251"/>
      <c r="ACE114" s="1251"/>
      <c r="ACF114" s="1251"/>
      <c r="ACG114" s="1251"/>
      <c r="ACH114" s="1251"/>
      <c r="ACI114" s="1251"/>
      <c r="ACJ114" s="1251"/>
      <c r="ACK114" s="1251"/>
      <c r="ACL114" s="1251"/>
      <c r="ACM114" s="1251"/>
      <c r="ACN114" s="1251"/>
      <c r="ACO114" s="1251"/>
      <c r="ACP114" s="1251"/>
      <c r="ACQ114" s="1251"/>
      <c r="ACR114" s="1251"/>
      <c r="ACS114" s="1251"/>
      <c r="ACT114" s="1251"/>
      <c r="ACU114" s="1251"/>
      <c r="ACV114" s="1251"/>
      <c r="ACW114" s="1251"/>
      <c r="ACX114" s="1251"/>
      <c r="ACY114" s="1251"/>
      <c r="ACZ114" s="1251"/>
      <c r="ADA114" s="1251"/>
      <c r="ADB114" s="1251"/>
      <c r="ADC114" s="1251"/>
      <c r="ADD114" s="1251"/>
      <c r="ADE114" s="1251"/>
      <c r="ADF114" s="1251"/>
      <c r="ADG114" s="1251"/>
      <c r="ADH114" s="1251"/>
      <c r="ADI114" s="1251"/>
      <c r="ADJ114" s="1251"/>
      <c r="ADK114" s="1251"/>
      <c r="ADL114" s="1251"/>
      <c r="ADM114" s="1251"/>
      <c r="ADN114" s="1251"/>
      <c r="ADO114" s="1251"/>
      <c r="ADP114" s="1251"/>
      <c r="ADQ114" s="1251"/>
      <c r="ADR114" s="1251"/>
      <c r="ADS114" s="1251"/>
      <c r="ADT114" s="1251"/>
      <c r="ADU114" s="1251"/>
      <c r="ADV114" s="1251"/>
      <c r="ADW114" s="1251"/>
      <c r="ADX114" s="1251"/>
      <c r="ADY114" s="1251"/>
      <c r="ADZ114" s="1251"/>
      <c r="AEA114" s="1251"/>
      <c r="AEB114" s="1251"/>
      <c r="AEC114" s="1251"/>
      <c r="AED114" s="1251"/>
      <c r="AEE114" s="1251"/>
      <c r="AEF114" s="1251"/>
      <c r="AEG114" s="1251"/>
      <c r="AEH114" s="1251"/>
      <c r="AEI114" s="1251"/>
      <c r="AEJ114" s="1251"/>
      <c r="AEK114" s="1251"/>
      <c r="AEL114" s="1251"/>
      <c r="AEM114" s="1251"/>
      <c r="AEN114" s="1251"/>
      <c r="AEO114" s="1251"/>
      <c r="AEP114" s="1251"/>
      <c r="AEQ114" s="1251"/>
      <c r="AER114" s="1251"/>
      <c r="AES114" s="1251"/>
      <c r="AET114" s="1251"/>
      <c r="AEU114" s="1251"/>
      <c r="AEV114" s="1251"/>
      <c r="AEW114" s="1251"/>
      <c r="AEX114" s="1251"/>
      <c r="AEY114" s="1251"/>
      <c r="AEZ114" s="1251"/>
      <c r="AFA114" s="1251"/>
      <c r="AFB114" s="1251"/>
      <c r="AFC114" s="1251"/>
      <c r="AFD114" s="1251"/>
      <c r="AFE114" s="1251"/>
      <c r="AFF114" s="1251"/>
      <c r="AFG114" s="1251"/>
      <c r="AFH114" s="1251"/>
      <c r="AFI114" s="1251"/>
      <c r="AFJ114" s="1251"/>
      <c r="AFK114" s="1251"/>
      <c r="AFL114" s="1251"/>
      <c r="AFM114" s="1251"/>
      <c r="AFN114" s="1251"/>
      <c r="AFO114" s="1251"/>
      <c r="AFP114" s="1251"/>
      <c r="AFQ114" s="1251"/>
      <c r="AFR114" s="1251"/>
      <c r="AFS114" s="1251"/>
      <c r="AFT114" s="1251"/>
      <c r="AFU114" s="1251"/>
      <c r="AFV114" s="1251"/>
      <c r="AFW114" s="1251"/>
      <c r="AFX114" s="1251"/>
      <c r="AFY114" s="1251"/>
      <c r="AFZ114" s="1251"/>
      <c r="AGA114" s="1251"/>
      <c r="AGB114" s="1251"/>
      <c r="AGC114" s="1251"/>
      <c r="AGD114" s="1251"/>
      <c r="AGE114" s="1251"/>
      <c r="AGF114" s="1251"/>
      <c r="AGG114" s="1251"/>
      <c r="AGH114" s="1251"/>
      <c r="AGI114" s="1251"/>
      <c r="AGJ114" s="1251"/>
      <c r="AGK114" s="1251"/>
      <c r="AGL114" s="1251"/>
      <c r="AGM114" s="1251"/>
      <c r="AGN114" s="1251"/>
      <c r="AGO114" s="1251"/>
      <c r="AGP114" s="1251"/>
      <c r="AGQ114" s="1251"/>
      <c r="AGR114" s="1251"/>
      <c r="AGS114" s="1251"/>
      <c r="AGT114" s="1251"/>
      <c r="AGU114" s="1251"/>
      <c r="AGV114" s="1251"/>
      <c r="AGW114" s="1251"/>
      <c r="AGX114" s="1251"/>
      <c r="AGY114" s="1251"/>
      <c r="AGZ114" s="1251"/>
      <c r="AHA114" s="1251"/>
      <c r="AHB114" s="1251"/>
      <c r="AHC114" s="1251"/>
      <c r="AHD114" s="1251"/>
      <c r="AHE114" s="1251"/>
      <c r="AHF114" s="1251"/>
      <c r="AHG114" s="1251"/>
      <c r="AHH114" s="1251"/>
      <c r="AHI114" s="1251"/>
      <c r="AHJ114" s="1251"/>
      <c r="AHK114" s="1251"/>
      <c r="AHL114" s="1251"/>
      <c r="AHM114" s="1251"/>
      <c r="AHN114" s="1251"/>
      <c r="AHO114" s="1251"/>
      <c r="AHP114" s="1251"/>
      <c r="AHQ114" s="1251"/>
      <c r="AHR114" s="1251"/>
      <c r="AHS114" s="1251"/>
      <c r="AHT114" s="1251"/>
      <c r="AHU114" s="1251"/>
      <c r="AHV114" s="1251"/>
      <c r="AHW114" s="1251"/>
      <c r="AHX114" s="1251"/>
      <c r="AHY114" s="1251"/>
      <c r="AHZ114" s="1251"/>
      <c r="AIA114" s="1251"/>
      <c r="AIB114" s="1251"/>
      <c r="AIC114" s="1251"/>
      <c r="AID114" s="1251"/>
      <c r="AIE114" s="1251"/>
      <c r="AIF114" s="1251"/>
      <c r="AIG114" s="1251"/>
      <c r="AIH114" s="1251"/>
      <c r="AII114" s="1251"/>
      <c r="AIJ114" s="1251"/>
      <c r="AIK114" s="1251"/>
      <c r="AIL114" s="1251"/>
      <c r="AIM114" s="1251"/>
      <c r="AIN114" s="1251"/>
      <c r="AIO114" s="1251"/>
      <c r="AIP114" s="1251"/>
      <c r="AIQ114" s="1251"/>
      <c r="AIR114" s="1251"/>
      <c r="AIS114" s="1251"/>
      <c r="AIT114" s="1251"/>
      <c r="AIU114" s="1251"/>
      <c r="AIV114" s="1251"/>
      <c r="AIW114" s="1251"/>
      <c r="AIX114" s="1251"/>
      <c r="AIY114" s="1251"/>
      <c r="AIZ114" s="1251"/>
      <c r="AJA114" s="1251"/>
      <c r="AJB114" s="1251"/>
      <c r="AJC114" s="1251"/>
      <c r="AJD114" s="1251"/>
      <c r="AJE114" s="1251"/>
      <c r="AJF114" s="1251"/>
      <c r="AJG114" s="1251"/>
      <c r="AJH114" s="1251"/>
      <c r="AJI114" s="1251"/>
      <c r="AJJ114" s="1251"/>
      <c r="AJK114" s="1251"/>
      <c r="AJL114" s="1251"/>
      <c r="AJM114" s="1251"/>
      <c r="AJN114" s="1251"/>
      <c r="AJO114" s="1251"/>
      <c r="AJP114" s="1251"/>
      <c r="AJQ114" s="1251"/>
      <c r="AJR114" s="1251"/>
      <c r="AJS114" s="1251"/>
      <c r="AJT114" s="1251"/>
      <c r="AJU114" s="1251"/>
      <c r="AJV114" s="1251"/>
      <c r="AJW114" s="1251"/>
      <c r="AJX114" s="1251"/>
      <c r="AJY114" s="1251"/>
      <c r="AJZ114" s="1251"/>
      <c r="AKA114" s="1251"/>
      <c r="AKB114" s="1251"/>
      <c r="AKC114" s="1251"/>
      <c r="AKD114" s="1251"/>
      <c r="AKE114" s="1251"/>
      <c r="AKF114" s="1251"/>
      <c r="AKG114" s="1251"/>
      <c r="AKH114" s="1251"/>
      <c r="AKI114" s="1251"/>
      <c r="AKJ114" s="1251"/>
      <c r="AKK114" s="1251"/>
      <c r="AKL114" s="1251"/>
      <c r="AKM114" s="1251"/>
      <c r="AKN114" s="1251"/>
      <c r="AKO114" s="1251"/>
      <c r="AKP114" s="1251"/>
      <c r="AKQ114" s="1251"/>
      <c r="AKR114" s="1251"/>
      <c r="AKS114" s="1251"/>
      <c r="AKT114" s="1251"/>
      <c r="AKU114" s="1251"/>
      <c r="AKV114" s="1251"/>
      <c r="AKW114" s="1251"/>
      <c r="AKX114" s="1251"/>
      <c r="AKY114" s="1251"/>
      <c r="AKZ114" s="1251"/>
      <c r="ALA114" s="1251"/>
      <c r="ALB114" s="1251"/>
      <c r="ALC114" s="1251"/>
      <c r="ALD114" s="1251"/>
      <c r="ALE114" s="1251"/>
      <c r="ALF114" s="1251"/>
      <c r="ALG114" s="1251"/>
      <c r="ALH114" s="1251"/>
      <c r="ALI114" s="1251"/>
      <c r="ALJ114" s="1251"/>
      <c r="ALK114" s="1251"/>
      <c r="ALL114" s="1251"/>
      <c r="ALM114" s="1251"/>
      <c r="ALN114" s="1251"/>
      <c r="ALO114" s="1251"/>
      <c r="ALP114" s="1251"/>
      <c r="ALQ114" s="1251"/>
      <c r="ALR114" s="1251"/>
      <c r="ALS114" s="1251"/>
      <c r="ALT114" s="1251"/>
      <c r="ALU114" s="1251"/>
      <c r="ALV114" s="1251"/>
      <c r="ALW114" s="1251"/>
      <c r="ALX114" s="1251"/>
      <c r="ALY114" s="1251"/>
      <c r="ALZ114" s="1251"/>
      <c r="AMA114" s="1251"/>
      <c r="AMB114" s="1251"/>
      <c r="AMC114" s="1251"/>
      <c r="AMD114" s="1251"/>
      <c r="AME114" s="1251"/>
      <c r="AMF114" s="1251"/>
      <c r="AMG114" s="1251"/>
      <c r="AMH114" s="1251"/>
      <c r="AMI114" s="1251"/>
      <c r="AMJ114" s="1251"/>
      <c r="AMK114" s="1251"/>
      <c r="AML114" s="1251"/>
      <c r="AMM114" s="1251"/>
      <c r="AMN114" s="1251"/>
      <c r="AMO114" s="1251"/>
      <c r="AMP114" s="1251"/>
      <c r="AMQ114" s="1251"/>
      <c r="AMR114" s="1251"/>
      <c r="AMS114" s="1251"/>
      <c r="AMT114" s="1251"/>
      <c r="AMU114" s="1251"/>
      <c r="AMV114" s="1251"/>
      <c r="AMW114" s="1251"/>
      <c r="AMX114" s="1251"/>
      <c r="AMY114" s="1251"/>
      <c r="AMZ114" s="1251"/>
      <c r="ANA114" s="1251"/>
      <c r="ANB114" s="1251"/>
      <c r="ANC114" s="1251"/>
      <c r="AND114" s="1251"/>
      <c r="ANE114" s="1251"/>
      <c r="ANF114" s="1251"/>
      <c r="ANG114" s="1251"/>
      <c r="ANH114" s="1251"/>
      <c r="ANI114" s="1251"/>
      <c r="ANJ114" s="1251"/>
      <c r="ANK114" s="1251"/>
      <c r="ANL114" s="1251"/>
      <c r="ANM114" s="1251"/>
      <c r="ANN114" s="1251"/>
      <c r="ANO114" s="1251"/>
      <c r="ANP114" s="1251"/>
      <c r="ANQ114" s="1251"/>
      <c r="ANR114" s="1251"/>
      <c r="ANS114" s="1251"/>
      <c r="ANT114" s="1251"/>
      <c r="ANU114" s="1251"/>
      <c r="ANV114" s="1251"/>
      <c r="ANW114" s="1251"/>
      <c r="ANX114" s="1251"/>
      <c r="ANY114" s="1251"/>
      <c r="ANZ114" s="1251"/>
      <c r="AOA114" s="1251"/>
      <c r="AOB114" s="1251"/>
      <c r="AOC114" s="1251"/>
      <c r="AOD114" s="1251"/>
      <c r="AOE114" s="1251"/>
      <c r="AOF114" s="1251"/>
      <c r="AOG114" s="1251"/>
      <c r="AOH114" s="1251"/>
      <c r="AOI114" s="1251"/>
      <c r="AOJ114" s="1251"/>
      <c r="AOK114" s="1251"/>
      <c r="AOL114" s="1251"/>
      <c r="AOM114" s="1251"/>
      <c r="AON114" s="1251"/>
      <c r="AOO114" s="1251"/>
      <c r="AOP114" s="1251"/>
      <c r="AOQ114" s="1251"/>
      <c r="AOR114" s="1251"/>
      <c r="AOS114" s="1251"/>
      <c r="AOT114" s="1251"/>
      <c r="AOU114" s="1251"/>
      <c r="AOV114" s="1251"/>
      <c r="AOW114" s="1251"/>
      <c r="AOX114" s="1251"/>
      <c r="AOY114" s="1251"/>
      <c r="AOZ114" s="1251"/>
      <c r="APA114" s="1251"/>
      <c r="APB114" s="1251"/>
      <c r="APC114" s="1251"/>
      <c r="APD114" s="1251"/>
      <c r="APE114" s="1251"/>
      <c r="APF114" s="1251"/>
      <c r="APG114" s="1251"/>
      <c r="APH114" s="1251"/>
      <c r="API114" s="1251"/>
      <c r="APJ114" s="1251"/>
      <c r="APK114" s="1251"/>
      <c r="APL114" s="1251"/>
      <c r="APM114" s="1251"/>
      <c r="APN114" s="1251"/>
      <c r="APO114" s="1251"/>
      <c r="APP114" s="1251"/>
      <c r="APQ114" s="1251"/>
      <c r="APR114" s="1251"/>
      <c r="APS114" s="1251"/>
      <c r="APT114" s="1251"/>
      <c r="APU114" s="1251"/>
      <c r="APV114" s="1251"/>
      <c r="APW114" s="1251"/>
      <c r="APX114" s="1251"/>
      <c r="APY114" s="1251"/>
      <c r="APZ114" s="1251"/>
      <c r="AQA114" s="1251"/>
      <c r="AQB114" s="1251"/>
      <c r="AQC114" s="1251"/>
      <c r="AQD114" s="1251"/>
      <c r="AQE114" s="1251"/>
      <c r="AQF114" s="1251"/>
      <c r="AQG114" s="1251"/>
      <c r="AQH114" s="1251"/>
      <c r="AQI114" s="1251"/>
      <c r="AQJ114" s="1251"/>
      <c r="AQK114" s="1251"/>
      <c r="AQL114" s="1251"/>
      <c r="AQM114" s="1251"/>
      <c r="AQN114" s="1251"/>
      <c r="AQO114" s="1251"/>
      <c r="AQP114" s="1251"/>
      <c r="AQQ114" s="1251"/>
      <c r="AQR114" s="1251"/>
      <c r="AQS114" s="1251"/>
      <c r="AQT114" s="1251"/>
      <c r="AQU114" s="1251"/>
      <c r="AQV114" s="1251"/>
      <c r="AQW114" s="1251"/>
      <c r="AQX114" s="1251"/>
      <c r="AQY114" s="1251"/>
      <c r="AQZ114" s="1251"/>
      <c r="ARA114" s="1251"/>
      <c r="ARB114" s="1251"/>
      <c r="ARC114" s="1251"/>
      <c r="ARD114" s="1251"/>
      <c r="ARE114" s="1251"/>
      <c r="ARF114" s="1251"/>
      <c r="ARG114" s="1251"/>
      <c r="ARH114" s="1251"/>
      <c r="ARI114" s="1251"/>
      <c r="ARJ114" s="1251"/>
      <c r="ARK114" s="1251"/>
      <c r="ARL114" s="1251"/>
      <c r="ARM114" s="1251"/>
      <c r="ARN114" s="1251"/>
      <c r="ARO114" s="1251"/>
      <c r="ARP114" s="1251"/>
      <c r="ARQ114" s="1251"/>
      <c r="ARR114" s="1251"/>
      <c r="ARS114" s="1251"/>
      <c r="ART114" s="1251"/>
      <c r="ARU114" s="1251"/>
      <c r="ARV114" s="1251"/>
      <c r="ARW114" s="1251"/>
      <c r="ARX114" s="1251"/>
      <c r="ARY114" s="1251"/>
      <c r="ARZ114" s="1251"/>
      <c r="ASA114" s="1251"/>
      <c r="ASB114" s="1251"/>
      <c r="ASC114" s="1251"/>
      <c r="ASD114" s="1251"/>
      <c r="ASE114" s="1251"/>
      <c r="ASF114" s="1251"/>
      <c r="ASG114" s="1251"/>
      <c r="ASH114" s="1251"/>
      <c r="ASI114" s="1251"/>
      <c r="ASJ114" s="1251"/>
      <c r="ASK114" s="1251"/>
      <c r="ASL114" s="1251"/>
      <c r="ASM114" s="1251"/>
      <c r="ASN114" s="1251"/>
      <c r="ASO114" s="1251"/>
      <c r="ASP114" s="1251"/>
      <c r="ASQ114" s="1251"/>
      <c r="ASR114" s="1251"/>
      <c r="ASS114" s="1251"/>
      <c r="AST114" s="1251"/>
      <c r="ASU114" s="1251"/>
      <c r="ASV114" s="1251"/>
      <c r="ASW114" s="1251"/>
      <c r="ASX114" s="1251"/>
      <c r="ASY114" s="1251"/>
      <c r="ASZ114" s="1251"/>
      <c r="ATA114" s="1251"/>
      <c r="ATB114" s="1251"/>
      <c r="ATC114" s="1251"/>
      <c r="ATD114" s="1251"/>
      <c r="ATE114" s="1251"/>
      <c r="ATF114" s="1251"/>
      <c r="ATG114" s="1251"/>
      <c r="ATH114" s="1251"/>
      <c r="ATI114" s="1251"/>
      <c r="ATJ114" s="1251"/>
      <c r="ATK114" s="1251"/>
      <c r="ATL114" s="1251"/>
      <c r="ATM114" s="1251"/>
      <c r="ATN114" s="1251"/>
      <c r="ATO114" s="1251"/>
      <c r="ATP114" s="1251"/>
      <c r="ATQ114" s="1251"/>
      <c r="ATR114" s="1251"/>
      <c r="ATS114" s="1251"/>
      <c r="ATT114" s="1251"/>
      <c r="ATU114" s="1251"/>
      <c r="ATV114" s="1251"/>
      <c r="ATW114" s="1251"/>
      <c r="ATX114" s="1251"/>
      <c r="ATY114" s="1251"/>
      <c r="ATZ114" s="1251"/>
      <c r="AUA114" s="1251"/>
      <c r="AUB114" s="1251"/>
      <c r="AUC114" s="1251"/>
      <c r="AUD114" s="1251"/>
      <c r="AUE114" s="1251"/>
      <c r="AUF114" s="1251"/>
      <c r="AUG114" s="1251"/>
      <c r="AUH114" s="1251"/>
      <c r="AUI114" s="1251"/>
      <c r="AUJ114" s="1251"/>
      <c r="AUK114" s="1251"/>
      <c r="AUL114" s="1251"/>
      <c r="AUM114" s="1251"/>
      <c r="AUN114" s="1251"/>
      <c r="AUO114" s="1251"/>
      <c r="AUP114" s="1251"/>
      <c r="AUQ114" s="1251"/>
      <c r="AUR114" s="1251"/>
      <c r="AUS114" s="1251"/>
      <c r="AUT114" s="1251"/>
      <c r="AUU114" s="1251"/>
      <c r="AUV114" s="1251"/>
      <c r="AUW114" s="1251"/>
      <c r="AUX114" s="1251"/>
      <c r="AUY114" s="1251"/>
      <c r="AUZ114" s="1251"/>
      <c r="AVA114" s="1251"/>
      <c r="AVB114" s="1251"/>
      <c r="AVC114" s="1251"/>
      <c r="AVD114" s="1251"/>
      <c r="AVE114" s="1251"/>
      <c r="AVF114" s="1251"/>
      <c r="AVG114" s="1251"/>
      <c r="AVH114" s="1251"/>
      <c r="AVI114" s="1251"/>
      <c r="AVJ114" s="1251"/>
      <c r="AVK114" s="1251"/>
      <c r="AVL114" s="1251"/>
      <c r="AVM114" s="1251"/>
      <c r="AVN114" s="1251"/>
      <c r="AVO114" s="1251"/>
      <c r="AVP114" s="1251"/>
      <c r="AVQ114" s="1251"/>
      <c r="AVR114" s="1251"/>
      <c r="AVS114" s="1251"/>
      <c r="AVT114" s="1251"/>
      <c r="AVU114" s="1251"/>
      <c r="AVV114" s="1251"/>
      <c r="AVW114" s="1251"/>
      <c r="AVX114" s="1251"/>
      <c r="AVY114" s="1251"/>
      <c r="AVZ114" s="1251"/>
      <c r="AWA114" s="1251"/>
      <c r="AWB114" s="1251"/>
      <c r="AWC114" s="1251"/>
      <c r="AWD114" s="1251"/>
      <c r="AWE114" s="1251"/>
      <c r="AWF114" s="1251"/>
      <c r="AWG114" s="1251"/>
      <c r="AWH114" s="1251"/>
      <c r="AWI114" s="1251"/>
      <c r="AWJ114" s="1251"/>
      <c r="AWK114" s="1251"/>
      <c r="AWL114" s="1251"/>
      <c r="AWM114" s="1251"/>
      <c r="AWN114" s="1251"/>
      <c r="AWO114" s="1251"/>
      <c r="AWP114" s="1251"/>
      <c r="AWQ114" s="1251"/>
      <c r="AWR114" s="1251"/>
      <c r="AWS114" s="1251"/>
      <c r="AWT114" s="1251"/>
      <c r="AWU114" s="1251"/>
      <c r="AWV114" s="1251"/>
      <c r="AWW114" s="1251"/>
      <c r="AWX114" s="1251"/>
      <c r="AWY114" s="1251"/>
      <c r="AWZ114" s="1251"/>
      <c r="AXA114" s="1251"/>
      <c r="AXB114" s="1251"/>
      <c r="AXC114" s="1251"/>
      <c r="AXD114" s="1251"/>
      <c r="AXE114" s="1251"/>
      <c r="AXF114" s="1251"/>
      <c r="AXG114" s="1251"/>
      <c r="AXH114" s="1251"/>
      <c r="AXI114" s="1251"/>
      <c r="AXJ114" s="1251"/>
      <c r="AXK114" s="1251"/>
      <c r="AXL114" s="1251"/>
      <c r="AXM114" s="1251"/>
      <c r="AXN114" s="1251"/>
      <c r="AXO114" s="1251"/>
      <c r="AXP114" s="1251"/>
      <c r="AXQ114" s="1251"/>
      <c r="AXR114" s="1251"/>
      <c r="AXS114" s="1251"/>
      <c r="AXT114" s="1251"/>
      <c r="AXU114" s="1251"/>
      <c r="AXV114" s="1251"/>
      <c r="AXW114" s="1251"/>
      <c r="AXX114" s="1251"/>
      <c r="AXY114" s="1251"/>
      <c r="AXZ114" s="1251"/>
      <c r="AYA114" s="1251"/>
      <c r="AYB114" s="1251"/>
      <c r="AYC114" s="1251"/>
      <c r="AYD114" s="1251"/>
      <c r="AYE114" s="1251"/>
      <c r="AYF114" s="1251"/>
      <c r="AYG114" s="1251"/>
      <c r="AYH114" s="1251"/>
      <c r="AYI114" s="1251"/>
      <c r="AYJ114" s="1251"/>
      <c r="AYK114" s="1251"/>
      <c r="AYL114" s="1251"/>
      <c r="AYM114" s="1251"/>
      <c r="AYN114" s="1251"/>
      <c r="AYO114" s="1251"/>
      <c r="AYP114" s="1251"/>
      <c r="AYQ114" s="1251"/>
      <c r="AYR114" s="1251"/>
      <c r="AYS114" s="1251"/>
      <c r="AYT114" s="1251"/>
      <c r="AYU114" s="1251"/>
      <c r="AYV114" s="1251"/>
      <c r="AYW114" s="1251"/>
      <c r="AYX114" s="1251"/>
      <c r="AYY114" s="1251"/>
      <c r="AYZ114" s="1251"/>
      <c r="AZA114" s="1251"/>
      <c r="AZB114" s="1251"/>
      <c r="AZC114" s="1251"/>
      <c r="AZD114" s="1251"/>
      <c r="AZE114" s="1251"/>
      <c r="AZF114" s="1251"/>
      <c r="AZG114" s="1251"/>
      <c r="AZH114" s="1251"/>
      <c r="AZI114" s="1251"/>
      <c r="AZJ114" s="1251"/>
      <c r="AZK114" s="1251"/>
      <c r="AZL114" s="1251"/>
      <c r="AZM114" s="1251"/>
      <c r="AZN114" s="1251"/>
      <c r="AZO114" s="1251"/>
      <c r="AZP114" s="1251"/>
      <c r="AZQ114" s="1251"/>
      <c r="AZR114" s="1251"/>
      <c r="AZS114" s="1251"/>
      <c r="AZT114" s="1251"/>
      <c r="AZU114" s="1251"/>
      <c r="AZV114" s="1251"/>
      <c r="AZW114" s="1251"/>
      <c r="AZX114" s="1251"/>
      <c r="AZY114" s="1251"/>
      <c r="AZZ114" s="1251"/>
      <c r="BAA114" s="1251"/>
      <c r="BAB114" s="1251"/>
      <c r="BAC114" s="1251"/>
      <c r="BAD114" s="1251"/>
      <c r="BAE114" s="1251"/>
      <c r="BAF114" s="1251"/>
      <c r="BAG114" s="1251"/>
      <c r="BAH114" s="1251"/>
      <c r="BAI114" s="1251"/>
      <c r="BAJ114" s="1251"/>
      <c r="BAK114" s="1251"/>
      <c r="BAL114" s="1251"/>
      <c r="BAM114" s="1251"/>
      <c r="BAN114" s="1251"/>
      <c r="BAO114" s="1251"/>
      <c r="BAP114" s="1251"/>
      <c r="BAQ114" s="1251"/>
      <c r="BAR114" s="1251"/>
      <c r="BAS114" s="1251"/>
      <c r="BAT114" s="1251"/>
      <c r="BAU114" s="1251"/>
      <c r="BAV114" s="1251"/>
      <c r="BAW114" s="1251"/>
      <c r="BAX114" s="1251"/>
      <c r="BAY114" s="1251"/>
      <c r="BAZ114" s="1251"/>
      <c r="BBA114" s="1251"/>
      <c r="BBB114" s="1251"/>
      <c r="BBC114" s="1251"/>
      <c r="BBD114" s="1251"/>
      <c r="BBE114" s="1251"/>
      <c r="BBF114" s="1251"/>
      <c r="BBG114" s="1251"/>
      <c r="BBH114" s="1251"/>
      <c r="BBI114" s="1251"/>
      <c r="BBJ114" s="1251"/>
      <c r="BBK114" s="1251"/>
      <c r="BBL114" s="1251"/>
      <c r="BBM114" s="1251"/>
      <c r="BBN114" s="1251"/>
      <c r="BBO114" s="1251"/>
      <c r="BBP114" s="1251"/>
      <c r="BBQ114" s="1251"/>
      <c r="BBR114" s="1251"/>
      <c r="BBS114" s="1251"/>
      <c r="BBT114" s="1251"/>
      <c r="BBU114" s="1251"/>
      <c r="BBV114" s="1251"/>
      <c r="BBW114" s="1251"/>
      <c r="BBX114" s="1251"/>
      <c r="BBY114" s="1251"/>
      <c r="BBZ114" s="1251"/>
      <c r="BCA114" s="1251"/>
      <c r="BCB114" s="1251"/>
      <c r="BCC114" s="1251"/>
      <c r="BCD114" s="1251"/>
      <c r="BCE114" s="1251"/>
      <c r="BCF114" s="1251"/>
      <c r="BCG114" s="1251"/>
      <c r="BCH114" s="1251"/>
      <c r="BCI114" s="1251"/>
      <c r="BCJ114" s="1251"/>
      <c r="BCK114" s="1251"/>
      <c r="BCL114" s="1251"/>
      <c r="BCM114" s="1251"/>
      <c r="BCN114" s="1251"/>
      <c r="BCO114" s="1251"/>
      <c r="BCP114" s="1251"/>
      <c r="BCQ114" s="1251"/>
      <c r="BCR114" s="1251"/>
      <c r="BCS114" s="1251"/>
      <c r="BCT114" s="1251"/>
      <c r="BCU114" s="1251"/>
      <c r="BCV114" s="1251"/>
      <c r="BCW114" s="1251"/>
      <c r="BCX114" s="1251"/>
      <c r="BCY114" s="1251"/>
      <c r="BCZ114" s="1251"/>
      <c r="BDA114" s="1251"/>
      <c r="BDB114" s="1251"/>
      <c r="BDC114" s="1251"/>
      <c r="BDD114" s="1251"/>
      <c r="BDE114" s="1251"/>
      <c r="BDF114" s="1251"/>
      <c r="BDG114" s="1251"/>
      <c r="BDH114" s="1251"/>
      <c r="BDI114" s="1251"/>
      <c r="BDJ114" s="1251"/>
      <c r="BDK114" s="1251"/>
      <c r="BDL114" s="1251"/>
      <c r="BDM114" s="1251"/>
      <c r="BDN114" s="1251"/>
      <c r="BDO114" s="1251"/>
      <c r="BDP114" s="1251"/>
      <c r="BDQ114" s="1251"/>
      <c r="BDR114" s="1251"/>
      <c r="BDS114" s="1251"/>
      <c r="BDT114" s="1251"/>
      <c r="BDU114" s="1251"/>
      <c r="BDV114" s="1251"/>
      <c r="BDW114" s="1251"/>
      <c r="BDX114" s="1251"/>
      <c r="BDY114" s="1251"/>
      <c r="BDZ114" s="1251"/>
      <c r="BEA114" s="1251"/>
      <c r="BEB114" s="1251"/>
      <c r="BEC114" s="1251"/>
      <c r="BED114" s="1251"/>
      <c r="BEE114" s="1251"/>
      <c r="BEF114" s="1251"/>
      <c r="BEG114" s="1251"/>
      <c r="BEH114" s="1251"/>
      <c r="BEI114" s="1251"/>
      <c r="BEJ114" s="1251"/>
      <c r="BEK114" s="1251"/>
      <c r="BEL114" s="1251"/>
      <c r="BEM114" s="1251"/>
      <c r="BEN114" s="1251"/>
      <c r="BEO114" s="1251"/>
      <c r="BEP114" s="1251"/>
      <c r="BEQ114" s="1251"/>
      <c r="BER114" s="1251"/>
      <c r="BES114" s="1251"/>
      <c r="BET114" s="1251"/>
      <c r="BEU114" s="1251"/>
      <c r="BEV114" s="1251"/>
      <c r="BEW114" s="1251"/>
      <c r="BEX114" s="1251"/>
      <c r="BEY114" s="1251"/>
      <c r="BEZ114" s="1251"/>
      <c r="BFA114" s="1251"/>
      <c r="BFB114" s="1251"/>
      <c r="BFC114" s="1251"/>
      <c r="BFD114" s="1251"/>
      <c r="BFE114" s="1251"/>
      <c r="BFF114" s="1251"/>
      <c r="BFG114" s="1251"/>
      <c r="BFH114" s="1251"/>
      <c r="BFI114" s="1251"/>
      <c r="BFJ114" s="1251"/>
      <c r="BFK114" s="1251"/>
      <c r="BFL114" s="1251"/>
      <c r="BFM114" s="1251"/>
      <c r="BFN114" s="1251"/>
      <c r="BFO114" s="1251"/>
      <c r="BFP114" s="1251"/>
      <c r="BFQ114" s="1251"/>
      <c r="BFR114" s="1251"/>
      <c r="BFS114" s="1251"/>
      <c r="BFT114" s="1251"/>
      <c r="BFU114" s="1251"/>
      <c r="BFV114" s="1251"/>
      <c r="BFW114" s="1251"/>
      <c r="BFX114" s="1251"/>
      <c r="BFY114" s="1251"/>
      <c r="BFZ114" s="1251"/>
      <c r="BGA114" s="1251"/>
      <c r="BGB114" s="1251"/>
      <c r="BGC114" s="1251"/>
      <c r="BGD114" s="1251"/>
      <c r="BGE114" s="1251"/>
      <c r="BGF114" s="1251"/>
      <c r="BGG114" s="1251"/>
      <c r="BGH114" s="1251"/>
      <c r="BGI114" s="1251"/>
      <c r="BGJ114" s="1251"/>
      <c r="BGK114" s="1251"/>
      <c r="BGL114" s="1251"/>
      <c r="BGM114" s="1251"/>
      <c r="BGN114" s="1251"/>
      <c r="BGO114" s="1251"/>
      <c r="BGP114" s="1251"/>
      <c r="BGQ114" s="1251"/>
      <c r="BGR114" s="1251"/>
      <c r="BGS114" s="1251"/>
      <c r="BGT114" s="1251"/>
      <c r="BGU114" s="1251"/>
      <c r="BGV114" s="1251"/>
      <c r="BGW114" s="1251"/>
      <c r="BGX114" s="1251"/>
      <c r="BGY114" s="1251"/>
      <c r="BGZ114" s="1251"/>
      <c r="BHA114" s="1251"/>
      <c r="BHB114" s="1251"/>
      <c r="BHC114" s="1251"/>
      <c r="BHD114" s="1251"/>
      <c r="BHE114" s="1251"/>
      <c r="BHF114" s="1251"/>
      <c r="BHG114" s="1251"/>
      <c r="BHH114" s="1251"/>
      <c r="BHI114" s="1251"/>
      <c r="BHJ114" s="1251"/>
      <c r="BHK114" s="1251"/>
      <c r="BHL114" s="1251"/>
      <c r="BHM114" s="1251"/>
      <c r="BHN114" s="1251"/>
      <c r="BHO114" s="1251"/>
      <c r="BHP114" s="1251"/>
      <c r="BHQ114" s="1251"/>
      <c r="BHR114" s="1251"/>
      <c r="BHS114" s="1251"/>
      <c r="BHT114" s="1251"/>
      <c r="BHU114" s="1251"/>
      <c r="BHV114" s="1251"/>
      <c r="BHW114" s="1251"/>
      <c r="BHX114" s="1251"/>
      <c r="BHY114" s="1251"/>
      <c r="BHZ114" s="1251"/>
      <c r="BIA114" s="1251"/>
      <c r="BIB114" s="1251"/>
      <c r="BIC114" s="1251"/>
      <c r="BID114" s="1251"/>
      <c r="BIE114" s="1251"/>
      <c r="BIF114" s="1251"/>
      <c r="BIG114" s="1251"/>
      <c r="BIH114" s="1251"/>
      <c r="BII114" s="1251"/>
      <c r="BIJ114" s="1251"/>
      <c r="BIK114" s="1251"/>
      <c r="BIL114" s="1251"/>
      <c r="BIM114" s="1251"/>
      <c r="BIN114" s="1251"/>
      <c r="BIO114" s="1251"/>
      <c r="BIP114" s="1251"/>
      <c r="BIQ114" s="1251"/>
      <c r="BIR114" s="1251"/>
      <c r="BIS114" s="1251"/>
      <c r="BIT114" s="1251"/>
      <c r="BIU114" s="1251"/>
      <c r="BIV114" s="1251"/>
      <c r="BIW114" s="1251"/>
      <c r="BIX114" s="1251"/>
      <c r="BIY114" s="1251"/>
      <c r="BIZ114" s="1251"/>
      <c r="BJA114" s="1251"/>
      <c r="BJB114" s="1251"/>
      <c r="BJC114" s="1251"/>
      <c r="BJD114" s="1251"/>
      <c r="BJE114" s="1251"/>
      <c r="BJF114" s="1251"/>
      <c r="BJG114" s="1251"/>
      <c r="BJH114" s="1251"/>
      <c r="BJI114" s="1251"/>
      <c r="BJJ114" s="1251"/>
      <c r="BJK114" s="1251"/>
      <c r="BJL114" s="1251"/>
      <c r="BJM114" s="1251"/>
      <c r="BJN114" s="1251"/>
      <c r="BJO114" s="1251"/>
      <c r="BJP114" s="1251"/>
      <c r="BJQ114" s="1251"/>
      <c r="BJR114" s="1251"/>
      <c r="BJS114" s="1251"/>
      <c r="BJT114" s="1251"/>
      <c r="BJU114" s="1251"/>
      <c r="BJV114" s="1251"/>
      <c r="BJW114" s="1251"/>
      <c r="BJX114" s="1251"/>
      <c r="BJY114" s="1251"/>
      <c r="BJZ114" s="1251"/>
      <c r="BKA114" s="1251"/>
      <c r="BKB114" s="1251"/>
      <c r="BKC114" s="1251"/>
      <c r="BKD114" s="1251"/>
      <c r="BKE114" s="1251"/>
      <c r="BKF114" s="1251"/>
      <c r="BKG114" s="1251"/>
      <c r="BKH114" s="1251"/>
      <c r="BKI114" s="1251"/>
      <c r="BKJ114" s="1251"/>
      <c r="BKK114" s="1251"/>
      <c r="BKL114" s="1251"/>
      <c r="BKM114" s="1251"/>
      <c r="BKN114" s="1251"/>
      <c r="BKO114" s="1251"/>
      <c r="BKP114" s="1251"/>
      <c r="BKQ114" s="1251"/>
      <c r="BKR114" s="1251"/>
      <c r="BKS114" s="1251"/>
      <c r="BKT114" s="1251"/>
      <c r="BKU114" s="1251"/>
      <c r="BKV114" s="1251"/>
      <c r="BKW114" s="1251"/>
      <c r="BKX114" s="1251"/>
      <c r="BKY114" s="1251"/>
      <c r="BKZ114" s="1251"/>
      <c r="BLA114" s="1251"/>
      <c r="BLB114" s="1251"/>
      <c r="BLC114" s="1251"/>
      <c r="BLD114" s="1251"/>
      <c r="BLE114" s="1251"/>
      <c r="BLF114" s="1251"/>
      <c r="BLG114" s="1251"/>
      <c r="BLH114" s="1251"/>
      <c r="BLI114" s="1251"/>
      <c r="BLJ114" s="1251"/>
      <c r="BLK114" s="1251"/>
      <c r="BLL114" s="1251"/>
      <c r="BLM114" s="1251"/>
      <c r="BLN114" s="1251"/>
      <c r="BLO114" s="1251"/>
      <c r="BLP114" s="1251"/>
      <c r="BLQ114" s="1251"/>
      <c r="BLR114" s="1251"/>
      <c r="BLS114" s="1251"/>
      <c r="BLT114" s="1251"/>
      <c r="BLU114" s="1251"/>
      <c r="BLV114" s="1251"/>
      <c r="BLW114" s="1251"/>
      <c r="BLX114" s="1251"/>
      <c r="BLY114" s="1251"/>
      <c r="BLZ114" s="1251"/>
      <c r="BMA114" s="1251"/>
      <c r="BMB114" s="1251"/>
      <c r="BMC114" s="1251"/>
      <c r="BMD114" s="1251"/>
      <c r="BME114" s="1251"/>
      <c r="BMF114" s="1251"/>
      <c r="BMG114" s="1251"/>
      <c r="BMH114" s="1251"/>
      <c r="BMI114" s="1251"/>
      <c r="BMJ114" s="1251"/>
      <c r="BMK114" s="1251"/>
      <c r="BML114" s="1251"/>
      <c r="BMM114" s="1251"/>
      <c r="BMN114" s="1251"/>
      <c r="BMO114" s="1251"/>
      <c r="BMP114" s="1251"/>
      <c r="BMQ114" s="1251"/>
      <c r="BMR114" s="1251"/>
      <c r="BMS114" s="1251"/>
      <c r="BMT114" s="1251"/>
      <c r="BMU114" s="1251"/>
      <c r="BMV114" s="1251"/>
      <c r="BMW114" s="1251"/>
      <c r="BMX114" s="1251"/>
      <c r="BMY114" s="1251"/>
      <c r="BMZ114" s="1251"/>
      <c r="BNA114" s="1251"/>
      <c r="BNB114" s="1251"/>
      <c r="BNC114" s="1251"/>
      <c r="BND114" s="1251"/>
      <c r="BNE114" s="1251"/>
      <c r="BNF114" s="1251"/>
      <c r="BNG114" s="1251"/>
      <c r="BNH114" s="1251"/>
      <c r="BNI114" s="1251"/>
      <c r="BNJ114" s="1251"/>
      <c r="BNK114" s="1251"/>
      <c r="BNL114" s="1251"/>
      <c r="BNM114" s="1251"/>
      <c r="BNN114" s="1251"/>
      <c r="BNO114" s="1251"/>
      <c r="BNP114" s="1251"/>
      <c r="BNQ114" s="1251"/>
      <c r="BNR114" s="1251"/>
      <c r="BNS114" s="1251"/>
      <c r="BNT114" s="1251"/>
      <c r="BNU114" s="1251"/>
      <c r="BNV114" s="1251"/>
      <c r="BNW114" s="1251"/>
      <c r="BNX114" s="1251"/>
      <c r="BNY114" s="1251"/>
      <c r="BNZ114" s="1251"/>
      <c r="BOA114" s="1251"/>
      <c r="BOB114" s="1251"/>
      <c r="BOC114" s="1251"/>
      <c r="BOD114" s="1251"/>
      <c r="BOE114" s="1251"/>
      <c r="BOF114" s="1251"/>
      <c r="BOG114" s="1251"/>
      <c r="BOH114" s="1251"/>
      <c r="BOI114" s="1251"/>
      <c r="BOJ114" s="1251"/>
      <c r="BOK114" s="1251"/>
      <c r="BOL114" s="1251"/>
      <c r="BOM114" s="1251"/>
      <c r="BON114" s="1251"/>
      <c r="BOO114" s="1251"/>
      <c r="BOP114" s="1251"/>
      <c r="BOQ114" s="1251"/>
      <c r="BOR114" s="1251"/>
      <c r="BOS114" s="1251"/>
      <c r="BOT114" s="1251"/>
      <c r="BOU114" s="1251"/>
      <c r="BOV114" s="1251"/>
      <c r="BOW114" s="1251"/>
      <c r="BOX114" s="1251"/>
      <c r="BOY114" s="1251"/>
      <c r="BOZ114" s="1251"/>
      <c r="BPA114" s="1251"/>
      <c r="BPB114" s="1251"/>
      <c r="BPC114" s="1251"/>
      <c r="BPD114" s="1251"/>
      <c r="BPE114" s="1251"/>
      <c r="BPF114" s="1251"/>
      <c r="BPG114" s="1251"/>
      <c r="BPH114" s="1251"/>
      <c r="BPI114" s="1251"/>
      <c r="BPJ114" s="1251"/>
      <c r="BPK114" s="1251"/>
      <c r="BPL114" s="1251"/>
      <c r="BPM114" s="1251"/>
      <c r="BPN114" s="1251"/>
      <c r="BPO114" s="1251"/>
      <c r="BPP114" s="1251"/>
      <c r="BPQ114" s="1251"/>
      <c r="BPR114" s="1251"/>
      <c r="BPS114" s="1251"/>
      <c r="BPT114" s="1251"/>
      <c r="BPU114" s="1251"/>
      <c r="BPV114" s="1251"/>
      <c r="BPW114" s="1251"/>
      <c r="BPX114" s="1251"/>
      <c r="BPY114" s="1251"/>
      <c r="BPZ114" s="1251"/>
      <c r="BQA114" s="1251"/>
      <c r="BQB114" s="1251"/>
      <c r="BQC114" s="1251"/>
      <c r="BQD114" s="1251"/>
      <c r="BQE114" s="1251"/>
      <c r="BQF114" s="1251"/>
      <c r="BQG114" s="1251"/>
      <c r="BQH114" s="1251"/>
      <c r="BQI114" s="1251"/>
      <c r="BQJ114" s="1251"/>
      <c r="BQK114" s="1251"/>
      <c r="BQL114" s="1251"/>
      <c r="BQM114" s="1251"/>
      <c r="BQN114" s="1251"/>
      <c r="BQO114" s="1251"/>
      <c r="BQP114" s="1251"/>
      <c r="BQQ114" s="1251"/>
      <c r="BQR114" s="1251"/>
      <c r="BQS114" s="1251"/>
      <c r="BQT114" s="1251"/>
      <c r="BQU114" s="1251"/>
      <c r="BQV114" s="1251"/>
      <c r="BQW114" s="1251"/>
      <c r="BQX114" s="1251"/>
      <c r="BQY114" s="1251"/>
      <c r="BQZ114" s="1251"/>
      <c r="BRA114" s="1251"/>
      <c r="BRB114" s="1251"/>
      <c r="BRC114" s="1251"/>
      <c r="BRD114" s="1251"/>
      <c r="BRE114" s="1251"/>
      <c r="BRF114" s="1251"/>
      <c r="BRG114" s="1251"/>
      <c r="BRH114" s="1251"/>
      <c r="BRI114" s="1251"/>
      <c r="BRJ114" s="1251"/>
      <c r="BRK114" s="1251"/>
      <c r="BRL114" s="1251"/>
      <c r="BRM114" s="1251"/>
      <c r="BRN114" s="1251"/>
      <c r="BRO114" s="1251"/>
      <c r="BRP114" s="1251"/>
      <c r="BRQ114" s="1251"/>
      <c r="BRR114" s="1251"/>
      <c r="BRS114" s="1251"/>
      <c r="BRT114" s="1251"/>
      <c r="BRU114" s="1251"/>
      <c r="BRV114" s="1251"/>
      <c r="BRW114" s="1251"/>
      <c r="BRX114" s="1251"/>
      <c r="BRY114" s="1251"/>
      <c r="BRZ114" s="1251"/>
      <c r="BSA114" s="1251"/>
      <c r="BSB114" s="1251"/>
      <c r="BSC114" s="1251"/>
      <c r="BSD114" s="1251"/>
      <c r="BSE114" s="1251"/>
      <c r="BSF114" s="1251"/>
      <c r="BSG114" s="1251"/>
      <c r="BSH114" s="1251"/>
      <c r="BSI114" s="1251"/>
      <c r="BSJ114" s="1251"/>
      <c r="BSK114" s="1251"/>
      <c r="BSL114" s="1251"/>
      <c r="BSM114" s="1251"/>
      <c r="BSN114" s="1251"/>
      <c r="BSO114" s="1251"/>
      <c r="BSP114" s="1251"/>
      <c r="BSQ114" s="1251"/>
      <c r="BSR114" s="1251"/>
      <c r="BSS114" s="1251"/>
      <c r="BST114" s="1251"/>
      <c r="BSU114" s="1251"/>
      <c r="BSV114" s="1251"/>
      <c r="BSW114" s="1251"/>
      <c r="BSX114" s="1251"/>
      <c r="BSY114" s="1251"/>
      <c r="BSZ114" s="1251"/>
      <c r="BTA114" s="1251"/>
      <c r="BTB114" s="1251"/>
      <c r="BTC114" s="1251"/>
      <c r="BTD114" s="1251"/>
      <c r="BTE114" s="1251"/>
      <c r="BTF114" s="1251"/>
      <c r="BTG114" s="1251"/>
      <c r="BTH114" s="1251"/>
      <c r="BTI114" s="1251"/>
    </row>
    <row r="115" spans="1:1881" s="1261" customFormat="1" ht="116.25" hidden="1" customHeight="1" thickBot="1" x14ac:dyDescent="0.35">
      <c r="A115" s="1274">
        <v>40</v>
      </c>
      <c r="B115" s="1272" t="s">
        <v>567</v>
      </c>
      <c r="C115" s="1275" t="s">
        <v>1280</v>
      </c>
      <c r="D115" s="659" t="s">
        <v>1281</v>
      </c>
      <c r="E115" s="1249" t="e">
        <f>HLOOKUP($D$2,'2020 Data(H)'!$C$1:$CZ$426,28,FALSE)</f>
        <v>#N/A</v>
      </c>
      <c r="F115" s="1263">
        <v>0</v>
      </c>
      <c r="G115" s="727"/>
      <c r="H115" s="17"/>
      <c r="I115" s="760"/>
      <c r="J115" s="1252"/>
      <c r="K115" s="1251"/>
      <c r="L115" s="701"/>
      <c r="M115" s="1251"/>
      <c r="N115" s="1253"/>
      <c r="O115" s="1251"/>
      <c r="P115" s="1251"/>
      <c r="Q115" s="1251"/>
      <c r="R115" s="1251"/>
      <c r="S115" s="1251"/>
      <c r="T115" s="1251"/>
      <c r="U115" s="1251"/>
      <c r="V115" s="1251"/>
      <c r="W115" s="1251"/>
      <c r="X115" s="1251"/>
      <c r="Y115" s="1251"/>
      <c r="Z115" s="1274"/>
      <c r="AA115" s="1274"/>
      <c r="AB115" s="1274"/>
      <c r="AC115" s="1274"/>
      <c r="AD115" s="1274"/>
      <c r="AE115" s="1274"/>
      <c r="AF115" s="1274"/>
      <c r="AG115" s="1274"/>
      <c r="AH115" s="1274"/>
      <c r="AI115" s="1274"/>
      <c r="AJ115" s="1274"/>
      <c r="AK115" s="1274"/>
      <c r="AL115" s="1274"/>
      <c r="AM115" s="1274"/>
      <c r="AN115" s="1274"/>
      <c r="AO115" s="1274"/>
      <c r="AP115" s="1274"/>
      <c r="AQ115" s="1274"/>
      <c r="AR115" s="1274"/>
      <c r="AS115" s="1251"/>
      <c r="AT115" s="1251"/>
      <c r="AU115" s="1251"/>
      <c r="AV115" s="1251"/>
      <c r="AW115" s="1251"/>
      <c r="AX115" s="1251"/>
      <c r="AY115" s="1251"/>
      <c r="AZ115" s="1251"/>
      <c r="BA115" s="1251"/>
      <c r="BB115" s="1251"/>
      <c r="BC115" s="1251"/>
      <c r="BD115" s="1251"/>
      <c r="BE115" s="1251"/>
      <c r="BF115" s="1251"/>
      <c r="BG115" s="1251"/>
      <c r="BH115" s="1251"/>
      <c r="BI115" s="1251"/>
      <c r="BJ115" s="1251"/>
      <c r="BK115" s="1251"/>
      <c r="BL115" s="1251"/>
      <c r="BM115" s="1251"/>
      <c r="BN115" s="1251"/>
      <c r="BO115" s="1251"/>
      <c r="BP115" s="1251"/>
      <c r="BQ115" s="1251"/>
      <c r="BR115" s="1251"/>
      <c r="BS115" s="1251"/>
      <c r="BT115" s="1251"/>
      <c r="BU115" s="1251"/>
      <c r="BV115" s="1251"/>
      <c r="BW115" s="1251"/>
      <c r="BX115" s="1251"/>
      <c r="BY115" s="1251"/>
      <c r="BZ115" s="1251"/>
      <c r="CA115" s="1251"/>
      <c r="CB115" s="1251"/>
      <c r="CC115" s="1251"/>
      <c r="CD115" s="1251"/>
      <c r="CE115" s="1251"/>
      <c r="CF115" s="1251"/>
      <c r="CG115" s="1251"/>
      <c r="CH115" s="1251"/>
      <c r="CI115" s="1251"/>
      <c r="CJ115" s="1251"/>
      <c r="CK115" s="1251"/>
      <c r="CL115" s="1251"/>
      <c r="CM115" s="1251"/>
      <c r="CN115" s="1251"/>
      <c r="CO115" s="1251"/>
      <c r="CP115" s="1251"/>
      <c r="CQ115" s="1251"/>
      <c r="CR115" s="1251"/>
      <c r="CS115" s="1251"/>
      <c r="CT115" s="1251"/>
      <c r="CU115" s="1251"/>
      <c r="CV115" s="1251"/>
      <c r="CW115" s="1251"/>
      <c r="CX115" s="1251"/>
      <c r="CY115" s="1251"/>
      <c r="CZ115" s="1251"/>
      <c r="DA115" s="1251"/>
      <c r="DB115" s="1251"/>
      <c r="DC115" s="1251"/>
      <c r="DD115" s="1251"/>
      <c r="DE115" s="1251"/>
      <c r="DF115" s="1251"/>
      <c r="DG115" s="1251"/>
      <c r="DH115" s="1251"/>
      <c r="DI115" s="1251"/>
      <c r="DJ115" s="1251"/>
      <c r="DK115" s="1251"/>
      <c r="DL115" s="1251"/>
      <c r="DM115" s="1251"/>
      <c r="DN115" s="1251"/>
      <c r="DO115" s="1251"/>
      <c r="DP115" s="1251"/>
      <c r="DQ115" s="1251"/>
      <c r="DR115" s="1251"/>
      <c r="DS115" s="1251"/>
      <c r="DT115" s="1251"/>
      <c r="DU115" s="1251"/>
      <c r="DV115" s="1251"/>
      <c r="DW115" s="1251"/>
      <c r="DX115" s="1251"/>
      <c r="DY115" s="1251"/>
      <c r="DZ115" s="1251"/>
      <c r="EA115" s="1251"/>
      <c r="EB115" s="1251"/>
      <c r="EC115" s="1251"/>
      <c r="ED115" s="1251"/>
      <c r="EE115" s="1251"/>
      <c r="EF115" s="1251"/>
      <c r="EG115" s="1251"/>
      <c r="EH115" s="1251"/>
      <c r="EI115" s="1251"/>
      <c r="EJ115" s="1251"/>
      <c r="EK115" s="1251"/>
      <c r="EL115" s="1251"/>
      <c r="EM115" s="1251"/>
      <c r="EN115" s="1251"/>
      <c r="EO115" s="1251"/>
      <c r="EP115" s="1251"/>
      <c r="EQ115" s="1251"/>
      <c r="ER115" s="1251"/>
      <c r="ES115" s="1251"/>
      <c r="ET115" s="1251"/>
      <c r="EU115" s="1251"/>
      <c r="EV115" s="1251"/>
      <c r="EW115" s="1251"/>
      <c r="EX115" s="1251"/>
      <c r="EY115" s="1251"/>
      <c r="EZ115" s="1251"/>
      <c r="FA115" s="1251"/>
      <c r="FB115" s="1251"/>
      <c r="FC115" s="1251"/>
      <c r="FD115" s="1251"/>
      <c r="FE115" s="1251"/>
      <c r="FF115" s="1251"/>
      <c r="FG115" s="1251"/>
      <c r="FH115" s="1251"/>
      <c r="FI115" s="1251"/>
      <c r="FJ115" s="1251"/>
      <c r="FK115" s="1251"/>
      <c r="FL115" s="1251"/>
      <c r="FM115" s="1251"/>
      <c r="FN115" s="1251"/>
      <c r="FO115" s="1251"/>
      <c r="FP115" s="1251"/>
      <c r="FQ115" s="1251"/>
      <c r="FR115" s="1251"/>
      <c r="FS115" s="1251"/>
      <c r="FT115" s="1251"/>
      <c r="FU115" s="1251"/>
      <c r="FV115" s="1251"/>
      <c r="FW115" s="1251"/>
      <c r="FX115" s="1251"/>
      <c r="FY115" s="1251"/>
      <c r="FZ115" s="1251"/>
      <c r="GA115" s="1251"/>
      <c r="GB115" s="1251"/>
      <c r="GC115" s="1251"/>
      <c r="GD115" s="1251"/>
      <c r="GE115" s="1251"/>
      <c r="GF115" s="1251"/>
      <c r="GG115" s="1251"/>
      <c r="GH115" s="1251"/>
      <c r="GI115" s="1251"/>
      <c r="GJ115" s="1251"/>
      <c r="GK115" s="1251"/>
      <c r="GL115" s="1251"/>
      <c r="GM115" s="1251"/>
      <c r="GN115" s="1251"/>
      <c r="GO115" s="1251"/>
      <c r="GP115" s="1251"/>
      <c r="GQ115" s="1251"/>
      <c r="GR115" s="1251"/>
      <c r="GS115" s="1251"/>
      <c r="GT115" s="1251"/>
      <c r="GU115" s="1251"/>
      <c r="GV115" s="1251"/>
      <c r="GW115" s="1251"/>
      <c r="GX115" s="1251"/>
      <c r="GY115" s="1251"/>
      <c r="GZ115" s="1251"/>
      <c r="HA115" s="1251"/>
      <c r="HB115" s="1251"/>
      <c r="HC115" s="1251"/>
      <c r="HD115" s="1251"/>
      <c r="HE115" s="1251"/>
      <c r="HF115" s="1251"/>
      <c r="HG115" s="1251"/>
      <c r="HH115" s="1251"/>
      <c r="HI115" s="1251"/>
      <c r="HJ115" s="1251"/>
      <c r="HK115" s="1251"/>
      <c r="HL115" s="1251"/>
      <c r="HM115" s="1251"/>
      <c r="HN115" s="1251"/>
      <c r="HO115" s="1251"/>
      <c r="HP115" s="1251"/>
      <c r="HQ115" s="1251"/>
      <c r="HR115" s="1251"/>
      <c r="HS115" s="1251"/>
      <c r="HT115" s="1251"/>
      <c r="HU115" s="1251"/>
      <c r="HV115" s="1251"/>
      <c r="HW115" s="1251"/>
      <c r="HX115" s="1251"/>
      <c r="HY115" s="1251"/>
      <c r="HZ115" s="1251"/>
      <c r="IA115" s="1251"/>
      <c r="IB115" s="1251"/>
      <c r="IC115" s="1251"/>
      <c r="ID115" s="1251"/>
      <c r="IE115" s="1251"/>
      <c r="IF115" s="1251"/>
      <c r="IG115" s="1251"/>
      <c r="IH115" s="1251"/>
      <c r="II115" s="1251"/>
      <c r="IJ115" s="1251"/>
      <c r="IK115" s="1251"/>
      <c r="IL115" s="1251"/>
      <c r="IM115" s="1251"/>
      <c r="IN115" s="1251"/>
      <c r="IO115" s="1251"/>
      <c r="IP115" s="1251"/>
      <c r="IQ115" s="1251"/>
      <c r="IR115" s="1251"/>
      <c r="IS115" s="1251"/>
      <c r="IT115" s="1251"/>
      <c r="IU115" s="1251"/>
      <c r="IV115" s="1251"/>
      <c r="IW115" s="1251"/>
      <c r="IX115" s="1251"/>
      <c r="IY115" s="1251"/>
      <c r="IZ115" s="1251"/>
      <c r="JA115" s="1251"/>
      <c r="JB115" s="1251"/>
      <c r="JC115" s="1251"/>
      <c r="JD115" s="1251"/>
      <c r="JE115" s="1251"/>
      <c r="JF115" s="1251"/>
      <c r="JG115" s="1251"/>
      <c r="JH115" s="1251"/>
      <c r="JI115" s="1251"/>
      <c r="JJ115" s="1251"/>
      <c r="JK115" s="1251"/>
      <c r="JL115" s="1251"/>
      <c r="JM115" s="1251"/>
      <c r="JN115" s="1251"/>
      <c r="JO115" s="1251"/>
      <c r="JP115" s="1251"/>
      <c r="JQ115" s="1251"/>
      <c r="JR115" s="1251"/>
      <c r="JS115" s="1251"/>
      <c r="JT115" s="1251"/>
      <c r="JU115" s="1251"/>
      <c r="JV115" s="1251"/>
      <c r="JW115" s="1251"/>
      <c r="JX115" s="1251"/>
      <c r="JY115" s="1251"/>
      <c r="JZ115" s="1251"/>
      <c r="KA115" s="1251"/>
      <c r="KB115" s="1251"/>
      <c r="KC115" s="1251"/>
      <c r="KD115" s="1251"/>
      <c r="KE115" s="1251"/>
      <c r="KF115" s="1251"/>
      <c r="KG115" s="1251"/>
      <c r="KH115" s="1251"/>
      <c r="KI115" s="1251"/>
      <c r="KJ115" s="1251"/>
      <c r="KK115" s="1251"/>
      <c r="KL115" s="1251"/>
      <c r="KM115" s="1251"/>
      <c r="KN115" s="1251"/>
      <c r="KO115" s="1251"/>
      <c r="KP115" s="1251"/>
      <c r="KQ115" s="1251"/>
      <c r="KR115" s="1251"/>
      <c r="KS115" s="1251"/>
      <c r="KT115" s="1251"/>
      <c r="KU115" s="1251"/>
      <c r="KV115" s="1251"/>
      <c r="KW115" s="1251"/>
      <c r="KX115" s="1251"/>
      <c r="KY115" s="1251"/>
      <c r="KZ115" s="1251"/>
      <c r="LA115" s="1251"/>
      <c r="LB115" s="1251"/>
      <c r="LC115" s="1251"/>
      <c r="LD115" s="1251"/>
      <c r="LE115" s="1251"/>
      <c r="LF115" s="1251"/>
      <c r="LG115" s="1251"/>
      <c r="LH115" s="1251"/>
      <c r="LI115" s="1251"/>
      <c r="LJ115" s="1251"/>
      <c r="LK115" s="1251"/>
      <c r="LL115" s="1251"/>
      <c r="LM115" s="1251"/>
      <c r="LN115" s="1251"/>
      <c r="LO115" s="1251"/>
      <c r="LP115" s="1251"/>
      <c r="LQ115" s="1251"/>
      <c r="LR115" s="1251"/>
      <c r="LS115" s="1251"/>
      <c r="LT115" s="1251"/>
      <c r="LU115" s="1251"/>
      <c r="LV115" s="1251"/>
      <c r="LW115" s="1251"/>
      <c r="LX115" s="1251"/>
      <c r="LY115" s="1251"/>
      <c r="LZ115" s="1251"/>
      <c r="MA115" s="1251"/>
      <c r="MB115" s="1251"/>
      <c r="MC115" s="1251"/>
      <c r="MD115" s="1251"/>
      <c r="ME115" s="1251"/>
      <c r="MF115" s="1251"/>
      <c r="MG115" s="1251"/>
      <c r="MH115" s="1251"/>
      <c r="MI115" s="1251"/>
      <c r="MJ115" s="1251"/>
      <c r="MK115" s="1251"/>
      <c r="ML115" s="1251"/>
      <c r="MM115" s="1251"/>
      <c r="MN115" s="1251"/>
      <c r="MO115" s="1251"/>
      <c r="MP115" s="1251"/>
      <c r="MQ115" s="1251"/>
      <c r="MR115" s="1251"/>
      <c r="MS115" s="1251"/>
      <c r="MT115" s="1251"/>
      <c r="MU115" s="1251"/>
      <c r="MV115" s="1251"/>
      <c r="MW115" s="1251"/>
      <c r="MX115" s="1251"/>
      <c r="MY115" s="1251"/>
      <c r="MZ115" s="1251"/>
      <c r="NA115" s="1251"/>
      <c r="NB115" s="1251"/>
      <c r="NC115" s="1251"/>
      <c r="ND115" s="1251"/>
      <c r="NE115" s="1251"/>
      <c r="NF115" s="1251"/>
      <c r="NG115" s="1251"/>
      <c r="NH115" s="1251"/>
      <c r="NI115" s="1251"/>
      <c r="NJ115" s="1251"/>
      <c r="NK115" s="1251"/>
      <c r="NL115" s="1251"/>
      <c r="NM115" s="1251"/>
      <c r="NN115" s="1251"/>
      <c r="NO115" s="1251"/>
      <c r="NP115" s="1251"/>
      <c r="NQ115" s="1251"/>
      <c r="NR115" s="1251"/>
      <c r="NS115" s="1251"/>
      <c r="NT115" s="1251"/>
      <c r="NU115" s="1251"/>
      <c r="NV115" s="1251"/>
      <c r="NW115" s="1251"/>
      <c r="NX115" s="1251"/>
      <c r="NY115" s="1251"/>
      <c r="NZ115" s="1251"/>
      <c r="OA115" s="1251"/>
      <c r="OB115" s="1251"/>
      <c r="OC115" s="1251"/>
      <c r="OD115" s="1251"/>
      <c r="OE115" s="1251"/>
      <c r="OF115" s="1251"/>
      <c r="OG115" s="1251"/>
      <c r="OH115" s="1251"/>
      <c r="OI115" s="1251"/>
      <c r="OJ115" s="1251"/>
      <c r="OK115" s="1251"/>
      <c r="OL115" s="1251"/>
      <c r="OM115" s="1251"/>
      <c r="ON115" s="1251"/>
      <c r="OO115" s="1251"/>
      <c r="OP115" s="1251"/>
      <c r="OQ115" s="1251"/>
      <c r="OR115" s="1251"/>
      <c r="OS115" s="1251"/>
      <c r="OT115" s="1251"/>
      <c r="OU115" s="1251"/>
      <c r="OV115" s="1251"/>
      <c r="OW115" s="1251"/>
      <c r="OX115" s="1251"/>
      <c r="OY115" s="1251"/>
      <c r="OZ115" s="1251"/>
      <c r="PA115" s="1251"/>
      <c r="PB115" s="1251"/>
      <c r="PC115" s="1251"/>
      <c r="PD115" s="1251"/>
      <c r="PE115" s="1251"/>
      <c r="PF115" s="1251"/>
      <c r="PG115" s="1251"/>
      <c r="PH115" s="1251"/>
      <c r="PI115" s="1251"/>
      <c r="PJ115" s="1251"/>
      <c r="PK115" s="1251"/>
      <c r="PL115" s="1251"/>
      <c r="PM115" s="1251"/>
      <c r="PN115" s="1251"/>
      <c r="PO115" s="1251"/>
      <c r="PP115" s="1251"/>
      <c r="PQ115" s="1251"/>
      <c r="PR115" s="1251"/>
      <c r="PS115" s="1251"/>
      <c r="PT115" s="1251"/>
      <c r="PU115" s="1251"/>
      <c r="PV115" s="1251"/>
      <c r="PW115" s="1251"/>
      <c r="PX115" s="1251"/>
      <c r="PY115" s="1251"/>
      <c r="PZ115" s="1251"/>
      <c r="QA115" s="1251"/>
      <c r="QB115" s="1251"/>
      <c r="QC115" s="1251"/>
      <c r="QD115" s="1251"/>
      <c r="QE115" s="1251"/>
      <c r="QF115" s="1251"/>
      <c r="QG115" s="1251"/>
      <c r="QH115" s="1251"/>
      <c r="QI115" s="1251"/>
      <c r="QJ115" s="1251"/>
      <c r="QK115" s="1251"/>
      <c r="QL115" s="1251"/>
      <c r="QM115" s="1251"/>
      <c r="QN115" s="1251"/>
      <c r="QO115" s="1251"/>
      <c r="QP115" s="1251"/>
      <c r="QQ115" s="1251"/>
      <c r="QR115" s="1251"/>
      <c r="QS115" s="1251"/>
      <c r="QT115" s="1251"/>
      <c r="QU115" s="1251"/>
      <c r="QV115" s="1251"/>
      <c r="QW115" s="1251"/>
      <c r="QX115" s="1251"/>
      <c r="QY115" s="1251"/>
      <c r="QZ115" s="1251"/>
      <c r="RA115" s="1251"/>
      <c r="RB115" s="1251"/>
      <c r="RC115" s="1251"/>
      <c r="RD115" s="1251"/>
      <c r="RE115" s="1251"/>
      <c r="RF115" s="1251"/>
      <c r="RG115" s="1251"/>
      <c r="RH115" s="1251"/>
      <c r="RI115" s="1251"/>
      <c r="RJ115" s="1251"/>
      <c r="RK115" s="1251"/>
      <c r="RL115" s="1251"/>
      <c r="RM115" s="1251"/>
      <c r="RN115" s="1251"/>
      <c r="RO115" s="1251"/>
      <c r="RP115" s="1251"/>
      <c r="RQ115" s="1251"/>
      <c r="RR115" s="1251"/>
      <c r="RS115" s="1251"/>
      <c r="RT115" s="1251"/>
      <c r="RU115" s="1251"/>
      <c r="RV115" s="1251"/>
      <c r="RW115" s="1251"/>
      <c r="RX115" s="1251"/>
      <c r="RY115" s="1251"/>
      <c r="RZ115" s="1251"/>
      <c r="SA115" s="1251"/>
      <c r="SB115" s="1251"/>
      <c r="SC115" s="1251"/>
      <c r="SD115" s="1251"/>
      <c r="SE115" s="1251"/>
      <c r="SF115" s="1251"/>
      <c r="SG115" s="1251"/>
      <c r="SH115" s="1251"/>
      <c r="SI115" s="1251"/>
      <c r="SJ115" s="1251"/>
      <c r="SK115" s="1251"/>
      <c r="SL115" s="1251"/>
      <c r="SM115" s="1251"/>
      <c r="SN115" s="1251"/>
      <c r="SO115" s="1251"/>
      <c r="SP115" s="1251"/>
      <c r="SQ115" s="1251"/>
      <c r="SR115" s="1251"/>
      <c r="SS115" s="1251"/>
      <c r="ST115" s="1251"/>
      <c r="SU115" s="1251"/>
      <c r="SV115" s="1251"/>
      <c r="SW115" s="1251"/>
      <c r="SX115" s="1251"/>
      <c r="SY115" s="1251"/>
      <c r="SZ115" s="1251"/>
      <c r="TA115" s="1251"/>
      <c r="TB115" s="1251"/>
      <c r="TC115" s="1251"/>
      <c r="TD115" s="1251"/>
      <c r="TE115" s="1251"/>
      <c r="TF115" s="1251"/>
      <c r="TG115" s="1251"/>
      <c r="TH115" s="1251"/>
      <c r="TI115" s="1251"/>
      <c r="TJ115" s="1251"/>
      <c r="TK115" s="1251"/>
      <c r="TL115" s="1251"/>
      <c r="TM115" s="1251"/>
      <c r="TN115" s="1251"/>
      <c r="TO115" s="1251"/>
      <c r="TP115" s="1251"/>
      <c r="TQ115" s="1251"/>
      <c r="TR115" s="1251"/>
      <c r="TS115" s="1251"/>
      <c r="TT115" s="1251"/>
      <c r="TU115" s="1251"/>
      <c r="TV115" s="1251"/>
      <c r="TW115" s="1251"/>
      <c r="TX115" s="1251"/>
      <c r="TY115" s="1251"/>
      <c r="TZ115" s="1251"/>
      <c r="UA115" s="1251"/>
      <c r="UB115" s="1251"/>
      <c r="UC115" s="1251"/>
      <c r="UD115" s="1251"/>
      <c r="UE115" s="1251"/>
      <c r="UF115" s="1251"/>
      <c r="UG115" s="1251"/>
      <c r="UH115" s="1251"/>
      <c r="UI115" s="1251"/>
      <c r="UJ115" s="1251"/>
      <c r="UK115" s="1251"/>
      <c r="UL115" s="1251"/>
      <c r="UM115" s="1251"/>
      <c r="UN115" s="1251"/>
      <c r="UO115" s="1251"/>
      <c r="UP115" s="1251"/>
      <c r="UQ115" s="1251"/>
      <c r="UR115" s="1251"/>
      <c r="US115" s="1251"/>
      <c r="UT115" s="1251"/>
      <c r="UU115" s="1251"/>
      <c r="UV115" s="1251"/>
      <c r="UW115" s="1251"/>
      <c r="UX115" s="1251"/>
      <c r="UY115" s="1251"/>
      <c r="UZ115" s="1251"/>
      <c r="VA115" s="1251"/>
      <c r="VB115" s="1251"/>
      <c r="VC115" s="1251"/>
      <c r="VD115" s="1251"/>
      <c r="VE115" s="1251"/>
      <c r="VF115" s="1251"/>
      <c r="VG115" s="1251"/>
      <c r="VH115" s="1251"/>
      <c r="VI115" s="1251"/>
      <c r="VJ115" s="1251"/>
      <c r="VK115" s="1251"/>
      <c r="VL115" s="1251"/>
      <c r="VM115" s="1251"/>
      <c r="VN115" s="1251"/>
      <c r="VO115" s="1251"/>
      <c r="VP115" s="1251"/>
      <c r="VQ115" s="1251"/>
      <c r="VR115" s="1251"/>
      <c r="VS115" s="1251"/>
      <c r="VT115" s="1251"/>
      <c r="VU115" s="1251"/>
      <c r="VV115" s="1251"/>
      <c r="VW115" s="1251"/>
      <c r="VX115" s="1251"/>
      <c r="VY115" s="1251"/>
      <c r="VZ115" s="1251"/>
      <c r="WA115" s="1251"/>
      <c r="WB115" s="1251"/>
      <c r="WC115" s="1251"/>
      <c r="WD115" s="1251"/>
      <c r="WE115" s="1251"/>
      <c r="WF115" s="1251"/>
      <c r="WG115" s="1251"/>
      <c r="WH115" s="1251"/>
      <c r="WI115" s="1251"/>
      <c r="WJ115" s="1251"/>
      <c r="WK115" s="1251"/>
      <c r="WL115" s="1251"/>
      <c r="WM115" s="1251"/>
      <c r="WN115" s="1251"/>
      <c r="WO115" s="1251"/>
      <c r="WP115" s="1251"/>
      <c r="WQ115" s="1251"/>
      <c r="WR115" s="1251"/>
      <c r="WS115" s="1251"/>
      <c r="WT115" s="1251"/>
      <c r="WU115" s="1251"/>
      <c r="WV115" s="1251"/>
      <c r="WW115" s="1251"/>
      <c r="WX115" s="1251"/>
      <c r="WY115" s="1251"/>
      <c r="WZ115" s="1251"/>
      <c r="XA115" s="1251"/>
      <c r="XB115" s="1251"/>
      <c r="XC115" s="1251"/>
      <c r="XD115" s="1251"/>
      <c r="XE115" s="1251"/>
      <c r="XF115" s="1251"/>
      <c r="XG115" s="1251"/>
      <c r="XH115" s="1251"/>
      <c r="XI115" s="1251"/>
      <c r="XJ115" s="1251"/>
      <c r="XK115" s="1251"/>
      <c r="XL115" s="1251"/>
      <c r="XM115" s="1251"/>
      <c r="XN115" s="1251"/>
      <c r="XO115" s="1251"/>
      <c r="XP115" s="1251"/>
      <c r="XQ115" s="1251"/>
      <c r="XR115" s="1251"/>
      <c r="XS115" s="1251"/>
      <c r="XT115" s="1251"/>
      <c r="XU115" s="1251"/>
      <c r="XV115" s="1251"/>
      <c r="XW115" s="1251"/>
      <c r="XX115" s="1251"/>
      <c r="XY115" s="1251"/>
      <c r="XZ115" s="1251"/>
      <c r="YA115" s="1251"/>
      <c r="YB115" s="1251"/>
      <c r="YC115" s="1251"/>
      <c r="YD115" s="1251"/>
      <c r="YE115" s="1251"/>
      <c r="YF115" s="1251"/>
      <c r="YG115" s="1251"/>
      <c r="YH115" s="1251"/>
      <c r="YI115" s="1251"/>
      <c r="YJ115" s="1251"/>
      <c r="YK115" s="1251"/>
      <c r="YL115" s="1251"/>
      <c r="YM115" s="1251"/>
      <c r="YN115" s="1251"/>
      <c r="YO115" s="1251"/>
      <c r="YP115" s="1251"/>
      <c r="YQ115" s="1251"/>
      <c r="YR115" s="1251"/>
      <c r="YS115" s="1251"/>
      <c r="YT115" s="1251"/>
      <c r="YU115" s="1251"/>
      <c r="YV115" s="1251"/>
      <c r="YW115" s="1251"/>
      <c r="YX115" s="1251"/>
      <c r="YY115" s="1251"/>
      <c r="YZ115" s="1251"/>
      <c r="ZA115" s="1251"/>
      <c r="ZB115" s="1251"/>
      <c r="ZC115" s="1251"/>
      <c r="ZD115" s="1251"/>
      <c r="ZE115" s="1251"/>
      <c r="ZF115" s="1251"/>
      <c r="ZG115" s="1251"/>
      <c r="ZH115" s="1251"/>
      <c r="ZI115" s="1251"/>
      <c r="ZJ115" s="1251"/>
      <c r="ZK115" s="1251"/>
      <c r="ZL115" s="1251"/>
      <c r="ZM115" s="1251"/>
      <c r="ZN115" s="1251"/>
      <c r="ZO115" s="1251"/>
      <c r="ZP115" s="1251"/>
      <c r="ZQ115" s="1251"/>
      <c r="ZR115" s="1251"/>
      <c r="ZS115" s="1251"/>
      <c r="ZT115" s="1251"/>
      <c r="ZU115" s="1251"/>
      <c r="ZV115" s="1251"/>
      <c r="ZW115" s="1251"/>
      <c r="ZX115" s="1251"/>
      <c r="ZY115" s="1251"/>
      <c r="ZZ115" s="1251"/>
      <c r="AAA115" s="1251"/>
      <c r="AAB115" s="1251"/>
      <c r="AAC115" s="1251"/>
      <c r="AAD115" s="1251"/>
      <c r="AAE115" s="1251"/>
      <c r="AAF115" s="1251"/>
      <c r="AAG115" s="1251"/>
      <c r="AAH115" s="1251"/>
      <c r="AAI115" s="1251"/>
      <c r="AAJ115" s="1251"/>
      <c r="AAK115" s="1251"/>
      <c r="AAL115" s="1251"/>
      <c r="AAM115" s="1251"/>
      <c r="AAN115" s="1251"/>
      <c r="AAO115" s="1251"/>
      <c r="AAP115" s="1251"/>
      <c r="AAQ115" s="1251"/>
      <c r="AAR115" s="1251"/>
      <c r="AAS115" s="1251"/>
      <c r="AAT115" s="1251"/>
      <c r="AAU115" s="1251"/>
      <c r="AAV115" s="1251"/>
      <c r="AAW115" s="1251"/>
      <c r="AAX115" s="1251"/>
      <c r="AAY115" s="1251"/>
      <c r="AAZ115" s="1251"/>
      <c r="ABA115" s="1251"/>
      <c r="ABB115" s="1251"/>
      <c r="ABC115" s="1251"/>
      <c r="ABD115" s="1251"/>
      <c r="ABE115" s="1251"/>
      <c r="ABF115" s="1251"/>
      <c r="ABG115" s="1251"/>
      <c r="ABH115" s="1251"/>
      <c r="ABI115" s="1251"/>
      <c r="ABJ115" s="1251"/>
      <c r="ABK115" s="1251"/>
      <c r="ABL115" s="1251"/>
      <c r="ABM115" s="1251"/>
      <c r="ABN115" s="1251"/>
      <c r="ABO115" s="1251"/>
      <c r="ABP115" s="1251"/>
      <c r="ABQ115" s="1251"/>
      <c r="ABR115" s="1251"/>
      <c r="ABS115" s="1251"/>
      <c r="ABT115" s="1251"/>
      <c r="ABU115" s="1251"/>
      <c r="ABV115" s="1251"/>
      <c r="ABW115" s="1251"/>
      <c r="ABX115" s="1251"/>
      <c r="ABY115" s="1251"/>
      <c r="ABZ115" s="1251"/>
      <c r="ACA115" s="1251"/>
      <c r="ACB115" s="1251"/>
      <c r="ACC115" s="1251"/>
      <c r="ACD115" s="1251"/>
      <c r="ACE115" s="1251"/>
      <c r="ACF115" s="1251"/>
      <c r="ACG115" s="1251"/>
      <c r="ACH115" s="1251"/>
      <c r="ACI115" s="1251"/>
      <c r="ACJ115" s="1251"/>
      <c r="ACK115" s="1251"/>
      <c r="ACL115" s="1251"/>
      <c r="ACM115" s="1251"/>
      <c r="ACN115" s="1251"/>
      <c r="ACO115" s="1251"/>
      <c r="ACP115" s="1251"/>
      <c r="ACQ115" s="1251"/>
      <c r="ACR115" s="1251"/>
      <c r="ACS115" s="1251"/>
      <c r="ACT115" s="1251"/>
      <c r="ACU115" s="1251"/>
      <c r="ACV115" s="1251"/>
      <c r="ACW115" s="1251"/>
      <c r="ACX115" s="1251"/>
      <c r="ACY115" s="1251"/>
      <c r="ACZ115" s="1251"/>
      <c r="ADA115" s="1251"/>
      <c r="ADB115" s="1251"/>
      <c r="ADC115" s="1251"/>
      <c r="ADD115" s="1251"/>
      <c r="ADE115" s="1251"/>
      <c r="ADF115" s="1251"/>
      <c r="ADG115" s="1251"/>
      <c r="ADH115" s="1251"/>
      <c r="ADI115" s="1251"/>
      <c r="ADJ115" s="1251"/>
      <c r="ADK115" s="1251"/>
      <c r="ADL115" s="1251"/>
      <c r="ADM115" s="1251"/>
      <c r="ADN115" s="1251"/>
      <c r="ADO115" s="1251"/>
      <c r="ADP115" s="1251"/>
      <c r="ADQ115" s="1251"/>
      <c r="ADR115" s="1251"/>
      <c r="ADS115" s="1251"/>
      <c r="ADT115" s="1251"/>
      <c r="ADU115" s="1251"/>
      <c r="ADV115" s="1251"/>
      <c r="ADW115" s="1251"/>
      <c r="ADX115" s="1251"/>
      <c r="ADY115" s="1251"/>
      <c r="ADZ115" s="1251"/>
      <c r="AEA115" s="1251"/>
      <c r="AEB115" s="1251"/>
      <c r="AEC115" s="1251"/>
      <c r="AED115" s="1251"/>
      <c r="AEE115" s="1251"/>
      <c r="AEF115" s="1251"/>
      <c r="AEG115" s="1251"/>
      <c r="AEH115" s="1251"/>
      <c r="AEI115" s="1251"/>
      <c r="AEJ115" s="1251"/>
      <c r="AEK115" s="1251"/>
      <c r="AEL115" s="1251"/>
      <c r="AEM115" s="1251"/>
      <c r="AEN115" s="1251"/>
      <c r="AEO115" s="1251"/>
      <c r="AEP115" s="1251"/>
      <c r="AEQ115" s="1251"/>
      <c r="AER115" s="1251"/>
      <c r="AES115" s="1251"/>
      <c r="AET115" s="1251"/>
      <c r="AEU115" s="1251"/>
      <c r="AEV115" s="1251"/>
      <c r="AEW115" s="1251"/>
      <c r="AEX115" s="1251"/>
      <c r="AEY115" s="1251"/>
      <c r="AEZ115" s="1251"/>
      <c r="AFA115" s="1251"/>
      <c r="AFB115" s="1251"/>
      <c r="AFC115" s="1251"/>
      <c r="AFD115" s="1251"/>
      <c r="AFE115" s="1251"/>
      <c r="AFF115" s="1251"/>
      <c r="AFG115" s="1251"/>
      <c r="AFH115" s="1251"/>
      <c r="AFI115" s="1251"/>
      <c r="AFJ115" s="1251"/>
      <c r="AFK115" s="1251"/>
      <c r="AFL115" s="1251"/>
      <c r="AFM115" s="1251"/>
      <c r="AFN115" s="1251"/>
      <c r="AFO115" s="1251"/>
      <c r="AFP115" s="1251"/>
      <c r="AFQ115" s="1251"/>
      <c r="AFR115" s="1251"/>
      <c r="AFS115" s="1251"/>
      <c r="AFT115" s="1251"/>
      <c r="AFU115" s="1251"/>
      <c r="AFV115" s="1251"/>
      <c r="AFW115" s="1251"/>
      <c r="AFX115" s="1251"/>
      <c r="AFY115" s="1251"/>
      <c r="AFZ115" s="1251"/>
      <c r="AGA115" s="1251"/>
      <c r="AGB115" s="1251"/>
      <c r="AGC115" s="1251"/>
      <c r="AGD115" s="1251"/>
      <c r="AGE115" s="1251"/>
      <c r="AGF115" s="1251"/>
      <c r="AGG115" s="1251"/>
      <c r="AGH115" s="1251"/>
      <c r="AGI115" s="1251"/>
      <c r="AGJ115" s="1251"/>
      <c r="AGK115" s="1251"/>
      <c r="AGL115" s="1251"/>
      <c r="AGM115" s="1251"/>
      <c r="AGN115" s="1251"/>
      <c r="AGO115" s="1251"/>
      <c r="AGP115" s="1251"/>
      <c r="AGQ115" s="1251"/>
      <c r="AGR115" s="1251"/>
      <c r="AGS115" s="1251"/>
      <c r="AGT115" s="1251"/>
      <c r="AGU115" s="1251"/>
      <c r="AGV115" s="1251"/>
      <c r="AGW115" s="1251"/>
      <c r="AGX115" s="1251"/>
      <c r="AGY115" s="1251"/>
      <c r="AGZ115" s="1251"/>
      <c r="AHA115" s="1251"/>
      <c r="AHB115" s="1251"/>
      <c r="AHC115" s="1251"/>
      <c r="AHD115" s="1251"/>
      <c r="AHE115" s="1251"/>
      <c r="AHF115" s="1251"/>
      <c r="AHG115" s="1251"/>
      <c r="AHH115" s="1251"/>
      <c r="AHI115" s="1251"/>
      <c r="AHJ115" s="1251"/>
      <c r="AHK115" s="1251"/>
      <c r="AHL115" s="1251"/>
      <c r="AHM115" s="1251"/>
      <c r="AHN115" s="1251"/>
      <c r="AHO115" s="1251"/>
      <c r="AHP115" s="1251"/>
      <c r="AHQ115" s="1251"/>
      <c r="AHR115" s="1251"/>
      <c r="AHS115" s="1251"/>
      <c r="AHT115" s="1251"/>
      <c r="AHU115" s="1251"/>
      <c r="AHV115" s="1251"/>
      <c r="AHW115" s="1251"/>
      <c r="AHX115" s="1251"/>
      <c r="AHY115" s="1251"/>
      <c r="AHZ115" s="1251"/>
      <c r="AIA115" s="1251"/>
      <c r="AIB115" s="1251"/>
      <c r="AIC115" s="1251"/>
      <c r="AID115" s="1251"/>
      <c r="AIE115" s="1251"/>
      <c r="AIF115" s="1251"/>
      <c r="AIG115" s="1251"/>
      <c r="AIH115" s="1251"/>
      <c r="AII115" s="1251"/>
      <c r="AIJ115" s="1251"/>
      <c r="AIK115" s="1251"/>
      <c r="AIL115" s="1251"/>
      <c r="AIM115" s="1251"/>
      <c r="AIN115" s="1251"/>
      <c r="AIO115" s="1251"/>
      <c r="AIP115" s="1251"/>
      <c r="AIQ115" s="1251"/>
      <c r="AIR115" s="1251"/>
      <c r="AIS115" s="1251"/>
      <c r="AIT115" s="1251"/>
      <c r="AIU115" s="1251"/>
      <c r="AIV115" s="1251"/>
      <c r="AIW115" s="1251"/>
      <c r="AIX115" s="1251"/>
      <c r="AIY115" s="1251"/>
      <c r="AIZ115" s="1251"/>
      <c r="AJA115" s="1251"/>
      <c r="AJB115" s="1251"/>
      <c r="AJC115" s="1251"/>
      <c r="AJD115" s="1251"/>
      <c r="AJE115" s="1251"/>
      <c r="AJF115" s="1251"/>
      <c r="AJG115" s="1251"/>
      <c r="AJH115" s="1251"/>
      <c r="AJI115" s="1251"/>
      <c r="AJJ115" s="1251"/>
      <c r="AJK115" s="1251"/>
      <c r="AJL115" s="1251"/>
      <c r="AJM115" s="1251"/>
      <c r="AJN115" s="1251"/>
      <c r="AJO115" s="1251"/>
      <c r="AJP115" s="1251"/>
      <c r="AJQ115" s="1251"/>
      <c r="AJR115" s="1251"/>
      <c r="AJS115" s="1251"/>
      <c r="AJT115" s="1251"/>
      <c r="AJU115" s="1251"/>
      <c r="AJV115" s="1251"/>
      <c r="AJW115" s="1251"/>
      <c r="AJX115" s="1251"/>
      <c r="AJY115" s="1251"/>
      <c r="AJZ115" s="1251"/>
      <c r="AKA115" s="1251"/>
      <c r="AKB115" s="1251"/>
      <c r="AKC115" s="1251"/>
      <c r="AKD115" s="1251"/>
      <c r="AKE115" s="1251"/>
      <c r="AKF115" s="1251"/>
      <c r="AKG115" s="1251"/>
      <c r="AKH115" s="1251"/>
      <c r="AKI115" s="1251"/>
      <c r="AKJ115" s="1251"/>
      <c r="AKK115" s="1251"/>
      <c r="AKL115" s="1251"/>
      <c r="AKM115" s="1251"/>
      <c r="AKN115" s="1251"/>
      <c r="AKO115" s="1251"/>
      <c r="AKP115" s="1251"/>
      <c r="AKQ115" s="1251"/>
      <c r="AKR115" s="1251"/>
      <c r="AKS115" s="1251"/>
      <c r="AKT115" s="1251"/>
      <c r="AKU115" s="1251"/>
      <c r="AKV115" s="1251"/>
      <c r="AKW115" s="1251"/>
      <c r="AKX115" s="1251"/>
      <c r="AKY115" s="1251"/>
      <c r="AKZ115" s="1251"/>
      <c r="ALA115" s="1251"/>
      <c r="ALB115" s="1251"/>
      <c r="ALC115" s="1251"/>
      <c r="ALD115" s="1251"/>
      <c r="ALE115" s="1251"/>
      <c r="ALF115" s="1251"/>
      <c r="ALG115" s="1251"/>
      <c r="ALH115" s="1251"/>
      <c r="ALI115" s="1251"/>
      <c r="ALJ115" s="1251"/>
      <c r="ALK115" s="1251"/>
      <c r="ALL115" s="1251"/>
      <c r="ALM115" s="1251"/>
      <c r="ALN115" s="1251"/>
      <c r="ALO115" s="1251"/>
      <c r="ALP115" s="1251"/>
      <c r="ALQ115" s="1251"/>
      <c r="ALR115" s="1251"/>
      <c r="ALS115" s="1251"/>
      <c r="ALT115" s="1251"/>
      <c r="ALU115" s="1251"/>
      <c r="ALV115" s="1251"/>
      <c r="ALW115" s="1251"/>
      <c r="ALX115" s="1251"/>
      <c r="ALY115" s="1251"/>
      <c r="ALZ115" s="1251"/>
      <c r="AMA115" s="1251"/>
      <c r="AMB115" s="1251"/>
      <c r="AMC115" s="1251"/>
      <c r="AMD115" s="1251"/>
      <c r="AME115" s="1251"/>
      <c r="AMF115" s="1251"/>
      <c r="AMG115" s="1251"/>
      <c r="AMH115" s="1251"/>
      <c r="AMI115" s="1251"/>
      <c r="AMJ115" s="1251"/>
      <c r="AMK115" s="1251"/>
      <c r="AML115" s="1251"/>
      <c r="AMM115" s="1251"/>
      <c r="AMN115" s="1251"/>
      <c r="AMO115" s="1251"/>
      <c r="AMP115" s="1251"/>
      <c r="AMQ115" s="1251"/>
      <c r="AMR115" s="1251"/>
      <c r="AMS115" s="1251"/>
      <c r="AMT115" s="1251"/>
      <c r="AMU115" s="1251"/>
      <c r="AMV115" s="1251"/>
      <c r="AMW115" s="1251"/>
      <c r="AMX115" s="1251"/>
      <c r="AMY115" s="1251"/>
      <c r="AMZ115" s="1251"/>
      <c r="ANA115" s="1251"/>
      <c r="ANB115" s="1251"/>
      <c r="ANC115" s="1251"/>
      <c r="AND115" s="1251"/>
      <c r="ANE115" s="1251"/>
      <c r="ANF115" s="1251"/>
      <c r="ANG115" s="1251"/>
      <c r="ANH115" s="1251"/>
      <c r="ANI115" s="1251"/>
      <c r="ANJ115" s="1251"/>
      <c r="ANK115" s="1251"/>
      <c r="ANL115" s="1251"/>
      <c r="ANM115" s="1251"/>
      <c r="ANN115" s="1251"/>
      <c r="ANO115" s="1251"/>
      <c r="ANP115" s="1251"/>
      <c r="ANQ115" s="1251"/>
      <c r="ANR115" s="1251"/>
      <c r="ANS115" s="1251"/>
      <c r="ANT115" s="1251"/>
      <c r="ANU115" s="1251"/>
      <c r="ANV115" s="1251"/>
      <c r="ANW115" s="1251"/>
      <c r="ANX115" s="1251"/>
      <c r="ANY115" s="1251"/>
      <c r="ANZ115" s="1251"/>
      <c r="AOA115" s="1251"/>
      <c r="AOB115" s="1251"/>
      <c r="AOC115" s="1251"/>
      <c r="AOD115" s="1251"/>
      <c r="AOE115" s="1251"/>
      <c r="AOF115" s="1251"/>
      <c r="AOG115" s="1251"/>
      <c r="AOH115" s="1251"/>
      <c r="AOI115" s="1251"/>
      <c r="AOJ115" s="1251"/>
      <c r="AOK115" s="1251"/>
      <c r="AOL115" s="1251"/>
      <c r="AOM115" s="1251"/>
      <c r="AON115" s="1251"/>
      <c r="AOO115" s="1251"/>
      <c r="AOP115" s="1251"/>
      <c r="AOQ115" s="1251"/>
      <c r="AOR115" s="1251"/>
      <c r="AOS115" s="1251"/>
      <c r="AOT115" s="1251"/>
      <c r="AOU115" s="1251"/>
      <c r="AOV115" s="1251"/>
      <c r="AOW115" s="1251"/>
      <c r="AOX115" s="1251"/>
      <c r="AOY115" s="1251"/>
      <c r="AOZ115" s="1251"/>
      <c r="APA115" s="1251"/>
      <c r="APB115" s="1251"/>
      <c r="APC115" s="1251"/>
      <c r="APD115" s="1251"/>
      <c r="APE115" s="1251"/>
      <c r="APF115" s="1251"/>
      <c r="APG115" s="1251"/>
      <c r="APH115" s="1251"/>
      <c r="API115" s="1251"/>
      <c r="APJ115" s="1251"/>
      <c r="APK115" s="1251"/>
      <c r="APL115" s="1251"/>
      <c r="APM115" s="1251"/>
      <c r="APN115" s="1251"/>
      <c r="APO115" s="1251"/>
      <c r="APP115" s="1251"/>
      <c r="APQ115" s="1251"/>
      <c r="APR115" s="1251"/>
      <c r="APS115" s="1251"/>
      <c r="APT115" s="1251"/>
      <c r="APU115" s="1251"/>
      <c r="APV115" s="1251"/>
      <c r="APW115" s="1251"/>
      <c r="APX115" s="1251"/>
      <c r="APY115" s="1251"/>
      <c r="APZ115" s="1251"/>
      <c r="AQA115" s="1251"/>
      <c r="AQB115" s="1251"/>
      <c r="AQC115" s="1251"/>
      <c r="AQD115" s="1251"/>
      <c r="AQE115" s="1251"/>
      <c r="AQF115" s="1251"/>
      <c r="AQG115" s="1251"/>
      <c r="AQH115" s="1251"/>
      <c r="AQI115" s="1251"/>
      <c r="AQJ115" s="1251"/>
      <c r="AQK115" s="1251"/>
      <c r="AQL115" s="1251"/>
      <c r="AQM115" s="1251"/>
      <c r="AQN115" s="1251"/>
      <c r="AQO115" s="1251"/>
      <c r="AQP115" s="1251"/>
      <c r="AQQ115" s="1251"/>
      <c r="AQR115" s="1251"/>
      <c r="AQS115" s="1251"/>
      <c r="AQT115" s="1251"/>
      <c r="AQU115" s="1251"/>
      <c r="AQV115" s="1251"/>
      <c r="AQW115" s="1251"/>
      <c r="AQX115" s="1251"/>
      <c r="AQY115" s="1251"/>
      <c r="AQZ115" s="1251"/>
      <c r="ARA115" s="1251"/>
      <c r="ARB115" s="1251"/>
      <c r="ARC115" s="1251"/>
      <c r="ARD115" s="1251"/>
      <c r="ARE115" s="1251"/>
      <c r="ARF115" s="1251"/>
      <c r="ARG115" s="1251"/>
      <c r="ARH115" s="1251"/>
      <c r="ARI115" s="1251"/>
      <c r="ARJ115" s="1251"/>
      <c r="ARK115" s="1251"/>
      <c r="ARL115" s="1251"/>
      <c r="ARM115" s="1251"/>
      <c r="ARN115" s="1251"/>
      <c r="ARO115" s="1251"/>
      <c r="ARP115" s="1251"/>
      <c r="ARQ115" s="1251"/>
      <c r="ARR115" s="1251"/>
      <c r="ARS115" s="1251"/>
      <c r="ART115" s="1251"/>
      <c r="ARU115" s="1251"/>
      <c r="ARV115" s="1251"/>
      <c r="ARW115" s="1251"/>
      <c r="ARX115" s="1251"/>
      <c r="ARY115" s="1251"/>
      <c r="ARZ115" s="1251"/>
      <c r="ASA115" s="1251"/>
      <c r="ASB115" s="1251"/>
      <c r="ASC115" s="1251"/>
      <c r="ASD115" s="1251"/>
      <c r="ASE115" s="1251"/>
      <c r="ASF115" s="1251"/>
      <c r="ASG115" s="1251"/>
      <c r="ASH115" s="1251"/>
      <c r="ASI115" s="1251"/>
      <c r="ASJ115" s="1251"/>
      <c r="ASK115" s="1251"/>
      <c r="ASL115" s="1251"/>
      <c r="ASM115" s="1251"/>
      <c r="ASN115" s="1251"/>
      <c r="ASO115" s="1251"/>
      <c r="ASP115" s="1251"/>
      <c r="ASQ115" s="1251"/>
      <c r="ASR115" s="1251"/>
      <c r="ASS115" s="1251"/>
      <c r="AST115" s="1251"/>
      <c r="ASU115" s="1251"/>
      <c r="ASV115" s="1251"/>
      <c r="ASW115" s="1251"/>
      <c r="ASX115" s="1251"/>
      <c r="ASY115" s="1251"/>
      <c r="ASZ115" s="1251"/>
      <c r="ATA115" s="1251"/>
      <c r="ATB115" s="1251"/>
      <c r="ATC115" s="1251"/>
      <c r="ATD115" s="1251"/>
      <c r="ATE115" s="1251"/>
      <c r="ATF115" s="1251"/>
      <c r="ATG115" s="1251"/>
      <c r="ATH115" s="1251"/>
      <c r="ATI115" s="1251"/>
      <c r="ATJ115" s="1251"/>
      <c r="ATK115" s="1251"/>
      <c r="ATL115" s="1251"/>
      <c r="ATM115" s="1251"/>
      <c r="ATN115" s="1251"/>
      <c r="ATO115" s="1251"/>
      <c r="ATP115" s="1251"/>
      <c r="ATQ115" s="1251"/>
      <c r="ATR115" s="1251"/>
      <c r="ATS115" s="1251"/>
      <c r="ATT115" s="1251"/>
      <c r="ATU115" s="1251"/>
      <c r="ATV115" s="1251"/>
      <c r="ATW115" s="1251"/>
      <c r="ATX115" s="1251"/>
      <c r="ATY115" s="1251"/>
      <c r="ATZ115" s="1251"/>
      <c r="AUA115" s="1251"/>
      <c r="AUB115" s="1251"/>
      <c r="AUC115" s="1251"/>
      <c r="AUD115" s="1251"/>
      <c r="AUE115" s="1251"/>
      <c r="AUF115" s="1251"/>
      <c r="AUG115" s="1251"/>
      <c r="AUH115" s="1251"/>
      <c r="AUI115" s="1251"/>
      <c r="AUJ115" s="1251"/>
      <c r="AUK115" s="1251"/>
      <c r="AUL115" s="1251"/>
      <c r="AUM115" s="1251"/>
      <c r="AUN115" s="1251"/>
      <c r="AUO115" s="1251"/>
      <c r="AUP115" s="1251"/>
      <c r="AUQ115" s="1251"/>
      <c r="AUR115" s="1251"/>
      <c r="AUS115" s="1251"/>
      <c r="AUT115" s="1251"/>
      <c r="AUU115" s="1251"/>
      <c r="AUV115" s="1251"/>
      <c r="AUW115" s="1251"/>
      <c r="AUX115" s="1251"/>
      <c r="AUY115" s="1251"/>
      <c r="AUZ115" s="1251"/>
      <c r="AVA115" s="1251"/>
      <c r="AVB115" s="1251"/>
      <c r="AVC115" s="1251"/>
      <c r="AVD115" s="1251"/>
      <c r="AVE115" s="1251"/>
      <c r="AVF115" s="1251"/>
      <c r="AVG115" s="1251"/>
      <c r="AVH115" s="1251"/>
      <c r="AVI115" s="1251"/>
      <c r="AVJ115" s="1251"/>
      <c r="AVK115" s="1251"/>
      <c r="AVL115" s="1251"/>
      <c r="AVM115" s="1251"/>
      <c r="AVN115" s="1251"/>
      <c r="AVO115" s="1251"/>
      <c r="AVP115" s="1251"/>
      <c r="AVQ115" s="1251"/>
      <c r="AVR115" s="1251"/>
      <c r="AVS115" s="1251"/>
      <c r="AVT115" s="1251"/>
      <c r="AVU115" s="1251"/>
      <c r="AVV115" s="1251"/>
      <c r="AVW115" s="1251"/>
      <c r="AVX115" s="1251"/>
      <c r="AVY115" s="1251"/>
      <c r="AVZ115" s="1251"/>
      <c r="AWA115" s="1251"/>
      <c r="AWB115" s="1251"/>
      <c r="AWC115" s="1251"/>
      <c r="AWD115" s="1251"/>
      <c r="AWE115" s="1251"/>
      <c r="AWF115" s="1251"/>
      <c r="AWG115" s="1251"/>
      <c r="AWH115" s="1251"/>
      <c r="AWI115" s="1251"/>
      <c r="AWJ115" s="1251"/>
      <c r="AWK115" s="1251"/>
      <c r="AWL115" s="1251"/>
      <c r="AWM115" s="1251"/>
      <c r="AWN115" s="1251"/>
      <c r="AWO115" s="1251"/>
      <c r="AWP115" s="1251"/>
      <c r="AWQ115" s="1251"/>
      <c r="AWR115" s="1251"/>
      <c r="AWS115" s="1251"/>
      <c r="AWT115" s="1251"/>
      <c r="AWU115" s="1251"/>
      <c r="AWV115" s="1251"/>
      <c r="AWW115" s="1251"/>
      <c r="AWX115" s="1251"/>
      <c r="AWY115" s="1251"/>
      <c r="AWZ115" s="1251"/>
      <c r="AXA115" s="1251"/>
      <c r="AXB115" s="1251"/>
      <c r="AXC115" s="1251"/>
      <c r="AXD115" s="1251"/>
      <c r="AXE115" s="1251"/>
      <c r="AXF115" s="1251"/>
      <c r="AXG115" s="1251"/>
      <c r="AXH115" s="1251"/>
      <c r="AXI115" s="1251"/>
      <c r="AXJ115" s="1251"/>
      <c r="AXK115" s="1251"/>
      <c r="AXL115" s="1251"/>
      <c r="AXM115" s="1251"/>
      <c r="AXN115" s="1251"/>
      <c r="AXO115" s="1251"/>
      <c r="AXP115" s="1251"/>
      <c r="AXQ115" s="1251"/>
      <c r="AXR115" s="1251"/>
      <c r="AXS115" s="1251"/>
      <c r="AXT115" s="1251"/>
      <c r="AXU115" s="1251"/>
      <c r="AXV115" s="1251"/>
      <c r="AXW115" s="1251"/>
      <c r="AXX115" s="1251"/>
      <c r="AXY115" s="1251"/>
      <c r="AXZ115" s="1251"/>
      <c r="AYA115" s="1251"/>
      <c r="AYB115" s="1251"/>
      <c r="AYC115" s="1251"/>
      <c r="AYD115" s="1251"/>
      <c r="AYE115" s="1251"/>
      <c r="AYF115" s="1251"/>
      <c r="AYG115" s="1251"/>
      <c r="AYH115" s="1251"/>
      <c r="AYI115" s="1251"/>
      <c r="AYJ115" s="1251"/>
      <c r="AYK115" s="1251"/>
      <c r="AYL115" s="1251"/>
      <c r="AYM115" s="1251"/>
      <c r="AYN115" s="1251"/>
      <c r="AYO115" s="1251"/>
      <c r="AYP115" s="1251"/>
      <c r="AYQ115" s="1251"/>
      <c r="AYR115" s="1251"/>
      <c r="AYS115" s="1251"/>
      <c r="AYT115" s="1251"/>
      <c r="AYU115" s="1251"/>
      <c r="AYV115" s="1251"/>
      <c r="AYW115" s="1251"/>
      <c r="AYX115" s="1251"/>
      <c r="AYY115" s="1251"/>
      <c r="AYZ115" s="1251"/>
      <c r="AZA115" s="1251"/>
      <c r="AZB115" s="1251"/>
      <c r="AZC115" s="1251"/>
      <c r="AZD115" s="1251"/>
      <c r="AZE115" s="1251"/>
      <c r="AZF115" s="1251"/>
      <c r="AZG115" s="1251"/>
      <c r="AZH115" s="1251"/>
      <c r="AZI115" s="1251"/>
      <c r="AZJ115" s="1251"/>
      <c r="AZK115" s="1251"/>
      <c r="AZL115" s="1251"/>
      <c r="AZM115" s="1251"/>
      <c r="AZN115" s="1251"/>
      <c r="AZO115" s="1251"/>
      <c r="AZP115" s="1251"/>
      <c r="AZQ115" s="1251"/>
      <c r="AZR115" s="1251"/>
      <c r="AZS115" s="1251"/>
      <c r="AZT115" s="1251"/>
      <c r="AZU115" s="1251"/>
      <c r="AZV115" s="1251"/>
      <c r="AZW115" s="1251"/>
      <c r="AZX115" s="1251"/>
      <c r="AZY115" s="1251"/>
      <c r="AZZ115" s="1251"/>
      <c r="BAA115" s="1251"/>
      <c r="BAB115" s="1251"/>
      <c r="BAC115" s="1251"/>
      <c r="BAD115" s="1251"/>
      <c r="BAE115" s="1251"/>
      <c r="BAF115" s="1251"/>
      <c r="BAG115" s="1251"/>
      <c r="BAH115" s="1251"/>
      <c r="BAI115" s="1251"/>
      <c r="BAJ115" s="1251"/>
      <c r="BAK115" s="1251"/>
      <c r="BAL115" s="1251"/>
      <c r="BAM115" s="1251"/>
      <c r="BAN115" s="1251"/>
      <c r="BAO115" s="1251"/>
      <c r="BAP115" s="1251"/>
      <c r="BAQ115" s="1251"/>
      <c r="BAR115" s="1251"/>
      <c r="BAS115" s="1251"/>
      <c r="BAT115" s="1251"/>
      <c r="BAU115" s="1251"/>
      <c r="BAV115" s="1251"/>
      <c r="BAW115" s="1251"/>
      <c r="BAX115" s="1251"/>
      <c r="BAY115" s="1251"/>
      <c r="BAZ115" s="1251"/>
      <c r="BBA115" s="1251"/>
      <c r="BBB115" s="1251"/>
      <c r="BBC115" s="1251"/>
      <c r="BBD115" s="1251"/>
      <c r="BBE115" s="1251"/>
      <c r="BBF115" s="1251"/>
      <c r="BBG115" s="1251"/>
      <c r="BBH115" s="1251"/>
      <c r="BBI115" s="1251"/>
      <c r="BBJ115" s="1251"/>
      <c r="BBK115" s="1251"/>
      <c r="BBL115" s="1251"/>
      <c r="BBM115" s="1251"/>
      <c r="BBN115" s="1251"/>
      <c r="BBO115" s="1251"/>
      <c r="BBP115" s="1251"/>
      <c r="BBQ115" s="1251"/>
      <c r="BBR115" s="1251"/>
      <c r="BBS115" s="1251"/>
      <c r="BBT115" s="1251"/>
      <c r="BBU115" s="1251"/>
      <c r="BBV115" s="1251"/>
      <c r="BBW115" s="1251"/>
      <c r="BBX115" s="1251"/>
      <c r="BBY115" s="1251"/>
      <c r="BBZ115" s="1251"/>
      <c r="BCA115" s="1251"/>
      <c r="BCB115" s="1251"/>
      <c r="BCC115" s="1251"/>
      <c r="BCD115" s="1251"/>
      <c r="BCE115" s="1251"/>
      <c r="BCF115" s="1251"/>
      <c r="BCG115" s="1251"/>
      <c r="BCH115" s="1251"/>
      <c r="BCI115" s="1251"/>
      <c r="BCJ115" s="1251"/>
      <c r="BCK115" s="1251"/>
      <c r="BCL115" s="1251"/>
      <c r="BCM115" s="1251"/>
      <c r="BCN115" s="1251"/>
      <c r="BCO115" s="1251"/>
      <c r="BCP115" s="1251"/>
      <c r="BCQ115" s="1251"/>
      <c r="BCR115" s="1251"/>
      <c r="BCS115" s="1251"/>
      <c r="BCT115" s="1251"/>
      <c r="BCU115" s="1251"/>
      <c r="BCV115" s="1251"/>
      <c r="BCW115" s="1251"/>
      <c r="BCX115" s="1251"/>
      <c r="BCY115" s="1251"/>
      <c r="BCZ115" s="1251"/>
      <c r="BDA115" s="1251"/>
      <c r="BDB115" s="1251"/>
      <c r="BDC115" s="1251"/>
      <c r="BDD115" s="1251"/>
      <c r="BDE115" s="1251"/>
      <c r="BDF115" s="1251"/>
      <c r="BDG115" s="1251"/>
      <c r="BDH115" s="1251"/>
      <c r="BDI115" s="1251"/>
      <c r="BDJ115" s="1251"/>
      <c r="BDK115" s="1251"/>
      <c r="BDL115" s="1251"/>
      <c r="BDM115" s="1251"/>
      <c r="BDN115" s="1251"/>
      <c r="BDO115" s="1251"/>
      <c r="BDP115" s="1251"/>
      <c r="BDQ115" s="1251"/>
      <c r="BDR115" s="1251"/>
      <c r="BDS115" s="1251"/>
      <c r="BDT115" s="1251"/>
      <c r="BDU115" s="1251"/>
      <c r="BDV115" s="1251"/>
      <c r="BDW115" s="1251"/>
      <c r="BDX115" s="1251"/>
      <c r="BDY115" s="1251"/>
      <c r="BDZ115" s="1251"/>
      <c r="BEA115" s="1251"/>
      <c r="BEB115" s="1251"/>
      <c r="BEC115" s="1251"/>
      <c r="BED115" s="1251"/>
      <c r="BEE115" s="1251"/>
      <c r="BEF115" s="1251"/>
      <c r="BEG115" s="1251"/>
      <c r="BEH115" s="1251"/>
      <c r="BEI115" s="1251"/>
      <c r="BEJ115" s="1251"/>
      <c r="BEK115" s="1251"/>
      <c r="BEL115" s="1251"/>
      <c r="BEM115" s="1251"/>
      <c r="BEN115" s="1251"/>
      <c r="BEO115" s="1251"/>
      <c r="BEP115" s="1251"/>
      <c r="BEQ115" s="1251"/>
      <c r="BER115" s="1251"/>
      <c r="BES115" s="1251"/>
      <c r="BET115" s="1251"/>
      <c r="BEU115" s="1251"/>
      <c r="BEV115" s="1251"/>
      <c r="BEW115" s="1251"/>
      <c r="BEX115" s="1251"/>
      <c r="BEY115" s="1251"/>
      <c r="BEZ115" s="1251"/>
      <c r="BFA115" s="1251"/>
      <c r="BFB115" s="1251"/>
      <c r="BFC115" s="1251"/>
      <c r="BFD115" s="1251"/>
      <c r="BFE115" s="1251"/>
      <c r="BFF115" s="1251"/>
      <c r="BFG115" s="1251"/>
      <c r="BFH115" s="1251"/>
      <c r="BFI115" s="1251"/>
      <c r="BFJ115" s="1251"/>
      <c r="BFK115" s="1251"/>
      <c r="BFL115" s="1251"/>
      <c r="BFM115" s="1251"/>
      <c r="BFN115" s="1251"/>
      <c r="BFO115" s="1251"/>
      <c r="BFP115" s="1251"/>
      <c r="BFQ115" s="1251"/>
      <c r="BFR115" s="1251"/>
      <c r="BFS115" s="1251"/>
      <c r="BFT115" s="1251"/>
      <c r="BFU115" s="1251"/>
      <c r="BFV115" s="1251"/>
      <c r="BFW115" s="1251"/>
      <c r="BFX115" s="1251"/>
      <c r="BFY115" s="1251"/>
      <c r="BFZ115" s="1251"/>
      <c r="BGA115" s="1251"/>
      <c r="BGB115" s="1251"/>
      <c r="BGC115" s="1251"/>
      <c r="BGD115" s="1251"/>
      <c r="BGE115" s="1251"/>
      <c r="BGF115" s="1251"/>
      <c r="BGG115" s="1251"/>
      <c r="BGH115" s="1251"/>
      <c r="BGI115" s="1251"/>
      <c r="BGJ115" s="1251"/>
      <c r="BGK115" s="1251"/>
      <c r="BGL115" s="1251"/>
      <c r="BGM115" s="1251"/>
      <c r="BGN115" s="1251"/>
      <c r="BGO115" s="1251"/>
      <c r="BGP115" s="1251"/>
      <c r="BGQ115" s="1251"/>
      <c r="BGR115" s="1251"/>
      <c r="BGS115" s="1251"/>
      <c r="BGT115" s="1251"/>
      <c r="BGU115" s="1251"/>
      <c r="BGV115" s="1251"/>
      <c r="BGW115" s="1251"/>
      <c r="BGX115" s="1251"/>
      <c r="BGY115" s="1251"/>
      <c r="BGZ115" s="1251"/>
      <c r="BHA115" s="1251"/>
      <c r="BHB115" s="1251"/>
      <c r="BHC115" s="1251"/>
      <c r="BHD115" s="1251"/>
      <c r="BHE115" s="1251"/>
      <c r="BHF115" s="1251"/>
      <c r="BHG115" s="1251"/>
      <c r="BHH115" s="1251"/>
      <c r="BHI115" s="1251"/>
      <c r="BHJ115" s="1251"/>
      <c r="BHK115" s="1251"/>
      <c r="BHL115" s="1251"/>
      <c r="BHM115" s="1251"/>
      <c r="BHN115" s="1251"/>
      <c r="BHO115" s="1251"/>
      <c r="BHP115" s="1251"/>
      <c r="BHQ115" s="1251"/>
      <c r="BHR115" s="1251"/>
      <c r="BHS115" s="1251"/>
      <c r="BHT115" s="1251"/>
      <c r="BHU115" s="1251"/>
      <c r="BHV115" s="1251"/>
      <c r="BHW115" s="1251"/>
      <c r="BHX115" s="1251"/>
      <c r="BHY115" s="1251"/>
      <c r="BHZ115" s="1251"/>
      <c r="BIA115" s="1251"/>
      <c r="BIB115" s="1251"/>
      <c r="BIC115" s="1251"/>
      <c r="BID115" s="1251"/>
      <c r="BIE115" s="1251"/>
      <c r="BIF115" s="1251"/>
      <c r="BIG115" s="1251"/>
      <c r="BIH115" s="1251"/>
      <c r="BII115" s="1251"/>
      <c r="BIJ115" s="1251"/>
      <c r="BIK115" s="1251"/>
      <c r="BIL115" s="1251"/>
      <c r="BIM115" s="1251"/>
      <c r="BIN115" s="1251"/>
      <c r="BIO115" s="1251"/>
      <c r="BIP115" s="1251"/>
      <c r="BIQ115" s="1251"/>
      <c r="BIR115" s="1251"/>
      <c r="BIS115" s="1251"/>
      <c r="BIT115" s="1251"/>
      <c r="BIU115" s="1251"/>
      <c r="BIV115" s="1251"/>
      <c r="BIW115" s="1251"/>
      <c r="BIX115" s="1251"/>
      <c r="BIY115" s="1251"/>
      <c r="BIZ115" s="1251"/>
      <c r="BJA115" s="1251"/>
      <c r="BJB115" s="1251"/>
      <c r="BJC115" s="1251"/>
      <c r="BJD115" s="1251"/>
      <c r="BJE115" s="1251"/>
      <c r="BJF115" s="1251"/>
      <c r="BJG115" s="1251"/>
      <c r="BJH115" s="1251"/>
      <c r="BJI115" s="1251"/>
      <c r="BJJ115" s="1251"/>
      <c r="BJK115" s="1251"/>
      <c r="BJL115" s="1251"/>
      <c r="BJM115" s="1251"/>
      <c r="BJN115" s="1251"/>
      <c r="BJO115" s="1251"/>
      <c r="BJP115" s="1251"/>
      <c r="BJQ115" s="1251"/>
      <c r="BJR115" s="1251"/>
      <c r="BJS115" s="1251"/>
      <c r="BJT115" s="1251"/>
      <c r="BJU115" s="1251"/>
      <c r="BJV115" s="1251"/>
      <c r="BJW115" s="1251"/>
      <c r="BJX115" s="1251"/>
      <c r="BJY115" s="1251"/>
      <c r="BJZ115" s="1251"/>
      <c r="BKA115" s="1251"/>
      <c r="BKB115" s="1251"/>
      <c r="BKC115" s="1251"/>
      <c r="BKD115" s="1251"/>
      <c r="BKE115" s="1251"/>
      <c r="BKF115" s="1251"/>
      <c r="BKG115" s="1251"/>
      <c r="BKH115" s="1251"/>
      <c r="BKI115" s="1251"/>
      <c r="BKJ115" s="1251"/>
      <c r="BKK115" s="1251"/>
      <c r="BKL115" s="1251"/>
      <c r="BKM115" s="1251"/>
      <c r="BKN115" s="1251"/>
      <c r="BKO115" s="1251"/>
      <c r="BKP115" s="1251"/>
      <c r="BKQ115" s="1251"/>
      <c r="BKR115" s="1251"/>
      <c r="BKS115" s="1251"/>
      <c r="BKT115" s="1251"/>
      <c r="BKU115" s="1251"/>
      <c r="BKV115" s="1251"/>
      <c r="BKW115" s="1251"/>
      <c r="BKX115" s="1251"/>
      <c r="BKY115" s="1251"/>
      <c r="BKZ115" s="1251"/>
      <c r="BLA115" s="1251"/>
      <c r="BLB115" s="1251"/>
      <c r="BLC115" s="1251"/>
      <c r="BLD115" s="1251"/>
      <c r="BLE115" s="1251"/>
      <c r="BLF115" s="1251"/>
      <c r="BLG115" s="1251"/>
      <c r="BLH115" s="1251"/>
      <c r="BLI115" s="1251"/>
      <c r="BLJ115" s="1251"/>
      <c r="BLK115" s="1251"/>
      <c r="BLL115" s="1251"/>
      <c r="BLM115" s="1251"/>
      <c r="BLN115" s="1251"/>
      <c r="BLO115" s="1251"/>
      <c r="BLP115" s="1251"/>
      <c r="BLQ115" s="1251"/>
      <c r="BLR115" s="1251"/>
      <c r="BLS115" s="1251"/>
      <c r="BLT115" s="1251"/>
      <c r="BLU115" s="1251"/>
      <c r="BLV115" s="1251"/>
      <c r="BLW115" s="1251"/>
      <c r="BLX115" s="1251"/>
      <c r="BLY115" s="1251"/>
      <c r="BLZ115" s="1251"/>
      <c r="BMA115" s="1251"/>
      <c r="BMB115" s="1251"/>
      <c r="BMC115" s="1251"/>
      <c r="BMD115" s="1251"/>
      <c r="BME115" s="1251"/>
      <c r="BMF115" s="1251"/>
      <c r="BMG115" s="1251"/>
      <c r="BMH115" s="1251"/>
      <c r="BMI115" s="1251"/>
      <c r="BMJ115" s="1251"/>
      <c r="BMK115" s="1251"/>
      <c r="BML115" s="1251"/>
      <c r="BMM115" s="1251"/>
      <c r="BMN115" s="1251"/>
      <c r="BMO115" s="1251"/>
      <c r="BMP115" s="1251"/>
      <c r="BMQ115" s="1251"/>
      <c r="BMR115" s="1251"/>
      <c r="BMS115" s="1251"/>
      <c r="BMT115" s="1251"/>
      <c r="BMU115" s="1251"/>
      <c r="BMV115" s="1251"/>
      <c r="BMW115" s="1251"/>
      <c r="BMX115" s="1251"/>
      <c r="BMY115" s="1251"/>
      <c r="BMZ115" s="1251"/>
      <c r="BNA115" s="1251"/>
      <c r="BNB115" s="1251"/>
      <c r="BNC115" s="1251"/>
      <c r="BND115" s="1251"/>
      <c r="BNE115" s="1251"/>
      <c r="BNF115" s="1251"/>
      <c r="BNG115" s="1251"/>
      <c r="BNH115" s="1251"/>
      <c r="BNI115" s="1251"/>
      <c r="BNJ115" s="1251"/>
      <c r="BNK115" s="1251"/>
      <c r="BNL115" s="1251"/>
      <c r="BNM115" s="1251"/>
      <c r="BNN115" s="1251"/>
      <c r="BNO115" s="1251"/>
      <c r="BNP115" s="1251"/>
      <c r="BNQ115" s="1251"/>
      <c r="BNR115" s="1251"/>
      <c r="BNS115" s="1251"/>
      <c r="BNT115" s="1251"/>
      <c r="BNU115" s="1251"/>
      <c r="BNV115" s="1251"/>
      <c r="BNW115" s="1251"/>
      <c r="BNX115" s="1251"/>
      <c r="BNY115" s="1251"/>
      <c r="BNZ115" s="1251"/>
      <c r="BOA115" s="1251"/>
      <c r="BOB115" s="1251"/>
      <c r="BOC115" s="1251"/>
      <c r="BOD115" s="1251"/>
      <c r="BOE115" s="1251"/>
      <c r="BOF115" s="1251"/>
      <c r="BOG115" s="1251"/>
      <c r="BOH115" s="1251"/>
      <c r="BOI115" s="1251"/>
      <c r="BOJ115" s="1251"/>
      <c r="BOK115" s="1251"/>
      <c r="BOL115" s="1251"/>
      <c r="BOM115" s="1251"/>
      <c r="BON115" s="1251"/>
      <c r="BOO115" s="1251"/>
      <c r="BOP115" s="1251"/>
      <c r="BOQ115" s="1251"/>
      <c r="BOR115" s="1251"/>
      <c r="BOS115" s="1251"/>
      <c r="BOT115" s="1251"/>
      <c r="BOU115" s="1251"/>
      <c r="BOV115" s="1251"/>
      <c r="BOW115" s="1251"/>
      <c r="BOX115" s="1251"/>
      <c r="BOY115" s="1251"/>
      <c r="BOZ115" s="1251"/>
      <c r="BPA115" s="1251"/>
      <c r="BPB115" s="1251"/>
      <c r="BPC115" s="1251"/>
      <c r="BPD115" s="1251"/>
      <c r="BPE115" s="1251"/>
      <c r="BPF115" s="1251"/>
      <c r="BPG115" s="1251"/>
      <c r="BPH115" s="1251"/>
      <c r="BPI115" s="1251"/>
      <c r="BPJ115" s="1251"/>
      <c r="BPK115" s="1251"/>
      <c r="BPL115" s="1251"/>
      <c r="BPM115" s="1251"/>
      <c r="BPN115" s="1251"/>
      <c r="BPO115" s="1251"/>
      <c r="BPP115" s="1251"/>
      <c r="BPQ115" s="1251"/>
      <c r="BPR115" s="1251"/>
      <c r="BPS115" s="1251"/>
      <c r="BPT115" s="1251"/>
      <c r="BPU115" s="1251"/>
      <c r="BPV115" s="1251"/>
      <c r="BPW115" s="1251"/>
      <c r="BPX115" s="1251"/>
      <c r="BPY115" s="1251"/>
      <c r="BPZ115" s="1251"/>
      <c r="BQA115" s="1251"/>
      <c r="BQB115" s="1251"/>
      <c r="BQC115" s="1251"/>
      <c r="BQD115" s="1251"/>
      <c r="BQE115" s="1251"/>
      <c r="BQF115" s="1251"/>
      <c r="BQG115" s="1251"/>
      <c r="BQH115" s="1251"/>
      <c r="BQI115" s="1251"/>
      <c r="BQJ115" s="1251"/>
      <c r="BQK115" s="1251"/>
      <c r="BQL115" s="1251"/>
      <c r="BQM115" s="1251"/>
      <c r="BQN115" s="1251"/>
      <c r="BQO115" s="1251"/>
      <c r="BQP115" s="1251"/>
      <c r="BQQ115" s="1251"/>
      <c r="BQR115" s="1251"/>
      <c r="BQS115" s="1251"/>
      <c r="BQT115" s="1251"/>
      <c r="BQU115" s="1251"/>
      <c r="BQV115" s="1251"/>
      <c r="BQW115" s="1251"/>
      <c r="BQX115" s="1251"/>
      <c r="BQY115" s="1251"/>
      <c r="BQZ115" s="1251"/>
      <c r="BRA115" s="1251"/>
      <c r="BRB115" s="1251"/>
      <c r="BRC115" s="1251"/>
      <c r="BRD115" s="1251"/>
      <c r="BRE115" s="1251"/>
      <c r="BRF115" s="1251"/>
      <c r="BRG115" s="1251"/>
      <c r="BRH115" s="1251"/>
      <c r="BRI115" s="1251"/>
      <c r="BRJ115" s="1251"/>
      <c r="BRK115" s="1251"/>
      <c r="BRL115" s="1251"/>
      <c r="BRM115" s="1251"/>
      <c r="BRN115" s="1251"/>
      <c r="BRO115" s="1251"/>
      <c r="BRP115" s="1251"/>
      <c r="BRQ115" s="1251"/>
      <c r="BRR115" s="1251"/>
      <c r="BRS115" s="1251"/>
      <c r="BRT115" s="1251"/>
      <c r="BRU115" s="1251"/>
      <c r="BRV115" s="1251"/>
      <c r="BRW115" s="1251"/>
      <c r="BRX115" s="1251"/>
      <c r="BRY115" s="1251"/>
      <c r="BRZ115" s="1251"/>
      <c r="BSA115" s="1251"/>
      <c r="BSB115" s="1251"/>
      <c r="BSC115" s="1251"/>
      <c r="BSD115" s="1251"/>
      <c r="BSE115" s="1251"/>
      <c r="BSF115" s="1251"/>
      <c r="BSG115" s="1251"/>
      <c r="BSH115" s="1251"/>
      <c r="BSI115" s="1251"/>
      <c r="BSJ115" s="1251"/>
      <c r="BSK115" s="1251"/>
      <c r="BSL115" s="1251"/>
      <c r="BSM115" s="1251"/>
      <c r="BSN115" s="1251"/>
      <c r="BSO115" s="1251"/>
      <c r="BSP115" s="1251"/>
      <c r="BSQ115" s="1251"/>
      <c r="BSR115" s="1251"/>
      <c r="BSS115" s="1251"/>
      <c r="BST115" s="1251"/>
      <c r="BSU115" s="1251"/>
      <c r="BSV115" s="1251"/>
      <c r="BSW115" s="1251"/>
      <c r="BSX115" s="1251"/>
      <c r="BSY115" s="1251"/>
      <c r="BSZ115" s="1251"/>
      <c r="BTA115" s="1251"/>
      <c r="BTB115" s="1251"/>
      <c r="BTC115" s="1251"/>
      <c r="BTD115" s="1251"/>
      <c r="BTE115" s="1251"/>
      <c r="BTF115" s="1251"/>
      <c r="BTG115" s="1251"/>
      <c r="BTH115" s="1251"/>
      <c r="BTI115" s="1251"/>
    </row>
    <row r="116" spans="1:1881" s="1261" customFormat="1" ht="104.25" hidden="1" customHeight="1" thickBot="1" x14ac:dyDescent="0.35">
      <c r="A116" s="1274">
        <v>107</v>
      </c>
      <c r="B116" s="1272" t="s">
        <v>567</v>
      </c>
      <c r="C116" s="1275" t="s">
        <v>1280</v>
      </c>
      <c r="D116" s="659" t="s">
        <v>1282</v>
      </c>
      <c r="E116" s="1249" t="e">
        <f>HLOOKUP($D$2,'2020 Data(H)'!$C$1:$CZ$426,65,FALSE)</f>
        <v>#N/A</v>
      </c>
      <c r="F116" s="1263">
        <v>0</v>
      </c>
      <c r="G116" s="727"/>
      <c r="H116" s="17"/>
      <c r="I116" s="760"/>
      <c r="J116" s="1252"/>
      <c r="K116" s="1251"/>
      <c r="L116" s="701"/>
      <c r="M116" s="1251"/>
      <c r="N116" s="1253"/>
      <c r="O116" s="1251"/>
      <c r="P116" s="1251"/>
      <c r="Q116" s="1251"/>
      <c r="R116" s="1251"/>
      <c r="S116" s="1251"/>
      <c r="T116" s="1251"/>
      <c r="U116" s="1251"/>
      <c r="V116" s="1251"/>
      <c r="W116" s="1251"/>
      <c r="X116" s="1251"/>
      <c r="Y116" s="1251"/>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274"/>
      <c r="AS116" s="1251"/>
      <c r="AT116" s="1251"/>
      <c r="AU116" s="1251"/>
      <c r="AV116" s="1251"/>
      <c r="AW116" s="1251"/>
      <c r="AX116" s="1251"/>
      <c r="AY116" s="1251"/>
      <c r="AZ116" s="1251"/>
      <c r="BA116" s="1251"/>
      <c r="BB116" s="1251"/>
      <c r="BC116" s="1251"/>
      <c r="BD116" s="1251"/>
      <c r="BE116" s="1251"/>
      <c r="BF116" s="1251"/>
      <c r="BG116" s="1251"/>
      <c r="BH116" s="1251"/>
      <c r="BI116" s="1251"/>
      <c r="BJ116" s="1251"/>
      <c r="BK116" s="1251"/>
      <c r="BL116" s="1251"/>
      <c r="BM116" s="1251"/>
      <c r="BN116" s="1251"/>
      <c r="BO116" s="1251"/>
      <c r="BP116" s="1251"/>
      <c r="BQ116" s="1251"/>
      <c r="BR116" s="1251"/>
      <c r="BS116" s="1251"/>
      <c r="BT116" s="1251"/>
      <c r="BU116" s="1251"/>
      <c r="BV116" s="1251"/>
      <c r="BW116" s="1251"/>
      <c r="BX116" s="1251"/>
      <c r="BY116" s="1251"/>
      <c r="BZ116" s="1251"/>
      <c r="CA116" s="1251"/>
      <c r="CB116" s="1251"/>
      <c r="CC116" s="1251"/>
      <c r="CD116" s="1251"/>
      <c r="CE116" s="1251"/>
      <c r="CF116" s="1251"/>
      <c r="CG116" s="1251"/>
      <c r="CH116" s="1251"/>
      <c r="CI116" s="1251"/>
      <c r="CJ116" s="1251"/>
      <c r="CK116" s="1251"/>
      <c r="CL116" s="1251"/>
      <c r="CM116" s="1251"/>
      <c r="CN116" s="1251"/>
      <c r="CO116" s="1251"/>
      <c r="CP116" s="1251"/>
      <c r="CQ116" s="1251"/>
      <c r="CR116" s="1251"/>
      <c r="CS116" s="1251"/>
      <c r="CT116" s="1251"/>
      <c r="CU116" s="1251"/>
      <c r="CV116" s="1251"/>
      <c r="CW116" s="1251"/>
      <c r="CX116" s="1251"/>
      <c r="CY116" s="1251"/>
      <c r="CZ116" s="1251"/>
      <c r="DA116" s="1251"/>
      <c r="DB116" s="1251"/>
      <c r="DC116" s="1251"/>
      <c r="DD116" s="1251"/>
      <c r="DE116" s="1251"/>
      <c r="DF116" s="1251"/>
      <c r="DG116" s="1251"/>
      <c r="DH116" s="1251"/>
      <c r="DI116" s="1251"/>
      <c r="DJ116" s="1251"/>
      <c r="DK116" s="1251"/>
      <c r="DL116" s="1251"/>
      <c r="DM116" s="1251"/>
      <c r="DN116" s="1251"/>
      <c r="DO116" s="1251"/>
      <c r="DP116" s="1251"/>
      <c r="DQ116" s="1251"/>
      <c r="DR116" s="1251"/>
      <c r="DS116" s="1251"/>
      <c r="DT116" s="1251"/>
      <c r="DU116" s="1251"/>
      <c r="DV116" s="1251"/>
      <c r="DW116" s="1251"/>
      <c r="DX116" s="1251"/>
      <c r="DY116" s="1251"/>
      <c r="DZ116" s="1251"/>
      <c r="EA116" s="1251"/>
      <c r="EB116" s="1251"/>
      <c r="EC116" s="1251"/>
      <c r="ED116" s="1251"/>
      <c r="EE116" s="1251"/>
      <c r="EF116" s="1251"/>
      <c r="EG116" s="1251"/>
      <c r="EH116" s="1251"/>
      <c r="EI116" s="1251"/>
      <c r="EJ116" s="1251"/>
      <c r="EK116" s="1251"/>
      <c r="EL116" s="1251"/>
      <c r="EM116" s="1251"/>
      <c r="EN116" s="1251"/>
      <c r="EO116" s="1251"/>
      <c r="EP116" s="1251"/>
      <c r="EQ116" s="1251"/>
      <c r="ER116" s="1251"/>
      <c r="ES116" s="1251"/>
      <c r="ET116" s="1251"/>
      <c r="EU116" s="1251"/>
      <c r="EV116" s="1251"/>
      <c r="EW116" s="1251"/>
      <c r="EX116" s="1251"/>
      <c r="EY116" s="1251"/>
      <c r="EZ116" s="1251"/>
      <c r="FA116" s="1251"/>
      <c r="FB116" s="1251"/>
      <c r="FC116" s="1251"/>
      <c r="FD116" s="1251"/>
      <c r="FE116" s="1251"/>
      <c r="FF116" s="1251"/>
      <c r="FG116" s="1251"/>
      <c r="FH116" s="1251"/>
      <c r="FI116" s="1251"/>
      <c r="FJ116" s="1251"/>
      <c r="FK116" s="1251"/>
      <c r="FL116" s="1251"/>
      <c r="FM116" s="1251"/>
      <c r="FN116" s="1251"/>
      <c r="FO116" s="1251"/>
      <c r="FP116" s="1251"/>
      <c r="FQ116" s="1251"/>
      <c r="FR116" s="1251"/>
      <c r="FS116" s="1251"/>
      <c r="FT116" s="1251"/>
      <c r="FU116" s="1251"/>
      <c r="FV116" s="1251"/>
      <c r="FW116" s="1251"/>
      <c r="FX116" s="1251"/>
      <c r="FY116" s="1251"/>
      <c r="FZ116" s="1251"/>
      <c r="GA116" s="1251"/>
      <c r="GB116" s="1251"/>
      <c r="GC116" s="1251"/>
      <c r="GD116" s="1251"/>
      <c r="GE116" s="1251"/>
      <c r="GF116" s="1251"/>
      <c r="GG116" s="1251"/>
      <c r="GH116" s="1251"/>
      <c r="GI116" s="1251"/>
      <c r="GJ116" s="1251"/>
      <c r="GK116" s="1251"/>
      <c r="GL116" s="1251"/>
      <c r="GM116" s="1251"/>
      <c r="GN116" s="1251"/>
      <c r="GO116" s="1251"/>
      <c r="GP116" s="1251"/>
      <c r="GQ116" s="1251"/>
      <c r="GR116" s="1251"/>
      <c r="GS116" s="1251"/>
      <c r="GT116" s="1251"/>
      <c r="GU116" s="1251"/>
      <c r="GV116" s="1251"/>
      <c r="GW116" s="1251"/>
      <c r="GX116" s="1251"/>
      <c r="GY116" s="1251"/>
      <c r="GZ116" s="1251"/>
      <c r="HA116" s="1251"/>
      <c r="HB116" s="1251"/>
      <c r="HC116" s="1251"/>
      <c r="HD116" s="1251"/>
      <c r="HE116" s="1251"/>
      <c r="HF116" s="1251"/>
      <c r="HG116" s="1251"/>
      <c r="HH116" s="1251"/>
      <c r="HI116" s="1251"/>
      <c r="HJ116" s="1251"/>
      <c r="HK116" s="1251"/>
      <c r="HL116" s="1251"/>
      <c r="HM116" s="1251"/>
      <c r="HN116" s="1251"/>
      <c r="HO116" s="1251"/>
      <c r="HP116" s="1251"/>
      <c r="HQ116" s="1251"/>
      <c r="HR116" s="1251"/>
      <c r="HS116" s="1251"/>
      <c r="HT116" s="1251"/>
      <c r="HU116" s="1251"/>
      <c r="HV116" s="1251"/>
      <c r="HW116" s="1251"/>
      <c r="HX116" s="1251"/>
      <c r="HY116" s="1251"/>
      <c r="HZ116" s="1251"/>
      <c r="IA116" s="1251"/>
      <c r="IB116" s="1251"/>
      <c r="IC116" s="1251"/>
      <c r="ID116" s="1251"/>
      <c r="IE116" s="1251"/>
      <c r="IF116" s="1251"/>
      <c r="IG116" s="1251"/>
      <c r="IH116" s="1251"/>
      <c r="II116" s="1251"/>
      <c r="IJ116" s="1251"/>
      <c r="IK116" s="1251"/>
      <c r="IL116" s="1251"/>
      <c r="IM116" s="1251"/>
      <c r="IN116" s="1251"/>
      <c r="IO116" s="1251"/>
      <c r="IP116" s="1251"/>
      <c r="IQ116" s="1251"/>
      <c r="IR116" s="1251"/>
      <c r="IS116" s="1251"/>
      <c r="IT116" s="1251"/>
      <c r="IU116" s="1251"/>
      <c r="IV116" s="1251"/>
      <c r="IW116" s="1251"/>
      <c r="IX116" s="1251"/>
      <c r="IY116" s="1251"/>
      <c r="IZ116" s="1251"/>
      <c r="JA116" s="1251"/>
      <c r="JB116" s="1251"/>
      <c r="JC116" s="1251"/>
      <c r="JD116" s="1251"/>
      <c r="JE116" s="1251"/>
      <c r="JF116" s="1251"/>
      <c r="JG116" s="1251"/>
      <c r="JH116" s="1251"/>
      <c r="JI116" s="1251"/>
      <c r="JJ116" s="1251"/>
      <c r="JK116" s="1251"/>
      <c r="JL116" s="1251"/>
      <c r="JM116" s="1251"/>
      <c r="JN116" s="1251"/>
      <c r="JO116" s="1251"/>
      <c r="JP116" s="1251"/>
      <c r="JQ116" s="1251"/>
      <c r="JR116" s="1251"/>
      <c r="JS116" s="1251"/>
      <c r="JT116" s="1251"/>
      <c r="JU116" s="1251"/>
      <c r="JV116" s="1251"/>
      <c r="JW116" s="1251"/>
      <c r="JX116" s="1251"/>
      <c r="JY116" s="1251"/>
      <c r="JZ116" s="1251"/>
      <c r="KA116" s="1251"/>
      <c r="KB116" s="1251"/>
      <c r="KC116" s="1251"/>
      <c r="KD116" s="1251"/>
      <c r="KE116" s="1251"/>
      <c r="KF116" s="1251"/>
      <c r="KG116" s="1251"/>
      <c r="KH116" s="1251"/>
      <c r="KI116" s="1251"/>
      <c r="KJ116" s="1251"/>
      <c r="KK116" s="1251"/>
      <c r="KL116" s="1251"/>
      <c r="KM116" s="1251"/>
      <c r="KN116" s="1251"/>
      <c r="KO116" s="1251"/>
      <c r="KP116" s="1251"/>
      <c r="KQ116" s="1251"/>
      <c r="KR116" s="1251"/>
      <c r="KS116" s="1251"/>
      <c r="KT116" s="1251"/>
      <c r="KU116" s="1251"/>
      <c r="KV116" s="1251"/>
      <c r="KW116" s="1251"/>
      <c r="KX116" s="1251"/>
      <c r="KY116" s="1251"/>
      <c r="KZ116" s="1251"/>
      <c r="LA116" s="1251"/>
      <c r="LB116" s="1251"/>
      <c r="LC116" s="1251"/>
      <c r="LD116" s="1251"/>
      <c r="LE116" s="1251"/>
      <c r="LF116" s="1251"/>
      <c r="LG116" s="1251"/>
      <c r="LH116" s="1251"/>
      <c r="LI116" s="1251"/>
      <c r="LJ116" s="1251"/>
      <c r="LK116" s="1251"/>
      <c r="LL116" s="1251"/>
      <c r="LM116" s="1251"/>
      <c r="LN116" s="1251"/>
      <c r="LO116" s="1251"/>
      <c r="LP116" s="1251"/>
      <c r="LQ116" s="1251"/>
      <c r="LR116" s="1251"/>
      <c r="LS116" s="1251"/>
      <c r="LT116" s="1251"/>
      <c r="LU116" s="1251"/>
      <c r="LV116" s="1251"/>
      <c r="LW116" s="1251"/>
      <c r="LX116" s="1251"/>
      <c r="LY116" s="1251"/>
      <c r="LZ116" s="1251"/>
      <c r="MA116" s="1251"/>
      <c r="MB116" s="1251"/>
      <c r="MC116" s="1251"/>
      <c r="MD116" s="1251"/>
      <c r="ME116" s="1251"/>
      <c r="MF116" s="1251"/>
      <c r="MG116" s="1251"/>
      <c r="MH116" s="1251"/>
      <c r="MI116" s="1251"/>
      <c r="MJ116" s="1251"/>
      <c r="MK116" s="1251"/>
      <c r="ML116" s="1251"/>
      <c r="MM116" s="1251"/>
      <c r="MN116" s="1251"/>
      <c r="MO116" s="1251"/>
      <c r="MP116" s="1251"/>
      <c r="MQ116" s="1251"/>
      <c r="MR116" s="1251"/>
      <c r="MS116" s="1251"/>
      <c r="MT116" s="1251"/>
      <c r="MU116" s="1251"/>
      <c r="MV116" s="1251"/>
      <c r="MW116" s="1251"/>
      <c r="MX116" s="1251"/>
      <c r="MY116" s="1251"/>
      <c r="MZ116" s="1251"/>
      <c r="NA116" s="1251"/>
      <c r="NB116" s="1251"/>
      <c r="NC116" s="1251"/>
      <c r="ND116" s="1251"/>
      <c r="NE116" s="1251"/>
      <c r="NF116" s="1251"/>
      <c r="NG116" s="1251"/>
      <c r="NH116" s="1251"/>
      <c r="NI116" s="1251"/>
      <c r="NJ116" s="1251"/>
      <c r="NK116" s="1251"/>
      <c r="NL116" s="1251"/>
      <c r="NM116" s="1251"/>
      <c r="NN116" s="1251"/>
      <c r="NO116" s="1251"/>
      <c r="NP116" s="1251"/>
      <c r="NQ116" s="1251"/>
      <c r="NR116" s="1251"/>
      <c r="NS116" s="1251"/>
      <c r="NT116" s="1251"/>
      <c r="NU116" s="1251"/>
      <c r="NV116" s="1251"/>
      <c r="NW116" s="1251"/>
      <c r="NX116" s="1251"/>
      <c r="NY116" s="1251"/>
      <c r="NZ116" s="1251"/>
      <c r="OA116" s="1251"/>
      <c r="OB116" s="1251"/>
      <c r="OC116" s="1251"/>
      <c r="OD116" s="1251"/>
      <c r="OE116" s="1251"/>
      <c r="OF116" s="1251"/>
      <c r="OG116" s="1251"/>
      <c r="OH116" s="1251"/>
      <c r="OI116" s="1251"/>
      <c r="OJ116" s="1251"/>
      <c r="OK116" s="1251"/>
      <c r="OL116" s="1251"/>
      <c r="OM116" s="1251"/>
      <c r="ON116" s="1251"/>
      <c r="OO116" s="1251"/>
      <c r="OP116" s="1251"/>
      <c r="OQ116" s="1251"/>
      <c r="OR116" s="1251"/>
      <c r="OS116" s="1251"/>
      <c r="OT116" s="1251"/>
      <c r="OU116" s="1251"/>
      <c r="OV116" s="1251"/>
      <c r="OW116" s="1251"/>
      <c r="OX116" s="1251"/>
      <c r="OY116" s="1251"/>
      <c r="OZ116" s="1251"/>
      <c r="PA116" s="1251"/>
      <c r="PB116" s="1251"/>
      <c r="PC116" s="1251"/>
      <c r="PD116" s="1251"/>
      <c r="PE116" s="1251"/>
      <c r="PF116" s="1251"/>
      <c r="PG116" s="1251"/>
      <c r="PH116" s="1251"/>
      <c r="PI116" s="1251"/>
      <c r="PJ116" s="1251"/>
      <c r="PK116" s="1251"/>
      <c r="PL116" s="1251"/>
      <c r="PM116" s="1251"/>
      <c r="PN116" s="1251"/>
      <c r="PO116" s="1251"/>
      <c r="PP116" s="1251"/>
      <c r="PQ116" s="1251"/>
      <c r="PR116" s="1251"/>
      <c r="PS116" s="1251"/>
      <c r="PT116" s="1251"/>
      <c r="PU116" s="1251"/>
      <c r="PV116" s="1251"/>
      <c r="PW116" s="1251"/>
      <c r="PX116" s="1251"/>
      <c r="PY116" s="1251"/>
      <c r="PZ116" s="1251"/>
      <c r="QA116" s="1251"/>
      <c r="QB116" s="1251"/>
      <c r="QC116" s="1251"/>
      <c r="QD116" s="1251"/>
      <c r="QE116" s="1251"/>
      <c r="QF116" s="1251"/>
      <c r="QG116" s="1251"/>
      <c r="QH116" s="1251"/>
      <c r="QI116" s="1251"/>
      <c r="QJ116" s="1251"/>
      <c r="QK116" s="1251"/>
      <c r="QL116" s="1251"/>
      <c r="QM116" s="1251"/>
      <c r="QN116" s="1251"/>
      <c r="QO116" s="1251"/>
      <c r="QP116" s="1251"/>
      <c r="QQ116" s="1251"/>
      <c r="QR116" s="1251"/>
      <c r="QS116" s="1251"/>
      <c r="QT116" s="1251"/>
      <c r="QU116" s="1251"/>
      <c r="QV116" s="1251"/>
      <c r="QW116" s="1251"/>
      <c r="QX116" s="1251"/>
      <c r="QY116" s="1251"/>
      <c r="QZ116" s="1251"/>
      <c r="RA116" s="1251"/>
      <c r="RB116" s="1251"/>
      <c r="RC116" s="1251"/>
      <c r="RD116" s="1251"/>
      <c r="RE116" s="1251"/>
      <c r="RF116" s="1251"/>
      <c r="RG116" s="1251"/>
      <c r="RH116" s="1251"/>
      <c r="RI116" s="1251"/>
      <c r="RJ116" s="1251"/>
      <c r="RK116" s="1251"/>
      <c r="RL116" s="1251"/>
      <c r="RM116" s="1251"/>
      <c r="RN116" s="1251"/>
      <c r="RO116" s="1251"/>
      <c r="RP116" s="1251"/>
      <c r="RQ116" s="1251"/>
      <c r="RR116" s="1251"/>
      <c r="RS116" s="1251"/>
      <c r="RT116" s="1251"/>
      <c r="RU116" s="1251"/>
      <c r="RV116" s="1251"/>
      <c r="RW116" s="1251"/>
      <c r="RX116" s="1251"/>
      <c r="RY116" s="1251"/>
      <c r="RZ116" s="1251"/>
      <c r="SA116" s="1251"/>
      <c r="SB116" s="1251"/>
      <c r="SC116" s="1251"/>
      <c r="SD116" s="1251"/>
      <c r="SE116" s="1251"/>
      <c r="SF116" s="1251"/>
      <c r="SG116" s="1251"/>
      <c r="SH116" s="1251"/>
      <c r="SI116" s="1251"/>
      <c r="SJ116" s="1251"/>
      <c r="SK116" s="1251"/>
      <c r="SL116" s="1251"/>
      <c r="SM116" s="1251"/>
      <c r="SN116" s="1251"/>
      <c r="SO116" s="1251"/>
      <c r="SP116" s="1251"/>
      <c r="SQ116" s="1251"/>
      <c r="SR116" s="1251"/>
      <c r="SS116" s="1251"/>
      <c r="ST116" s="1251"/>
      <c r="SU116" s="1251"/>
      <c r="SV116" s="1251"/>
      <c r="SW116" s="1251"/>
      <c r="SX116" s="1251"/>
      <c r="SY116" s="1251"/>
      <c r="SZ116" s="1251"/>
      <c r="TA116" s="1251"/>
      <c r="TB116" s="1251"/>
      <c r="TC116" s="1251"/>
      <c r="TD116" s="1251"/>
      <c r="TE116" s="1251"/>
      <c r="TF116" s="1251"/>
      <c r="TG116" s="1251"/>
      <c r="TH116" s="1251"/>
      <c r="TI116" s="1251"/>
      <c r="TJ116" s="1251"/>
      <c r="TK116" s="1251"/>
      <c r="TL116" s="1251"/>
      <c r="TM116" s="1251"/>
      <c r="TN116" s="1251"/>
      <c r="TO116" s="1251"/>
      <c r="TP116" s="1251"/>
      <c r="TQ116" s="1251"/>
      <c r="TR116" s="1251"/>
      <c r="TS116" s="1251"/>
      <c r="TT116" s="1251"/>
      <c r="TU116" s="1251"/>
      <c r="TV116" s="1251"/>
      <c r="TW116" s="1251"/>
      <c r="TX116" s="1251"/>
      <c r="TY116" s="1251"/>
      <c r="TZ116" s="1251"/>
      <c r="UA116" s="1251"/>
      <c r="UB116" s="1251"/>
      <c r="UC116" s="1251"/>
      <c r="UD116" s="1251"/>
      <c r="UE116" s="1251"/>
      <c r="UF116" s="1251"/>
      <c r="UG116" s="1251"/>
      <c r="UH116" s="1251"/>
      <c r="UI116" s="1251"/>
      <c r="UJ116" s="1251"/>
      <c r="UK116" s="1251"/>
      <c r="UL116" s="1251"/>
      <c r="UM116" s="1251"/>
      <c r="UN116" s="1251"/>
      <c r="UO116" s="1251"/>
      <c r="UP116" s="1251"/>
      <c r="UQ116" s="1251"/>
      <c r="UR116" s="1251"/>
      <c r="US116" s="1251"/>
      <c r="UT116" s="1251"/>
      <c r="UU116" s="1251"/>
      <c r="UV116" s="1251"/>
      <c r="UW116" s="1251"/>
      <c r="UX116" s="1251"/>
      <c r="UY116" s="1251"/>
      <c r="UZ116" s="1251"/>
      <c r="VA116" s="1251"/>
      <c r="VB116" s="1251"/>
      <c r="VC116" s="1251"/>
      <c r="VD116" s="1251"/>
      <c r="VE116" s="1251"/>
      <c r="VF116" s="1251"/>
      <c r="VG116" s="1251"/>
      <c r="VH116" s="1251"/>
      <c r="VI116" s="1251"/>
      <c r="VJ116" s="1251"/>
      <c r="VK116" s="1251"/>
      <c r="VL116" s="1251"/>
      <c r="VM116" s="1251"/>
      <c r="VN116" s="1251"/>
      <c r="VO116" s="1251"/>
      <c r="VP116" s="1251"/>
      <c r="VQ116" s="1251"/>
      <c r="VR116" s="1251"/>
      <c r="VS116" s="1251"/>
      <c r="VT116" s="1251"/>
      <c r="VU116" s="1251"/>
      <c r="VV116" s="1251"/>
      <c r="VW116" s="1251"/>
      <c r="VX116" s="1251"/>
      <c r="VY116" s="1251"/>
      <c r="VZ116" s="1251"/>
      <c r="WA116" s="1251"/>
      <c r="WB116" s="1251"/>
      <c r="WC116" s="1251"/>
      <c r="WD116" s="1251"/>
      <c r="WE116" s="1251"/>
      <c r="WF116" s="1251"/>
      <c r="WG116" s="1251"/>
      <c r="WH116" s="1251"/>
      <c r="WI116" s="1251"/>
      <c r="WJ116" s="1251"/>
      <c r="WK116" s="1251"/>
      <c r="WL116" s="1251"/>
      <c r="WM116" s="1251"/>
      <c r="WN116" s="1251"/>
      <c r="WO116" s="1251"/>
      <c r="WP116" s="1251"/>
      <c r="WQ116" s="1251"/>
      <c r="WR116" s="1251"/>
      <c r="WS116" s="1251"/>
      <c r="WT116" s="1251"/>
      <c r="WU116" s="1251"/>
      <c r="WV116" s="1251"/>
      <c r="WW116" s="1251"/>
      <c r="WX116" s="1251"/>
      <c r="WY116" s="1251"/>
      <c r="WZ116" s="1251"/>
      <c r="XA116" s="1251"/>
      <c r="XB116" s="1251"/>
      <c r="XC116" s="1251"/>
      <c r="XD116" s="1251"/>
      <c r="XE116" s="1251"/>
      <c r="XF116" s="1251"/>
      <c r="XG116" s="1251"/>
      <c r="XH116" s="1251"/>
      <c r="XI116" s="1251"/>
      <c r="XJ116" s="1251"/>
      <c r="XK116" s="1251"/>
      <c r="XL116" s="1251"/>
      <c r="XM116" s="1251"/>
      <c r="XN116" s="1251"/>
      <c r="XO116" s="1251"/>
      <c r="XP116" s="1251"/>
      <c r="XQ116" s="1251"/>
      <c r="XR116" s="1251"/>
      <c r="XS116" s="1251"/>
      <c r="XT116" s="1251"/>
      <c r="XU116" s="1251"/>
      <c r="XV116" s="1251"/>
      <c r="XW116" s="1251"/>
      <c r="XX116" s="1251"/>
      <c r="XY116" s="1251"/>
      <c r="XZ116" s="1251"/>
      <c r="YA116" s="1251"/>
      <c r="YB116" s="1251"/>
      <c r="YC116" s="1251"/>
      <c r="YD116" s="1251"/>
      <c r="YE116" s="1251"/>
      <c r="YF116" s="1251"/>
      <c r="YG116" s="1251"/>
      <c r="YH116" s="1251"/>
      <c r="YI116" s="1251"/>
      <c r="YJ116" s="1251"/>
      <c r="YK116" s="1251"/>
      <c r="YL116" s="1251"/>
      <c r="YM116" s="1251"/>
      <c r="YN116" s="1251"/>
      <c r="YO116" s="1251"/>
      <c r="YP116" s="1251"/>
      <c r="YQ116" s="1251"/>
      <c r="YR116" s="1251"/>
      <c r="YS116" s="1251"/>
      <c r="YT116" s="1251"/>
      <c r="YU116" s="1251"/>
      <c r="YV116" s="1251"/>
      <c r="YW116" s="1251"/>
      <c r="YX116" s="1251"/>
      <c r="YY116" s="1251"/>
      <c r="YZ116" s="1251"/>
      <c r="ZA116" s="1251"/>
      <c r="ZB116" s="1251"/>
      <c r="ZC116" s="1251"/>
      <c r="ZD116" s="1251"/>
      <c r="ZE116" s="1251"/>
      <c r="ZF116" s="1251"/>
      <c r="ZG116" s="1251"/>
      <c r="ZH116" s="1251"/>
      <c r="ZI116" s="1251"/>
      <c r="ZJ116" s="1251"/>
      <c r="ZK116" s="1251"/>
      <c r="ZL116" s="1251"/>
      <c r="ZM116" s="1251"/>
      <c r="ZN116" s="1251"/>
      <c r="ZO116" s="1251"/>
      <c r="ZP116" s="1251"/>
      <c r="ZQ116" s="1251"/>
      <c r="ZR116" s="1251"/>
      <c r="ZS116" s="1251"/>
      <c r="ZT116" s="1251"/>
      <c r="ZU116" s="1251"/>
      <c r="ZV116" s="1251"/>
      <c r="ZW116" s="1251"/>
      <c r="ZX116" s="1251"/>
      <c r="ZY116" s="1251"/>
      <c r="ZZ116" s="1251"/>
      <c r="AAA116" s="1251"/>
      <c r="AAB116" s="1251"/>
      <c r="AAC116" s="1251"/>
      <c r="AAD116" s="1251"/>
      <c r="AAE116" s="1251"/>
      <c r="AAF116" s="1251"/>
      <c r="AAG116" s="1251"/>
      <c r="AAH116" s="1251"/>
      <c r="AAI116" s="1251"/>
      <c r="AAJ116" s="1251"/>
      <c r="AAK116" s="1251"/>
      <c r="AAL116" s="1251"/>
      <c r="AAM116" s="1251"/>
      <c r="AAN116" s="1251"/>
      <c r="AAO116" s="1251"/>
      <c r="AAP116" s="1251"/>
      <c r="AAQ116" s="1251"/>
      <c r="AAR116" s="1251"/>
      <c r="AAS116" s="1251"/>
      <c r="AAT116" s="1251"/>
      <c r="AAU116" s="1251"/>
      <c r="AAV116" s="1251"/>
      <c r="AAW116" s="1251"/>
      <c r="AAX116" s="1251"/>
      <c r="AAY116" s="1251"/>
      <c r="AAZ116" s="1251"/>
      <c r="ABA116" s="1251"/>
      <c r="ABB116" s="1251"/>
      <c r="ABC116" s="1251"/>
      <c r="ABD116" s="1251"/>
      <c r="ABE116" s="1251"/>
      <c r="ABF116" s="1251"/>
      <c r="ABG116" s="1251"/>
      <c r="ABH116" s="1251"/>
      <c r="ABI116" s="1251"/>
      <c r="ABJ116" s="1251"/>
      <c r="ABK116" s="1251"/>
      <c r="ABL116" s="1251"/>
      <c r="ABM116" s="1251"/>
      <c r="ABN116" s="1251"/>
      <c r="ABO116" s="1251"/>
      <c r="ABP116" s="1251"/>
      <c r="ABQ116" s="1251"/>
      <c r="ABR116" s="1251"/>
      <c r="ABS116" s="1251"/>
      <c r="ABT116" s="1251"/>
      <c r="ABU116" s="1251"/>
      <c r="ABV116" s="1251"/>
      <c r="ABW116" s="1251"/>
      <c r="ABX116" s="1251"/>
      <c r="ABY116" s="1251"/>
      <c r="ABZ116" s="1251"/>
      <c r="ACA116" s="1251"/>
      <c r="ACB116" s="1251"/>
      <c r="ACC116" s="1251"/>
      <c r="ACD116" s="1251"/>
      <c r="ACE116" s="1251"/>
      <c r="ACF116" s="1251"/>
      <c r="ACG116" s="1251"/>
      <c r="ACH116" s="1251"/>
      <c r="ACI116" s="1251"/>
      <c r="ACJ116" s="1251"/>
      <c r="ACK116" s="1251"/>
      <c r="ACL116" s="1251"/>
      <c r="ACM116" s="1251"/>
      <c r="ACN116" s="1251"/>
      <c r="ACO116" s="1251"/>
      <c r="ACP116" s="1251"/>
      <c r="ACQ116" s="1251"/>
      <c r="ACR116" s="1251"/>
      <c r="ACS116" s="1251"/>
      <c r="ACT116" s="1251"/>
      <c r="ACU116" s="1251"/>
      <c r="ACV116" s="1251"/>
      <c r="ACW116" s="1251"/>
      <c r="ACX116" s="1251"/>
      <c r="ACY116" s="1251"/>
      <c r="ACZ116" s="1251"/>
      <c r="ADA116" s="1251"/>
      <c r="ADB116" s="1251"/>
      <c r="ADC116" s="1251"/>
      <c r="ADD116" s="1251"/>
      <c r="ADE116" s="1251"/>
      <c r="ADF116" s="1251"/>
      <c r="ADG116" s="1251"/>
      <c r="ADH116" s="1251"/>
      <c r="ADI116" s="1251"/>
      <c r="ADJ116" s="1251"/>
      <c r="ADK116" s="1251"/>
      <c r="ADL116" s="1251"/>
      <c r="ADM116" s="1251"/>
      <c r="ADN116" s="1251"/>
      <c r="ADO116" s="1251"/>
      <c r="ADP116" s="1251"/>
      <c r="ADQ116" s="1251"/>
      <c r="ADR116" s="1251"/>
      <c r="ADS116" s="1251"/>
      <c r="ADT116" s="1251"/>
      <c r="ADU116" s="1251"/>
      <c r="ADV116" s="1251"/>
      <c r="ADW116" s="1251"/>
      <c r="ADX116" s="1251"/>
      <c r="ADY116" s="1251"/>
      <c r="ADZ116" s="1251"/>
      <c r="AEA116" s="1251"/>
      <c r="AEB116" s="1251"/>
      <c r="AEC116" s="1251"/>
      <c r="AED116" s="1251"/>
      <c r="AEE116" s="1251"/>
      <c r="AEF116" s="1251"/>
      <c r="AEG116" s="1251"/>
      <c r="AEH116" s="1251"/>
      <c r="AEI116" s="1251"/>
      <c r="AEJ116" s="1251"/>
      <c r="AEK116" s="1251"/>
      <c r="AEL116" s="1251"/>
      <c r="AEM116" s="1251"/>
      <c r="AEN116" s="1251"/>
      <c r="AEO116" s="1251"/>
      <c r="AEP116" s="1251"/>
      <c r="AEQ116" s="1251"/>
      <c r="AER116" s="1251"/>
      <c r="AES116" s="1251"/>
      <c r="AET116" s="1251"/>
      <c r="AEU116" s="1251"/>
      <c r="AEV116" s="1251"/>
      <c r="AEW116" s="1251"/>
      <c r="AEX116" s="1251"/>
      <c r="AEY116" s="1251"/>
      <c r="AEZ116" s="1251"/>
      <c r="AFA116" s="1251"/>
      <c r="AFB116" s="1251"/>
      <c r="AFC116" s="1251"/>
      <c r="AFD116" s="1251"/>
      <c r="AFE116" s="1251"/>
      <c r="AFF116" s="1251"/>
      <c r="AFG116" s="1251"/>
      <c r="AFH116" s="1251"/>
      <c r="AFI116" s="1251"/>
      <c r="AFJ116" s="1251"/>
      <c r="AFK116" s="1251"/>
      <c r="AFL116" s="1251"/>
      <c r="AFM116" s="1251"/>
      <c r="AFN116" s="1251"/>
      <c r="AFO116" s="1251"/>
      <c r="AFP116" s="1251"/>
      <c r="AFQ116" s="1251"/>
      <c r="AFR116" s="1251"/>
      <c r="AFS116" s="1251"/>
      <c r="AFT116" s="1251"/>
      <c r="AFU116" s="1251"/>
      <c r="AFV116" s="1251"/>
      <c r="AFW116" s="1251"/>
      <c r="AFX116" s="1251"/>
      <c r="AFY116" s="1251"/>
      <c r="AFZ116" s="1251"/>
      <c r="AGA116" s="1251"/>
      <c r="AGB116" s="1251"/>
      <c r="AGC116" s="1251"/>
      <c r="AGD116" s="1251"/>
      <c r="AGE116" s="1251"/>
      <c r="AGF116" s="1251"/>
      <c r="AGG116" s="1251"/>
      <c r="AGH116" s="1251"/>
      <c r="AGI116" s="1251"/>
      <c r="AGJ116" s="1251"/>
      <c r="AGK116" s="1251"/>
      <c r="AGL116" s="1251"/>
      <c r="AGM116" s="1251"/>
      <c r="AGN116" s="1251"/>
      <c r="AGO116" s="1251"/>
      <c r="AGP116" s="1251"/>
      <c r="AGQ116" s="1251"/>
      <c r="AGR116" s="1251"/>
      <c r="AGS116" s="1251"/>
      <c r="AGT116" s="1251"/>
      <c r="AGU116" s="1251"/>
      <c r="AGV116" s="1251"/>
      <c r="AGW116" s="1251"/>
      <c r="AGX116" s="1251"/>
      <c r="AGY116" s="1251"/>
      <c r="AGZ116" s="1251"/>
      <c r="AHA116" s="1251"/>
      <c r="AHB116" s="1251"/>
      <c r="AHC116" s="1251"/>
      <c r="AHD116" s="1251"/>
      <c r="AHE116" s="1251"/>
      <c r="AHF116" s="1251"/>
      <c r="AHG116" s="1251"/>
      <c r="AHH116" s="1251"/>
      <c r="AHI116" s="1251"/>
      <c r="AHJ116" s="1251"/>
      <c r="AHK116" s="1251"/>
      <c r="AHL116" s="1251"/>
      <c r="AHM116" s="1251"/>
      <c r="AHN116" s="1251"/>
      <c r="AHO116" s="1251"/>
      <c r="AHP116" s="1251"/>
      <c r="AHQ116" s="1251"/>
      <c r="AHR116" s="1251"/>
      <c r="AHS116" s="1251"/>
      <c r="AHT116" s="1251"/>
      <c r="AHU116" s="1251"/>
      <c r="AHV116" s="1251"/>
      <c r="AHW116" s="1251"/>
      <c r="AHX116" s="1251"/>
      <c r="AHY116" s="1251"/>
      <c r="AHZ116" s="1251"/>
      <c r="AIA116" s="1251"/>
      <c r="AIB116" s="1251"/>
      <c r="AIC116" s="1251"/>
      <c r="AID116" s="1251"/>
      <c r="AIE116" s="1251"/>
      <c r="AIF116" s="1251"/>
      <c r="AIG116" s="1251"/>
      <c r="AIH116" s="1251"/>
      <c r="AII116" s="1251"/>
      <c r="AIJ116" s="1251"/>
      <c r="AIK116" s="1251"/>
      <c r="AIL116" s="1251"/>
      <c r="AIM116" s="1251"/>
      <c r="AIN116" s="1251"/>
      <c r="AIO116" s="1251"/>
      <c r="AIP116" s="1251"/>
      <c r="AIQ116" s="1251"/>
      <c r="AIR116" s="1251"/>
      <c r="AIS116" s="1251"/>
      <c r="AIT116" s="1251"/>
      <c r="AIU116" s="1251"/>
      <c r="AIV116" s="1251"/>
      <c r="AIW116" s="1251"/>
      <c r="AIX116" s="1251"/>
      <c r="AIY116" s="1251"/>
      <c r="AIZ116" s="1251"/>
      <c r="AJA116" s="1251"/>
      <c r="AJB116" s="1251"/>
      <c r="AJC116" s="1251"/>
      <c r="AJD116" s="1251"/>
      <c r="AJE116" s="1251"/>
      <c r="AJF116" s="1251"/>
      <c r="AJG116" s="1251"/>
      <c r="AJH116" s="1251"/>
      <c r="AJI116" s="1251"/>
      <c r="AJJ116" s="1251"/>
      <c r="AJK116" s="1251"/>
      <c r="AJL116" s="1251"/>
      <c r="AJM116" s="1251"/>
      <c r="AJN116" s="1251"/>
      <c r="AJO116" s="1251"/>
      <c r="AJP116" s="1251"/>
      <c r="AJQ116" s="1251"/>
      <c r="AJR116" s="1251"/>
      <c r="AJS116" s="1251"/>
      <c r="AJT116" s="1251"/>
      <c r="AJU116" s="1251"/>
      <c r="AJV116" s="1251"/>
      <c r="AJW116" s="1251"/>
      <c r="AJX116" s="1251"/>
      <c r="AJY116" s="1251"/>
      <c r="AJZ116" s="1251"/>
      <c r="AKA116" s="1251"/>
      <c r="AKB116" s="1251"/>
      <c r="AKC116" s="1251"/>
      <c r="AKD116" s="1251"/>
      <c r="AKE116" s="1251"/>
      <c r="AKF116" s="1251"/>
      <c r="AKG116" s="1251"/>
      <c r="AKH116" s="1251"/>
      <c r="AKI116" s="1251"/>
      <c r="AKJ116" s="1251"/>
      <c r="AKK116" s="1251"/>
      <c r="AKL116" s="1251"/>
      <c r="AKM116" s="1251"/>
      <c r="AKN116" s="1251"/>
      <c r="AKO116" s="1251"/>
      <c r="AKP116" s="1251"/>
      <c r="AKQ116" s="1251"/>
      <c r="AKR116" s="1251"/>
      <c r="AKS116" s="1251"/>
      <c r="AKT116" s="1251"/>
      <c r="AKU116" s="1251"/>
      <c r="AKV116" s="1251"/>
      <c r="AKW116" s="1251"/>
      <c r="AKX116" s="1251"/>
      <c r="AKY116" s="1251"/>
      <c r="AKZ116" s="1251"/>
      <c r="ALA116" s="1251"/>
      <c r="ALB116" s="1251"/>
      <c r="ALC116" s="1251"/>
      <c r="ALD116" s="1251"/>
      <c r="ALE116" s="1251"/>
      <c r="ALF116" s="1251"/>
      <c r="ALG116" s="1251"/>
      <c r="ALH116" s="1251"/>
      <c r="ALI116" s="1251"/>
      <c r="ALJ116" s="1251"/>
      <c r="ALK116" s="1251"/>
      <c r="ALL116" s="1251"/>
      <c r="ALM116" s="1251"/>
      <c r="ALN116" s="1251"/>
      <c r="ALO116" s="1251"/>
      <c r="ALP116" s="1251"/>
      <c r="ALQ116" s="1251"/>
      <c r="ALR116" s="1251"/>
      <c r="ALS116" s="1251"/>
      <c r="ALT116" s="1251"/>
      <c r="ALU116" s="1251"/>
      <c r="ALV116" s="1251"/>
      <c r="ALW116" s="1251"/>
      <c r="ALX116" s="1251"/>
      <c r="ALY116" s="1251"/>
      <c r="ALZ116" s="1251"/>
      <c r="AMA116" s="1251"/>
      <c r="AMB116" s="1251"/>
      <c r="AMC116" s="1251"/>
      <c r="AMD116" s="1251"/>
      <c r="AME116" s="1251"/>
      <c r="AMF116" s="1251"/>
      <c r="AMG116" s="1251"/>
      <c r="AMH116" s="1251"/>
      <c r="AMI116" s="1251"/>
      <c r="AMJ116" s="1251"/>
      <c r="AMK116" s="1251"/>
      <c r="AML116" s="1251"/>
      <c r="AMM116" s="1251"/>
      <c r="AMN116" s="1251"/>
      <c r="AMO116" s="1251"/>
      <c r="AMP116" s="1251"/>
      <c r="AMQ116" s="1251"/>
      <c r="AMR116" s="1251"/>
      <c r="AMS116" s="1251"/>
      <c r="AMT116" s="1251"/>
      <c r="AMU116" s="1251"/>
      <c r="AMV116" s="1251"/>
      <c r="AMW116" s="1251"/>
      <c r="AMX116" s="1251"/>
      <c r="AMY116" s="1251"/>
      <c r="AMZ116" s="1251"/>
      <c r="ANA116" s="1251"/>
      <c r="ANB116" s="1251"/>
      <c r="ANC116" s="1251"/>
      <c r="AND116" s="1251"/>
      <c r="ANE116" s="1251"/>
      <c r="ANF116" s="1251"/>
      <c r="ANG116" s="1251"/>
      <c r="ANH116" s="1251"/>
      <c r="ANI116" s="1251"/>
      <c r="ANJ116" s="1251"/>
      <c r="ANK116" s="1251"/>
      <c r="ANL116" s="1251"/>
      <c r="ANM116" s="1251"/>
      <c r="ANN116" s="1251"/>
      <c r="ANO116" s="1251"/>
      <c r="ANP116" s="1251"/>
      <c r="ANQ116" s="1251"/>
      <c r="ANR116" s="1251"/>
      <c r="ANS116" s="1251"/>
      <c r="ANT116" s="1251"/>
      <c r="ANU116" s="1251"/>
      <c r="ANV116" s="1251"/>
      <c r="ANW116" s="1251"/>
      <c r="ANX116" s="1251"/>
      <c r="ANY116" s="1251"/>
      <c r="ANZ116" s="1251"/>
      <c r="AOA116" s="1251"/>
      <c r="AOB116" s="1251"/>
      <c r="AOC116" s="1251"/>
      <c r="AOD116" s="1251"/>
      <c r="AOE116" s="1251"/>
      <c r="AOF116" s="1251"/>
      <c r="AOG116" s="1251"/>
      <c r="AOH116" s="1251"/>
      <c r="AOI116" s="1251"/>
      <c r="AOJ116" s="1251"/>
      <c r="AOK116" s="1251"/>
      <c r="AOL116" s="1251"/>
      <c r="AOM116" s="1251"/>
      <c r="AON116" s="1251"/>
      <c r="AOO116" s="1251"/>
      <c r="AOP116" s="1251"/>
      <c r="AOQ116" s="1251"/>
      <c r="AOR116" s="1251"/>
      <c r="AOS116" s="1251"/>
      <c r="AOT116" s="1251"/>
      <c r="AOU116" s="1251"/>
      <c r="AOV116" s="1251"/>
      <c r="AOW116" s="1251"/>
      <c r="AOX116" s="1251"/>
      <c r="AOY116" s="1251"/>
      <c r="AOZ116" s="1251"/>
      <c r="APA116" s="1251"/>
      <c r="APB116" s="1251"/>
      <c r="APC116" s="1251"/>
      <c r="APD116" s="1251"/>
      <c r="APE116" s="1251"/>
      <c r="APF116" s="1251"/>
      <c r="APG116" s="1251"/>
      <c r="APH116" s="1251"/>
      <c r="API116" s="1251"/>
      <c r="APJ116" s="1251"/>
      <c r="APK116" s="1251"/>
      <c r="APL116" s="1251"/>
      <c r="APM116" s="1251"/>
      <c r="APN116" s="1251"/>
      <c r="APO116" s="1251"/>
      <c r="APP116" s="1251"/>
      <c r="APQ116" s="1251"/>
      <c r="APR116" s="1251"/>
      <c r="APS116" s="1251"/>
      <c r="APT116" s="1251"/>
      <c r="APU116" s="1251"/>
      <c r="APV116" s="1251"/>
      <c r="APW116" s="1251"/>
      <c r="APX116" s="1251"/>
      <c r="APY116" s="1251"/>
      <c r="APZ116" s="1251"/>
      <c r="AQA116" s="1251"/>
      <c r="AQB116" s="1251"/>
      <c r="AQC116" s="1251"/>
      <c r="AQD116" s="1251"/>
      <c r="AQE116" s="1251"/>
      <c r="AQF116" s="1251"/>
      <c r="AQG116" s="1251"/>
      <c r="AQH116" s="1251"/>
      <c r="AQI116" s="1251"/>
      <c r="AQJ116" s="1251"/>
      <c r="AQK116" s="1251"/>
      <c r="AQL116" s="1251"/>
      <c r="AQM116" s="1251"/>
      <c r="AQN116" s="1251"/>
      <c r="AQO116" s="1251"/>
      <c r="AQP116" s="1251"/>
      <c r="AQQ116" s="1251"/>
      <c r="AQR116" s="1251"/>
      <c r="AQS116" s="1251"/>
      <c r="AQT116" s="1251"/>
      <c r="AQU116" s="1251"/>
      <c r="AQV116" s="1251"/>
      <c r="AQW116" s="1251"/>
      <c r="AQX116" s="1251"/>
      <c r="AQY116" s="1251"/>
      <c r="AQZ116" s="1251"/>
      <c r="ARA116" s="1251"/>
      <c r="ARB116" s="1251"/>
      <c r="ARC116" s="1251"/>
      <c r="ARD116" s="1251"/>
      <c r="ARE116" s="1251"/>
      <c r="ARF116" s="1251"/>
      <c r="ARG116" s="1251"/>
      <c r="ARH116" s="1251"/>
      <c r="ARI116" s="1251"/>
      <c r="ARJ116" s="1251"/>
      <c r="ARK116" s="1251"/>
      <c r="ARL116" s="1251"/>
      <c r="ARM116" s="1251"/>
      <c r="ARN116" s="1251"/>
      <c r="ARO116" s="1251"/>
      <c r="ARP116" s="1251"/>
      <c r="ARQ116" s="1251"/>
      <c r="ARR116" s="1251"/>
      <c r="ARS116" s="1251"/>
      <c r="ART116" s="1251"/>
      <c r="ARU116" s="1251"/>
      <c r="ARV116" s="1251"/>
      <c r="ARW116" s="1251"/>
      <c r="ARX116" s="1251"/>
      <c r="ARY116" s="1251"/>
      <c r="ARZ116" s="1251"/>
      <c r="ASA116" s="1251"/>
      <c r="ASB116" s="1251"/>
      <c r="ASC116" s="1251"/>
      <c r="ASD116" s="1251"/>
      <c r="ASE116" s="1251"/>
      <c r="ASF116" s="1251"/>
      <c r="ASG116" s="1251"/>
      <c r="ASH116" s="1251"/>
      <c r="ASI116" s="1251"/>
      <c r="ASJ116" s="1251"/>
      <c r="ASK116" s="1251"/>
      <c r="ASL116" s="1251"/>
      <c r="ASM116" s="1251"/>
      <c r="ASN116" s="1251"/>
      <c r="ASO116" s="1251"/>
      <c r="ASP116" s="1251"/>
      <c r="ASQ116" s="1251"/>
      <c r="ASR116" s="1251"/>
      <c r="ASS116" s="1251"/>
      <c r="AST116" s="1251"/>
      <c r="ASU116" s="1251"/>
      <c r="ASV116" s="1251"/>
      <c r="ASW116" s="1251"/>
      <c r="ASX116" s="1251"/>
      <c r="ASY116" s="1251"/>
      <c r="ASZ116" s="1251"/>
      <c r="ATA116" s="1251"/>
      <c r="ATB116" s="1251"/>
      <c r="ATC116" s="1251"/>
      <c r="ATD116" s="1251"/>
      <c r="ATE116" s="1251"/>
      <c r="ATF116" s="1251"/>
      <c r="ATG116" s="1251"/>
      <c r="ATH116" s="1251"/>
      <c r="ATI116" s="1251"/>
      <c r="ATJ116" s="1251"/>
      <c r="ATK116" s="1251"/>
      <c r="ATL116" s="1251"/>
      <c r="ATM116" s="1251"/>
      <c r="ATN116" s="1251"/>
      <c r="ATO116" s="1251"/>
      <c r="ATP116" s="1251"/>
      <c r="ATQ116" s="1251"/>
      <c r="ATR116" s="1251"/>
      <c r="ATS116" s="1251"/>
      <c r="ATT116" s="1251"/>
      <c r="ATU116" s="1251"/>
      <c r="ATV116" s="1251"/>
      <c r="ATW116" s="1251"/>
      <c r="ATX116" s="1251"/>
      <c r="ATY116" s="1251"/>
      <c r="ATZ116" s="1251"/>
      <c r="AUA116" s="1251"/>
      <c r="AUB116" s="1251"/>
      <c r="AUC116" s="1251"/>
      <c r="AUD116" s="1251"/>
      <c r="AUE116" s="1251"/>
      <c r="AUF116" s="1251"/>
      <c r="AUG116" s="1251"/>
      <c r="AUH116" s="1251"/>
      <c r="AUI116" s="1251"/>
      <c r="AUJ116" s="1251"/>
      <c r="AUK116" s="1251"/>
      <c r="AUL116" s="1251"/>
      <c r="AUM116" s="1251"/>
      <c r="AUN116" s="1251"/>
      <c r="AUO116" s="1251"/>
      <c r="AUP116" s="1251"/>
      <c r="AUQ116" s="1251"/>
      <c r="AUR116" s="1251"/>
      <c r="AUS116" s="1251"/>
      <c r="AUT116" s="1251"/>
      <c r="AUU116" s="1251"/>
      <c r="AUV116" s="1251"/>
      <c r="AUW116" s="1251"/>
      <c r="AUX116" s="1251"/>
      <c r="AUY116" s="1251"/>
      <c r="AUZ116" s="1251"/>
      <c r="AVA116" s="1251"/>
      <c r="AVB116" s="1251"/>
      <c r="AVC116" s="1251"/>
      <c r="AVD116" s="1251"/>
      <c r="AVE116" s="1251"/>
      <c r="AVF116" s="1251"/>
      <c r="AVG116" s="1251"/>
      <c r="AVH116" s="1251"/>
      <c r="AVI116" s="1251"/>
      <c r="AVJ116" s="1251"/>
      <c r="AVK116" s="1251"/>
      <c r="AVL116" s="1251"/>
      <c r="AVM116" s="1251"/>
      <c r="AVN116" s="1251"/>
      <c r="AVO116" s="1251"/>
      <c r="AVP116" s="1251"/>
      <c r="AVQ116" s="1251"/>
      <c r="AVR116" s="1251"/>
      <c r="AVS116" s="1251"/>
      <c r="AVT116" s="1251"/>
      <c r="AVU116" s="1251"/>
      <c r="AVV116" s="1251"/>
      <c r="AVW116" s="1251"/>
      <c r="AVX116" s="1251"/>
      <c r="AVY116" s="1251"/>
      <c r="AVZ116" s="1251"/>
      <c r="AWA116" s="1251"/>
      <c r="AWB116" s="1251"/>
      <c r="AWC116" s="1251"/>
      <c r="AWD116" s="1251"/>
      <c r="AWE116" s="1251"/>
      <c r="AWF116" s="1251"/>
      <c r="AWG116" s="1251"/>
      <c r="AWH116" s="1251"/>
      <c r="AWI116" s="1251"/>
      <c r="AWJ116" s="1251"/>
      <c r="AWK116" s="1251"/>
      <c r="AWL116" s="1251"/>
      <c r="AWM116" s="1251"/>
      <c r="AWN116" s="1251"/>
      <c r="AWO116" s="1251"/>
      <c r="AWP116" s="1251"/>
      <c r="AWQ116" s="1251"/>
      <c r="AWR116" s="1251"/>
      <c r="AWS116" s="1251"/>
      <c r="AWT116" s="1251"/>
      <c r="AWU116" s="1251"/>
      <c r="AWV116" s="1251"/>
      <c r="AWW116" s="1251"/>
      <c r="AWX116" s="1251"/>
      <c r="AWY116" s="1251"/>
      <c r="AWZ116" s="1251"/>
      <c r="AXA116" s="1251"/>
      <c r="AXB116" s="1251"/>
      <c r="AXC116" s="1251"/>
      <c r="AXD116" s="1251"/>
      <c r="AXE116" s="1251"/>
      <c r="AXF116" s="1251"/>
      <c r="AXG116" s="1251"/>
      <c r="AXH116" s="1251"/>
      <c r="AXI116" s="1251"/>
      <c r="AXJ116" s="1251"/>
      <c r="AXK116" s="1251"/>
      <c r="AXL116" s="1251"/>
      <c r="AXM116" s="1251"/>
      <c r="AXN116" s="1251"/>
      <c r="AXO116" s="1251"/>
      <c r="AXP116" s="1251"/>
      <c r="AXQ116" s="1251"/>
      <c r="AXR116" s="1251"/>
      <c r="AXS116" s="1251"/>
      <c r="AXT116" s="1251"/>
      <c r="AXU116" s="1251"/>
      <c r="AXV116" s="1251"/>
      <c r="AXW116" s="1251"/>
      <c r="AXX116" s="1251"/>
      <c r="AXY116" s="1251"/>
      <c r="AXZ116" s="1251"/>
      <c r="AYA116" s="1251"/>
      <c r="AYB116" s="1251"/>
      <c r="AYC116" s="1251"/>
      <c r="AYD116" s="1251"/>
      <c r="AYE116" s="1251"/>
      <c r="AYF116" s="1251"/>
      <c r="AYG116" s="1251"/>
      <c r="AYH116" s="1251"/>
      <c r="AYI116" s="1251"/>
      <c r="AYJ116" s="1251"/>
      <c r="AYK116" s="1251"/>
      <c r="AYL116" s="1251"/>
      <c r="AYM116" s="1251"/>
      <c r="AYN116" s="1251"/>
      <c r="AYO116" s="1251"/>
      <c r="AYP116" s="1251"/>
      <c r="AYQ116" s="1251"/>
      <c r="AYR116" s="1251"/>
      <c r="AYS116" s="1251"/>
      <c r="AYT116" s="1251"/>
      <c r="AYU116" s="1251"/>
      <c r="AYV116" s="1251"/>
      <c r="AYW116" s="1251"/>
      <c r="AYX116" s="1251"/>
      <c r="AYY116" s="1251"/>
      <c r="AYZ116" s="1251"/>
      <c r="AZA116" s="1251"/>
      <c r="AZB116" s="1251"/>
      <c r="AZC116" s="1251"/>
      <c r="AZD116" s="1251"/>
      <c r="AZE116" s="1251"/>
      <c r="AZF116" s="1251"/>
      <c r="AZG116" s="1251"/>
      <c r="AZH116" s="1251"/>
      <c r="AZI116" s="1251"/>
      <c r="AZJ116" s="1251"/>
      <c r="AZK116" s="1251"/>
      <c r="AZL116" s="1251"/>
      <c r="AZM116" s="1251"/>
      <c r="AZN116" s="1251"/>
      <c r="AZO116" s="1251"/>
      <c r="AZP116" s="1251"/>
      <c r="AZQ116" s="1251"/>
      <c r="AZR116" s="1251"/>
      <c r="AZS116" s="1251"/>
      <c r="AZT116" s="1251"/>
      <c r="AZU116" s="1251"/>
      <c r="AZV116" s="1251"/>
      <c r="AZW116" s="1251"/>
      <c r="AZX116" s="1251"/>
      <c r="AZY116" s="1251"/>
      <c r="AZZ116" s="1251"/>
      <c r="BAA116" s="1251"/>
      <c r="BAB116" s="1251"/>
      <c r="BAC116" s="1251"/>
      <c r="BAD116" s="1251"/>
      <c r="BAE116" s="1251"/>
      <c r="BAF116" s="1251"/>
      <c r="BAG116" s="1251"/>
      <c r="BAH116" s="1251"/>
      <c r="BAI116" s="1251"/>
      <c r="BAJ116" s="1251"/>
      <c r="BAK116" s="1251"/>
      <c r="BAL116" s="1251"/>
      <c r="BAM116" s="1251"/>
      <c r="BAN116" s="1251"/>
      <c r="BAO116" s="1251"/>
      <c r="BAP116" s="1251"/>
      <c r="BAQ116" s="1251"/>
      <c r="BAR116" s="1251"/>
      <c r="BAS116" s="1251"/>
      <c r="BAT116" s="1251"/>
      <c r="BAU116" s="1251"/>
      <c r="BAV116" s="1251"/>
      <c r="BAW116" s="1251"/>
      <c r="BAX116" s="1251"/>
      <c r="BAY116" s="1251"/>
      <c r="BAZ116" s="1251"/>
      <c r="BBA116" s="1251"/>
      <c r="BBB116" s="1251"/>
      <c r="BBC116" s="1251"/>
      <c r="BBD116" s="1251"/>
      <c r="BBE116" s="1251"/>
      <c r="BBF116" s="1251"/>
      <c r="BBG116" s="1251"/>
      <c r="BBH116" s="1251"/>
      <c r="BBI116" s="1251"/>
      <c r="BBJ116" s="1251"/>
      <c r="BBK116" s="1251"/>
      <c r="BBL116" s="1251"/>
      <c r="BBM116" s="1251"/>
      <c r="BBN116" s="1251"/>
      <c r="BBO116" s="1251"/>
      <c r="BBP116" s="1251"/>
      <c r="BBQ116" s="1251"/>
      <c r="BBR116" s="1251"/>
      <c r="BBS116" s="1251"/>
      <c r="BBT116" s="1251"/>
      <c r="BBU116" s="1251"/>
      <c r="BBV116" s="1251"/>
      <c r="BBW116" s="1251"/>
      <c r="BBX116" s="1251"/>
      <c r="BBY116" s="1251"/>
      <c r="BBZ116" s="1251"/>
      <c r="BCA116" s="1251"/>
      <c r="BCB116" s="1251"/>
      <c r="BCC116" s="1251"/>
      <c r="BCD116" s="1251"/>
      <c r="BCE116" s="1251"/>
      <c r="BCF116" s="1251"/>
      <c r="BCG116" s="1251"/>
      <c r="BCH116" s="1251"/>
      <c r="BCI116" s="1251"/>
      <c r="BCJ116" s="1251"/>
      <c r="BCK116" s="1251"/>
      <c r="BCL116" s="1251"/>
      <c r="BCM116" s="1251"/>
      <c r="BCN116" s="1251"/>
      <c r="BCO116" s="1251"/>
      <c r="BCP116" s="1251"/>
      <c r="BCQ116" s="1251"/>
      <c r="BCR116" s="1251"/>
      <c r="BCS116" s="1251"/>
      <c r="BCT116" s="1251"/>
      <c r="BCU116" s="1251"/>
      <c r="BCV116" s="1251"/>
      <c r="BCW116" s="1251"/>
      <c r="BCX116" s="1251"/>
      <c r="BCY116" s="1251"/>
      <c r="BCZ116" s="1251"/>
      <c r="BDA116" s="1251"/>
      <c r="BDB116" s="1251"/>
      <c r="BDC116" s="1251"/>
      <c r="BDD116" s="1251"/>
      <c r="BDE116" s="1251"/>
      <c r="BDF116" s="1251"/>
      <c r="BDG116" s="1251"/>
      <c r="BDH116" s="1251"/>
      <c r="BDI116" s="1251"/>
      <c r="BDJ116" s="1251"/>
      <c r="BDK116" s="1251"/>
      <c r="BDL116" s="1251"/>
      <c r="BDM116" s="1251"/>
      <c r="BDN116" s="1251"/>
      <c r="BDO116" s="1251"/>
      <c r="BDP116" s="1251"/>
      <c r="BDQ116" s="1251"/>
      <c r="BDR116" s="1251"/>
      <c r="BDS116" s="1251"/>
      <c r="BDT116" s="1251"/>
      <c r="BDU116" s="1251"/>
      <c r="BDV116" s="1251"/>
      <c r="BDW116" s="1251"/>
      <c r="BDX116" s="1251"/>
      <c r="BDY116" s="1251"/>
      <c r="BDZ116" s="1251"/>
      <c r="BEA116" s="1251"/>
      <c r="BEB116" s="1251"/>
      <c r="BEC116" s="1251"/>
      <c r="BED116" s="1251"/>
      <c r="BEE116" s="1251"/>
      <c r="BEF116" s="1251"/>
      <c r="BEG116" s="1251"/>
      <c r="BEH116" s="1251"/>
      <c r="BEI116" s="1251"/>
      <c r="BEJ116" s="1251"/>
      <c r="BEK116" s="1251"/>
      <c r="BEL116" s="1251"/>
      <c r="BEM116" s="1251"/>
      <c r="BEN116" s="1251"/>
      <c r="BEO116" s="1251"/>
      <c r="BEP116" s="1251"/>
      <c r="BEQ116" s="1251"/>
      <c r="BER116" s="1251"/>
      <c r="BES116" s="1251"/>
      <c r="BET116" s="1251"/>
      <c r="BEU116" s="1251"/>
      <c r="BEV116" s="1251"/>
      <c r="BEW116" s="1251"/>
      <c r="BEX116" s="1251"/>
      <c r="BEY116" s="1251"/>
      <c r="BEZ116" s="1251"/>
      <c r="BFA116" s="1251"/>
      <c r="BFB116" s="1251"/>
      <c r="BFC116" s="1251"/>
      <c r="BFD116" s="1251"/>
      <c r="BFE116" s="1251"/>
      <c r="BFF116" s="1251"/>
      <c r="BFG116" s="1251"/>
      <c r="BFH116" s="1251"/>
      <c r="BFI116" s="1251"/>
      <c r="BFJ116" s="1251"/>
      <c r="BFK116" s="1251"/>
      <c r="BFL116" s="1251"/>
      <c r="BFM116" s="1251"/>
      <c r="BFN116" s="1251"/>
      <c r="BFO116" s="1251"/>
      <c r="BFP116" s="1251"/>
      <c r="BFQ116" s="1251"/>
      <c r="BFR116" s="1251"/>
      <c r="BFS116" s="1251"/>
      <c r="BFT116" s="1251"/>
      <c r="BFU116" s="1251"/>
      <c r="BFV116" s="1251"/>
      <c r="BFW116" s="1251"/>
      <c r="BFX116" s="1251"/>
      <c r="BFY116" s="1251"/>
      <c r="BFZ116" s="1251"/>
      <c r="BGA116" s="1251"/>
      <c r="BGB116" s="1251"/>
      <c r="BGC116" s="1251"/>
      <c r="BGD116" s="1251"/>
      <c r="BGE116" s="1251"/>
      <c r="BGF116" s="1251"/>
      <c r="BGG116" s="1251"/>
      <c r="BGH116" s="1251"/>
      <c r="BGI116" s="1251"/>
      <c r="BGJ116" s="1251"/>
      <c r="BGK116" s="1251"/>
      <c r="BGL116" s="1251"/>
      <c r="BGM116" s="1251"/>
      <c r="BGN116" s="1251"/>
      <c r="BGO116" s="1251"/>
      <c r="BGP116" s="1251"/>
      <c r="BGQ116" s="1251"/>
      <c r="BGR116" s="1251"/>
      <c r="BGS116" s="1251"/>
      <c r="BGT116" s="1251"/>
      <c r="BGU116" s="1251"/>
      <c r="BGV116" s="1251"/>
      <c r="BGW116" s="1251"/>
      <c r="BGX116" s="1251"/>
      <c r="BGY116" s="1251"/>
      <c r="BGZ116" s="1251"/>
      <c r="BHA116" s="1251"/>
      <c r="BHB116" s="1251"/>
      <c r="BHC116" s="1251"/>
      <c r="BHD116" s="1251"/>
      <c r="BHE116" s="1251"/>
      <c r="BHF116" s="1251"/>
      <c r="BHG116" s="1251"/>
      <c r="BHH116" s="1251"/>
      <c r="BHI116" s="1251"/>
      <c r="BHJ116" s="1251"/>
      <c r="BHK116" s="1251"/>
      <c r="BHL116" s="1251"/>
      <c r="BHM116" s="1251"/>
      <c r="BHN116" s="1251"/>
      <c r="BHO116" s="1251"/>
      <c r="BHP116" s="1251"/>
      <c r="BHQ116" s="1251"/>
      <c r="BHR116" s="1251"/>
      <c r="BHS116" s="1251"/>
      <c r="BHT116" s="1251"/>
      <c r="BHU116" s="1251"/>
      <c r="BHV116" s="1251"/>
      <c r="BHW116" s="1251"/>
      <c r="BHX116" s="1251"/>
      <c r="BHY116" s="1251"/>
      <c r="BHZ116" s="1251"/>
      <c r="BIA116" s="1251"/>
      <c r="BIB116" s="1251"/>
      <c r="BIC116" s="1251"/>
      <c r="BID116" s="1251"/>
      <c r="BIE116" s="1251"/>
      <c r="BIF116" s="1251"/>
      <c r="BIG116" s="1251"/>
      <c r="BIH116" s="1251"/>
      <c r="BII116" s="1251"/>
      <c r="BIJ116" s="1251"/>
      <c r="BIK116" s="1251"/>
      <c r="BIL116" s="1251"/>
      <c r="BIM116" s="1251"/>
      <c r="BIN116" s="1251"/>
      <c r="BIO116" s="1251"/>
      <c r="BIP116" s="1251"/>
      <c r="BIQ116" s="1251"/>
      <c r="BIR116" s="1251"/>
      <c r="BIS116" s="1251"/>
      <c r="BIT116" s="1251"/>
      <c r="BIU116" s="1251"/>
      <c r="BIV116" s="1251"/>
      <c r="BIW116" s="1251"/>
      <c r="BIX116" s="1251"/>
      <c r="BIY116" s="1251"/>
      <c r="BIZ116" s="1251"/>
      <c r="BJA116" s="1251"/>
      <c r="BJB116" s="1251"/>
      <c r="BJC116" s="1251"/>
      <c r="BJD116" s="1251"/>
      <c r="BJE116" s="1251"/>
      <c r="BJF116" s="1251"/>
      <c r="BJG116" s="1251"/>
      <c r="BJH116" s="1251"/>
      <c r="BJI116" s="1251"/>
      <c r="BJJ116" s="1251"/>
      <c r="BJK116" s="1251"/>
      <c r="BJL116" s="1251"/>
      <c r="BJM116" s="1251"/>
      <c r="BJN116" s="1251"/>
      <c r="BJO116" s="1251"/>
      <c r="BJP116" s="1251"/>
      <c r="BJQ116" s="1251"/>
      <c r="BJR116" s="1251"/>
      <c r="BJS116" s="1251"/>
      <c r="BJT116" s="1251"/>
      <c r="BJU116" s="1251"/>
      <c r="BJV116" s="1251"/>
      <c r="BJW116" s="1251"/>
      <c r="BJX116" s="1251"/>
      <c r="BJY116" s="1251"/>
      <c r="BJZ116" s="1251"/>
      <c r="BKA116" s="1251"/>
      <c r="BKB116" s="1251"/>
      <c r="BKC116" s="1251"/>
      <c r="BKD116" s="1251"/>
      <c r="BKE116" s="1251"/>
      <c r="BKF116" s="1251"/>
      <c r="BKG116" s="1251"/>
      <c r="BKH116" s="1251"/>
      <c r="BKI116" s="1251"/>
      <c r="BKJ116" s="1251"/>
      <c r="BKK116" s="1251"/>
      <c r="BKL116" s="1251"/>
      <c r="BKM116" s="1251"/>
      <c r="BKN116" s="1251"/>
      <c r="BKO116" s="1251"/>
      <c r="BKP116" s="1251"/>
      <c r="BKQ116" s="1251"/>
      <c r="BKR116" s="1251"/>
      <c r="BKS116" s="1251"/>
      <c r="BKT116" s="1251"/>
      <c r="BKU116" s="1251"/>
      <c r="BKV116" s="1251"/>
      <c r="BKW116" s="1251"/>
      <c r="BKX116" s="1251"/>
      <c r="BKY116" s="1251"/>
      <c r="BKZ116" s="1251"/>
      <c r="BLA116" s="1251"/>
      <c r="BLB116" s="1251"/>
      <c r="BLC116" s="1251"/>
      <c r="BLD116" s="1251"/>
      <c r="BLE116" s="1251"/>
      <c r="BLF116" s="1251"/>
      <c r="BLG116" s="1251"/>
      <c r="BLH116" s="1251"/>
      <c r="BLI116" s="1251"/>
      <c r="BLJ116" s="1251"/>
      <c r="BLK116" s="1251"/>
      <c r="BLL116" s="1251"/>
      <c r="BLM116" s="1251"/>
      <c r="BLN116" s="1251"/>
      <c r="BLO116" s="1251"/>
      <c r="BLP116" s="1251"/>
      <c r="BLQ116" s="1251"/>
      <c r="BLR116" s="1251"/>
      <c r="BLS116" s="1251"/>
      <c r="BLT116" s="1251"/>
      <c r="BLU116" s="1251"/>
      <c r="BLV116" s="1251"/>
      <c r="BLW116" s="1251"/>
      <c r="BLX116" s="1251"/>
      <c r="BLY116" s="1251"/>
      <c r="BLZ116" s="1251"/>
      <c r="BMA116" s="1251"/>
      <c r="BMB116" s="1251"/>
      <c r="BMC116" s="1251"/>
      <c r="BMD116" s="1251"/>
      <c r="BME116" s="1251"/>
      <c r="BMF116" s="1251"/>
      <c r="BMG116" s="1251"/>
      <c r="BMH116" s="1251"/>
      <c r="BMI116" s="1251"/>
      <c r="BMJ116" s="1251"/>
      <c r="BMK116" s="1251"/>
      <c r="BML116" s="1251"/>
      <c r="BMM116" s="1251"/>
      <c r="BMN116" s="1251"/>
      <c r="BMO116" s="1251"/>
      <c r="BMP116" s="1251"/>
      <c r="BMQ116" s="1251"/>
      <c r="BMR116" s="1251"/>
      <c r="BMS116" s="1251"/>
      <c r="BMT116" s="1251"/>
      <c r="BMU116" s="1251"/>
      <c r="BMV116" s="1251"/>
      <c r="BMW116" s="1251"/>
      <c r="BMX116" s="1251"/>
      <c r="BMY116" s="1251"/>
      <c r="BMZ116" s="1251"/>
      <c r="BNA116" s="1251"/>
      <c r="BNB116" s="1251"/>
      <c r="BNC116" s="1251"/>
      <c r="BND116" s="1251"/>
      <c r="BNE116" s="1251"/>
      <c r="BNF116" s="1251"/>
      <c r="BNG116" s="1251"/>
      <c r="BNH116" s="1251"/>
      <c r="BNI116" s="1251"/>
      <c r="BNJ116" s="1251"/>
      <c r="BNK116" s="1251"/>
      <c r="BNL116" s="1251"/>
      <c r="BNM116" s="1251"/>
      <c r="BNN116" s="1251"/>
      <c r="BNO116" s="1251"/>
      <c r="BNP116" s="1251"/>
      <c r="BNQ116" s="1251"/>
      <c r="BNR116" s="1251"/>
      <c r="BNS116" s="1251"/>
      <c r="BNT116" s="1251"/>
      <c r="BNU116" s="1251"/>
      <c r="BNV116" s="1251"/>
      <c r="BNW116" s="1251"/>
      <c r="BNX116" s="1251"/>
      <c r="BNY116" s="1251"/>
      <c r="BNZ116" s="1251"/>
      <c r="BOA116" s="1251"/>
      <c r="BOB116" s="1251"/>
      <c r="BOC116" s="1251"/>
      <c r="BOD116" s="1251"/>
      <c r="BOE116" s="1251"/>
      <c r="BOF116" s="1251"/>
      <c r="BOG116" s="1251"/>
      <c r="BOH116" s="1251"/>
      <c r="BOI116" s="1251"/>
      <c r="BOJ116" s="1251"/>
      <c r="BOK116" s="1251"/>
      <c r="BOL116" s="1251"/>
      <c r="BOM116" s="1251"/>
      <c r="BON116" s="1251"/>
      <c r="BOO116" s="1251"/>
      <c r="BOP116" s="1251"/>
      <c r="BOQ116" s="1251"/>
      <c r="BOR116" s="1251"/>
      <c r="BOS116" s="1251"/>
      <c r="BOT116" s="1251"/>
      <c r="BOU116" s="1251"/>
      <c r="BOV116" s="1251"/>
      <c r="BOW116" s="1251"/>
      <c r="BOX116" s="1251"/>
      <c r="BOY116" s="1251"/>
      <c r="BOZ116" s="1251"/>
      <c r="BPA116" s="1251"/>
      <c r="BPB116" s="1251"/>
      <c r="BPC116" s="1251"/>
      <c r="BPD116" s="1251"/>
      <c r="BPE116" s="1251"/>
      <c r="BPF116" s="1251"/>
      <c r="BPG116" s="1251"/>
      <c r="BPH116" s="1251"/>
      <c r="BPI116" s="1251"/>
      <c r="BPJ116" s="1251"/>
      <c r="BPK116" s="1251"/>
      <c r="BPL116" s="1251"/>
      <c r="BPM116" s="1251"/>
      <c r="BPN116" s="1251"/>
      <c r="BPO116" s="1251"/>
      <c r="BPP116" s="1251"/>
      <c r="BPQ116" s="1251"/>
      <c r="BPR116" s="1251"/>
      <c r="BPS116" s="1251"/>
      <c r="BPT116" s="1251"/>
      <c r="BPU116" s="1251"/>
      <c r="BPV116" s="1251"/>
      <c r="BPW116" s="1251"/>
      <c r="BPX116" s="1251"/>
      <c r="BPY116" s="1251"/>
      <c r="BPZ116" s="1251"/>
      <c r="BQA116" s="1251"/>
      <c r="BQB116" s="1251"/>
      <c r="BQC116" s="1251"/>
      <c r="BQD116" s="1251"/>
      <c r="BQE116" s="1251"/>
      <c r="BQF116" s="1251"/>
      <c r="BQG116" s="1251"/>
      <c r="BQH116" s="1251"/>
      <c r="BQI116" s="1251"/>
      <c r="BQJ116" s="1251"/>
      <c r="BQK116" s="1251"/>
      <c r="BQL116" s="1251"/>
      <c r="BQM116" s="1251"/>
      <c r="BQN116" s="1251"/>
      <c r="BQO116" s="1251"/>
      <c r="BQP116" s="1251"/>
      <c r="BQQ116" s="1251"/>
      <c r="BQR116" s="1251"/>
      <c r="BQS116" s="1251"/>
      <c r="BQT116" s="1251"/>
      <c r="BQU116" s="1251"/>
      <c r="BQV116" s="1251"/>
      <c r="BQW116" s="1251"/>
      <c r="BQX116" s="1251"/>
      <c r="BQY116" s="1251"/>
      <c r="BQZ116" s="1251"/>
      <c r="BRA116" s="1251"/>
      <c r="BRB116" s="1251"/>
      <c r="BRC116" s="1251"/>
      <c r="BRD116" s="1251"/>
      <c r="BRE116" s="1251"/>
      <c r="BRF116" s="1251"/>
      <c r="BRG116" s="1251"/>
      <c r="BRH116" s="1251"/>
      <c r="BRI116" s="1251"/>
      <c r="BRJ116" s="1251"/>
      <c r="BRK116" s="1251"/>
      <c r="BRL116" s="1251"/>
      <c r="BRM116" s="1251"/>
      <c r="BRN116" s="1251"/>
      <c r="BRO116" s="1251"/>
      <c r="BRP116" s="1251"/>
      <c r="BRQ116" s="1251"/>
      <c r="BRR116" s="1251"/>
      <c r="BRS116" s="1251"/>
      <c r="BRT116" s="1251"/>
      <c r="BRU116" s="1251"/>
      <c r="BRV116" s="1251"/>
      <c r="BRW116" s="1251"/>
      <c r="BRX116" s="1251"/>
      <c r="BRY116" s="1251"/>
      <c r="BRZ116" s="1251"/>
      <c r="BSA116" s="1251"/>
      <c r="BSB116" s="1251"/>
      <c r="BSC116" s="1251"/>
      <c r="BSD116" s="1251"/>
      <c r="BSE116" s="1251"/>
      <c r="BSF116" s="1251"/>
      <c r="BSG116" s="1251"/>
      <c r="BSH116" s="1251"/>
      <c r="BSI116" s="1251"/>
      <c r="BSJ116" s="1251"/>
      <c r="BSK116" s="1251"/>
      <c r="BSL116" s="1251"/>
      <c r="BSM116" s="1251"/>
      <c r="BSN116" s="1251"/>
      <c r="BSO116" s="1251"/>
      <c r="BSP116" s="1251"/>
      <c r="BSQ116" s="1251"/>
      <c r="BSR116" s="1251"/>
      <c r="BSS116" s="1251"/>
      <c r="BST116" s="1251"/>
      <c r="BSU116" s="1251"/>
      <c r="BSV116" s="1251"/>
      <c r="BSW116" s="1251"/>
      <c r="BSX116" s="1251"/>
      <c r="BSY116" s="1251"/>
      <c r="BSZ116" s="1251"/>
      <c r="BTA116" s="1251"/>
      <c r="BTB116" s="1251"/>
      <c r="BTC116" s="1251"/>
      <c r="BTD116" s="1251"/>
      <c r="BTE116" s="1251"/>
      <c r="BTF116" s="1251"/>
      <c r="BTG116" s="1251"/>
      <c r="BTH116" s="1251"/>
      <c r="BTI116" s="1251"/>
    </row>
    <row r="117" spans="1:1881" s="1261" customFormat="1" ht="107.25" hidden="1" customHeight="1" thickBot="1" x14ac:dyDescent="0.35">
      <c r="A117" s="1274">
        <v>108</v>
      </c>
      <c r="B117" s="1272" t="s">
        <v>567</v>
      </c>
      <c r="C117" s="1275" t="s">
        <v>1280</v>
      </c>
      <c r="D117" s="659" t="s">
        <v>1382</v>
      </c>
      <c r="E117" s="1249" t="e">
        <f>HLOOKUP($D$2,'2020 Data(H)'!$C$1:$CZ$426,66,FALSE)</f>
        <v>#N/A</v>
      </c>
      <c r="F117" s="1263">
        <v>0</v>
      </c>
      <c r="G117" s="727"/>
      <c r="H117" s="17"/>
      <c r="I117" s="760"/>
      <c r="J117" s="1252"/>
      <c r="K117" s="1251"/>
      <c r="L117" s="701"/>
      <c r="M117" s="1251"/>
      <c r="N117" s="1253"/>
      <c r="O117" s="1251"/>
      <c r="P117" s="1251"/>
      <c r="Q117" s="1251"/>
      <c r="R117" s="1251"/>
      <c r="S117" s="1251"/>
      <c r="T117" s="1251"/>
      <c r="U117" s="1251"/>
      <c r="V117" s="1251"/>
      <c r="W117" s="1251"/>
      <c r="X117" s="1251"/>
      <c r="Y117" s="1251"/>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274"/>
      <c r="AS117" s="1251"/>
      <c r="AT117" s="1251"/>
      <c r="AU117" s="1251"/>
      <c r="AV117" s="1251"/>
      <c r="AW117" s="1251"/>
      <c r="AX117" s="1251"/>
      <c r="AY117" s="1251"/>
      <c r="AZ117" s="1251"/>
      <c r="BA117" s="1251"/>
      <c r="BB117" s="1251"/>
      <c r="BC117" s="1251"/>
      <c r="BD117" s="1251"/>
      <c r="BE117" s="1251"/>
      <c r="BF117" s="1251"/>
      <c r="BG117" s="1251"/>
      <c r="BH117" s="1251"/>
      <c r="BI117" s="1251"/>
      <c r="BJ117" s="1251"/>
      <c r="BK117" s="1251"/>
      <c r="BL117" s="1251"/>
      <c r="BM117" s="1251"/>
      <c r="BN117" s="1251"/>
      <c r="BO117" s="1251"/>
      <c r="BP117" s="1251"/>
      <c r="BQ117" s="1251"/>
      <c r="BR117" s="1251"/>
      <c r="BS117" s="1251"/>
      <c r="BT117" s="1251"/>
      <c r="BU117" s="1251"/>
      <c r="BV117" s="1251"/>
      <c r="BW117" s="1251"/>
      <c r="BX117" s="1251"/>
      <c r="BY117" s="1251"/>
      <c r="BZ117" s="1251"/>
      <c r="CA117" s="1251"/>
      <c r="CB117" s="1251"/>
      <c r="CC117" s="1251"/>
      <c r="CD117" s="1251"/>
      <c r="CE117" s="1251"/>
      <c r="CF117" s="1251"/>
      <c r="CG117" s="1251"/>
      <c r="CH117" s="1251"/>
      <c r="CI117" s="1251"/>
      <c r="CJ117" s="1251"/>
      <c r="CK117" s="1251"/>
      <c r="CL117" s="1251"/>
      <c r="CM117" s="1251"/>
      <c r="CN117" s="1251"/>
      <c r="CO117" s="1251"/>
      <c r="CP117" s="1251"/>
      <c r="CQ117" s="1251"/>
      <c r="CR117" s="1251"/>
      <c r="CS117" s="1251"/>
      <c r="CT117" s="1251"/>
      <c r="CU117" s="1251"/>
      <c r="CV117" s="1251"/>
      <c r="CW117" s="1251"/>
      <c r="CX117" s="1251"/>
      <c r="CY117" s="1251"/>
      <c r="CZ117" s="1251"/>
      <c r="DA117" s="1251"/>
      <c r="DB117" s="1251"/>
      <c r="DC117" s="1251"/>
      <c r="DD117" s="1251"/>
      <c r="DE117" s="1251"/>
      <c r="DF117" s="1251"/>
      <c r="DG117" s="1251"/>
      <c r="DH117" s="1251"/>
      <c r="DI117" s="1251"/>
      <c r="DJ117" s="1251"/>
      <c r="DK117" s="1251"/>
      <c r="DL117" s="1251"/>
      <c r="DM117" s="1251"/>
      <c r="DN117" s="1251"/>
      <c r="DO117" s="1251"/>
      <c r="DP117" s="1251"/>
      <c r="DQ117" s="1251"/>
      <c r="DR117" s="1251"/>
      <c r="DS117" s="1251"/>
      <c r="DT117" s="1251"/>
      <c r="DU117" s="1251"/>
      <c r="DV117" s="1251"/>
      <c r="DW117" s="1251"/>
      <c r="DX117" s="1251"/>
      <c r="DY117" s="1251"/>
      <c r="DZ117" s="1251"/>
      <c r="EA117" s="1251"/>
      <c r="EB117" s="1251"/>
      <c r="EC117" s="1251"/>
      <c r="ED117" s="1251"/>
      <c r="EE117" s="1251"/>
      <c r="EF117" s="1251"/>
      <c r="EG117" s="1251"/>
      <c r="EH117" s="1251"/>
      <c r="EI117" s="1251"/>
      <c r="EJ117" s="1251"/>
      <c r="EK117" s="1251"/>
      <c r="EL117" s="1251"/>
      <c r="EM117" s="1251"/>
      <c r="EN117" s="1251"/>
      <c r="EO117" s="1251"/>
      <c r="EP117" s="1251"/>
      <c r="EQ117" s="1251"/>
      <c r="ER117" s="1251"/>
      <c r="ES117" s="1251"/>
      <c r="ET117" s="1251"/>
      <c r="EU117" s="1251"/>
      <c r="EV117" s="1251"/>
      <c r="EW117" s="1251"/>
      <c r="EX117" s="1251"/>
      <c r="EY117" s="1251"/>
      <c r="EZ117" s="1251"/>
      <c r="FA117" s="1251"/>
      <c r="FB117" s="1251"/>
      <c r="FC117" s="1251"/>
      <c r="FD117" s="1251"/>
      <c r="FE117" s="1251"/>
      <c r="FF117" s="1251"/>
      <c r="FG117" s="1251"/>
      <c r="FH117" s="1251"/>
      <c r="FI117" s="1251"/>
      <c r="FJ117" s="1251"/>
      <c r="FK117" s="1251"/>
      <c r="FL117" s="1251"/>
      <c r="FM117" s="1251"/>
      <c r="FN117" s="1251"/>
      <c r="FO117" s="1251"/>
      <c r="FP117" s="1251"/>
      <c r="FQ117" s="1251"/>
      <c r="FR117" s="1251"/>
      <c r="FS117" s="1251"/>
      <c r="FT117" s="1251"/>
      <c r="FU117" s="1251"/>
      <c r="FV117" s="1251"/>
      <c r="FW117" s="1251"/>
      <c r="FX117" s="1251"/>
      <c r="FY117" s="1251"/>
      <c r="FZ117" s="1251"/>
      <c r="GA117" s="1251"/>
      <c r="GB117" s="1251"/>
      <c r="GC117" s="1251"/>
      <c r="GD117" s="1251"/>
      <c r="GE117" s="1251"/>
      <c r="GF117" s="1251"/>
      <c r="GG117" s="1251"/>
      <c r="GH117" s="1251"/>
      <c r="GI117" s="1251"/>
      <c r="GJ117" s="1251"/>
      <c r="GK117" s="1251"/>
      <c r="GL117" s="1251"/>
      <c r="GM117" s="1251"/>
      <c r="GN117" s="1251"/>
      <c r="GO117" s="1251"/>
      <c r="GP117" s="1251"/>
      <c r="GQ117" s="1251"/>
      <c r="GR117" s="1251"/>
      <c r="GS117" s="1251"/>
      <c r="GT117" s="1251"/>
      <c r="GU117" s="1251"/>
      <c r="GV117" s="1251"/>
      <c r="GW117" s="1251"/>
      <c r="GX117" s="1251"/>
      <c r="GY117" s="1251"/>
      <c r="GZ117" s="1251"/>
      <c r="HA117" s="1251"/>
      <c r="HB117" s="1251"/>
      <c r="HC117" s="1251"/>
      <c r="HD117" s="1251"/>
      <c r="HE117" s="1251"/>
      <c r="HF117" s="1251"/>
      <c r="HG117" s="1251"/>
      <c r="HH117" s="1251"/>
      <c r="HI117" s="1251"/>
      <c r="HJ117" s="1251"/>
      <c r="HK117" s="1251"/>
      <c r="HL117" s="1251"/>
      <c r="HM117" s="1251"/>
      <c r="HN117" s="1251"/>
      <c r="HO117" s="1251"/>
      <c r="HP117" s="1251"/>
      <c r="HQ117" s="1251"/>
      <c r="HR117" s="1251"/>
      <c r="HS117" s="1251"/>
      <c r="HT117" s="1251"/>
      <c r="HU117" s="1251"/>
      <c r="HV117" s="1251"/>
      <c r="HW117" s="1251"/>
      <c r="HX117" s="1251"/>
      <c r="HY117" s="1251"/>
      <c r="HZ117" s="1251"/>
      <c r="IA117" s="1251"/>
      <c r="IB117" s="1251"/>
      <c r="IC117" s="1251"/>
      <c r="ID117" s="1251"/>
      <c r="IE117" s="1251"/>
      <c r="IF117" s="1251"/>
      <c r="IG117" s="1251"/>
      <c r="IH117" s="1251"/>
      <c r="II117" s="1251"/>
      <c r="IJ117" s="1251"/>
      <c r="IK117" s="1251"/>
      <c r="IL117" s="1251"/>
      <c r="IM117" s="1251"/>
      <c r="IN117" s="1251"/>
      <c r="IO117" s="1251"/>
      <c r="IP117" s="1251"/>
      <c r="IQ117" s="1251"/>
      <c r="IR117" s="1251"/>
      <c r="IS117" s="1251"/>
      <c r="IT117" s="1251"/>
      <c r="IU117" s="1251"/>
      <c r="IV117" s="1251"/>
      <c r="IW117" s="1251"/>
      <c r="IX117" s="1251"/>
      <c r="IY117" s="1251"/>
      <c r="IZ117" s="1251"/>
      <c r="JA117" s="1251"/>
      <c r="JB117" s="1251"/>
      <c r="JC117" s="1251"/>
      <c r="JD117" s="1251"/>
      <c r="JE117" s="1251"/>
      <c r="JF117" s="1251"/>
      <c r="JG117" s="1251"/>
      <c r="JH117" s="1251"/>
      <c r="JI117" s="1251"/>
      <c r="JJ117" s="1251"/>
      <c r="JK117" s="1251"/>
      <c r="JL117" s="1251"/>
      <c r="JM117" s="1251"/>
      <c r="JN117" s="1251"/>
      <c r="JO117" s="1251"/>
      <c r="JP117" s="1251"/>
      <c r="JQ117" s="1251"/>
      <c r="JR117" s="1251"/>
      <c r="JS117" s="1251"/>
      <c r="JT117" s="1251"/>
      <c r="JU117" s="1251"/>
      <c r="JV117" s="1251"/>
      <c r="JW117" s="1251"/>
      <c r="JX117" s="1251"/>
      <c r="JY117" s="1251"/>
      <c r="JZ117" s="1251"/>
      <c r="KA117" s="1251"/>
      <c r="KB117" s="1251"/>
      <c r="KC117" s="1251"/>
      <c r="KD117" s="1251"/>
      <c r="KE117" s="1251"/>
      <c r="KF117" s="1251"/>
      <c r="KG117" s="1251"/>
      <c r="KH117" s="1251"/>
      <c r="KI117" s="1251"/>
      <c r="KJ117" s="1251"/>
      <c r="KK117" s="1251"/>
      <c r="KL117" s="1251"/>
      <c r="KM117" s="1251"/>
      <c r="KN117" s="1251"/>
      <c r="KO117" s="1251"/>
      <c r="KP117" s="1251"/>
      <c r="KQ117" s="1251"/>
      <c r="KR117" s="1251"/>
      <c r="KS117" s="1251"/>
      <c r="KT117" s="1251"/>
      <c r="KU117" s="1251"/>
      <c r="KV117" s="1251"/>
      <c r="KW117" s="1251"/>
      <c r="KX117" s="1251"/>
      <c r="KY117" s="1251"/>
      <c r="KZ117" s="1251"/>
      <c r="LA117" s="1251"/>
      <c r="LB117" s="1251"/>
      <c r="LC117" s="1251"/>
      <c r="LD117" s="1251"/>
      <c r="LE117" s="1251"/>
      <c r="LF117" s="1251"/>
      <c r="LG117" s="1251"/>
      <c r="LH117" s="1251"/>
      <c r="LI117" s="1251"/>
      <c r="LJ117" s="1251"/>
      <c r="LK117" s="1251"/>
      <c r="LL117" s="1251"/>
      <c r="LM117" s="1251"/>
      <c r="LN117" s="1251"/>
      <c r="LO117" s="1251"/>
      <c r="LP117" s="1251"/>
      <c r="LQ117" s="1251"/>
      <c r="LR117" s="1251"/>
      <c r="LS117" s="1251"/>
      <c r="LT117" s="1251"/>
      <c r="LU117" s="1251"/>
      <c r="LV117" s="1251"/>
      <c r="LW117" s="1251"/>
      <c r="LX117" s="1251"/>
      <c r="LY117" s="1251"/>
      <c r="LZ117" s="1251"/>
      <c r="MA117" s="1251"/>
      <c r="MB117" s="1251"/>
      <c r="MC117" s="1251"/>
      <c r="MD117" s="1251"/>
      <c r="ME117" s="1251"/>
      <c r="MF117" s="1251"/>
      <c r="MG117" s="1251"/>
      <c r="MH117" s="1251"/>
      <c r="MI117" s="1251"/>
      <c r="MJ117" s="1251"/>
      <c r="MK117" s="1251"/>
      <c r="ML117" s="1251"/>
      <c r="MM117" s="1251"/>
      <c r="MN117" s="1251"/>
      <c r="MO117" s="1251"/>
      <c r="MP117" s="1251"/>
      <c r="MQ117" s="1251"/>
      <c r="MR117" s="1251"/>
      <c r="MS117" s="1251"/>
      <c r="MT117" s="1251"/>
      <c r="MU117" s="1251"/>
      <c r="MV117" s="1251"/>
      <c r="MW117" s="1251"/>
      <c r="MX117" s="1251"/>
      <c r="MY117" s="1251"/>
      <c r="MZ117" s="1251"/>
      <c r="NA117" s="1251"/>
      <c r="NB117" s="1251"/>
      <c r="NC117" s="1251"/>
      <c r="ND117" s="1251"/>
      <c r="NE117" s="1251"/>
      <c r="NF117" s="1251"/>
      <c r="NG117" s="1251"/>
      <c r="NH117" s="1251"/>
      <c r="NI117" s="1251"/>
      <c r="NJ117" s="1251"/>
      <c r="NK117" s="1251"/>
      <c r="NL117" s="1251"/>
      <c r="NM117" s="1251"/>
      <c r="NN117" s="1251"/>
      <c r="NO117" s="1251"/>
      <c r="NP117" s="1251"/>
      <c r="NQ117" s="1251"/>
      <c r="NR117" s="1251"/>
      <c r="NS117" s="1251"/>
      <c r="NT117" s="1251"/>
      <c r="NU117" s="1251"/>
      <c r="NV117" s="1251"/>
      <c r="NW117" s="1251"/>
      <c r="NX117" s="1251"/>
      <c r="NY117" s="1251"/>
      <c r="NZ117" s="1251"/>
      <c r="OA117" s="1251"/>
      <c r="OB117" s="1251"/>
      <c r="OC117" s="1251"/>
      <c r="OD117" s="1251"/>
      <c r="OE117" s="1251"/>
      <c r="OF117" s="1251"/>
      <c r="OG117" s="1251"/>
      <c r="OH117" s="1251"/>
      <c r="OI117" s="1251"/>
      <c r="OJ117" s="1251"/>
      <c r="OK117" s="1251"/>
      <c r="OL117" s="1251"/>
      <c r="OM117" s="1251"/>
      <c r="ON117" s="1251"/>
      <c r="OO117" s="1251"/>
      <c r="OP117" s="1251"/>
      <c r="OQ117" s="1251"/>
      <c r="OR117" s="1251"/>
      <c r="OS117" s="1251"/>
      <c r="OT117" s="1251"/>
      <c r="OU117" s="1251"/>
      <c r="OV117" s="1251"/>
      <c r="OW117" s="1251"/>
      <c r="OX117" s="1251"/>
      <c r="OY117" s="1251"/>
      <c r="OZ117" s="1251"/>
      <c r="PA117" s="1251"/>
      <c r="PB117" s="1251"/>
      <c r="PC117" s="1251"/>
      <c r="PD117" s="1251"/>
      <c r="PE117" s="1251"/>
      <c r="PF117" s="1251"/>
      <c r="PG117" s="1251"/>
      <c r="PH117" s="1251"/>
      <c r="PI117" s="1251"/>
      <c r="PJ117" s="1251"/>
      <c r="PK117" s="1251"/>
      <c r="PL117" s="1251"/>
      <c r="PM117" s="1251"/>
      <c r="PN117" s="1251"/>
      <c r="PO117" s="1251"/>
      <c r="PP117" s="1251"/>
      <c r="PQ117" s="1251"/>
      <c r="PR117" s="1251"/>
      <c r="PS117" s="1251"/>
      <c r="PT117" s="1251"/>
      <c r="PU117" s="1251"/>
      <c r="PV117" s="1251"/>
      <c r="PW117" s="1251"/>
      <c r="PX117" s="1251"/>
      <c r="PY117" s="1251"/>
      <c r="PZ117" s="1251"/>
      <c r="QA117" s="1251"/>
      <c r="QB117" s="1251"/>
      <c r="QC117" s="1251"/>
      <c r="QD117" s="1251"/>
      <c r="QE117" s="1251"/>
      <c r="QF117" s="1251"/>
      <c r="QG117" s="1251"/>
      <c r="QH117" s="1251"/>
      <c r="QI117" s="1251"/>
      <c r="QJ117" s="1251"/>
      <c r="QK117" s="1251"/>
      <c r="QL117" s="1251"/>
      <c r="QM117" s="1251"/>
      <c r="QN117" s="1251"/>
      <c r="QO117" s="1251"/>
      <c r="QP117" s="1251"/>
      <c r="QQ117" s="1251"/>
      <c r="QR117" s="1251"/>
      <c r="QS117" s="1251"/>
      <c r="QT117" s="1251"/>
      <c r="QU117" s="1251"/>
      <c r="QV117" s="1251"/>
      <c r="QW117" s="1251"/>
      <c r="QX117" s="1251"/>
      <c r="QY117" s="1251"/>
      <c r="QZ117" s="1251"/>
      <c r="RA117" s="1251"/>
      <c r="RB117" s="1251"/>
      <c r="RC117" s="1251"/>
      <c r="RD117" s="1251"/>
      <c r="RE117" s="1251"/>
      <c r="RF117" s="1251"/>
      <c r="RG117" s="1251"/>
      <c r="RH117" s="1251"/>
      <c r="RI117" s="1251"/>
      <c r="RJ117" s="1251"/>
      <c r="RK117" s="1251"/>
      <c r="RL117" s="1251"/>
      <c r="RM117" s="1251"/>
      <c r="RN117" s="1251"/>
      <c r="RO117" s="1251"/>
      <c r="RP117" s="1251"/>
      <c r="RQ117" s="1251"/>
      <c r="RR117" s="1251"/>
      <c r="RS117" s="1251"/>
      <c r="RT117" s="1251"/>
      <c r="RU117" s="1251"/>
      <c r="RV117" s="1251"/>
      <c r="RW117" s="1251"/>
      <c r="RX117" s="1251"/>
      <c r="RY117" s="1251"/>
      <c r="RZ117" s="1251"/>
      <c r="SA117" s="1251"/>
      <c r="SB117" s="1251"/>
      <c r="SC117" s="1251"/>
      <c r="SD117" s="1251"/>
      <c r="SE117" s="1251"/>
      <c r="SF117" s="1251"/>
      <c r="SG117" s="1251"/>
      <c r="SH117" s="1251"/>
      <c r="SI117" s="1251"/>
      <c r="SJ117" s="1251"/>
      <c r="SK117" s="1251"/>
      <c r="SL117" s="1251"/>
      <c r="SM117" s="1251"/>
      <c r="SN117" s="1251"/>
      <c r="SO117" s="1251"/>
      <c r="SP117" s="1251"/>
      <c r="SQ117" s="1251"/>
      <c r="SR117" s="1251"/>
      <c r="SS117" s="1251"/>
      <c r="ST117" s="1251"/>
      <c r="SU117" s="1251"/>
      <c r="SV117" s="1251"/>
      <c r="SW117" s="1251"/>
      <c r="SX117" s="1251"/>
      <c r="SY117" s="1251"/>
      <c r="SZ117" s="1251"/>
      <c r="TA117" s="1251"/>
      <c r="TB117" s="1251"/>
      <c r="TC117" s="1251"/>
      <c r="TD117" s="1251"/>
      <c r="TE117" s="1251"/>
      <c r="TF117" s="1251"/>
      <c r="TG117" s="1251"/>
      <c r="TH117" s="1251"/>
      <c r="TI117" s="1251"/>
      <c r="TJ117" s="1251"/>
      <c r="TK117" s="1251"/>
      <c r="TL117" s="1251"/>
      <c r="TM117" s="1251"/>
      <c r="TN117" s="1251"/>
      <c r="TO117" s="1251"/>
      <c r="TP117" s="1251"/>
      <c r="TQ117" s="1251"/>
      <c r="TR117" s="1251"/>
      <c r="TS117" s="1251"/>
      <c r="TT117" s="1251"/>
      <c r="TU117" s="1251"/>
      <c r="TV117" s="1251"/>
      <c r="TW117" s="1251"/>
      <c r="TX117" s="1251"/>
      <c r="TY117" s="1251"/>
      <c r="TZ117" s="1251"/>
      <c r="UA117" s="1251"/>
      <c r="UB117" s="1251"/>
      <c r="UC117" s="1251"/>
      <c r="UD117" s="1251"/>
      <c r="UE117" s="1251"/>
      <c r="UF117" s="1251"/>
      <c r="UG117" s="1251"/>
      <c r="UH117" s="1251"/>
      <c r="UI117" s="1251"/>
      <c r="UJ117" s="1251"/>
      <c r="UK117" s="1251"/>
      <c r="UL117" s="1251"/>
      <c r="UM117" s="1251"/>
      <c r="UN117" s="1251"/>
      <c r="UO117" s="1251"/>
      <c r="UP117" s="1251"/>
      <c r="UQ117" s="1251"/>
      <c r="UR117" s="1251"/>
      <c r="US117" s="1251"/>
      <c r="UT117" s="1251"/>
      <c r="UU117" s="1251"/>
      <c r="UV117" s="1251"/>
      <c r="UW117" s="1251"/>
      <c r="UX117" s="1251"/>
      <c r="UY117" s="1251"/>
      <c r="UZ117" s="1251"/>
      <c r="VA117" s="1251"/>
      <c r="VB117" s="1251"/>
      <c r="VC117" s="1251"/>
      <c r="VD117" s="1251"/>
      <c r="VE117" s="1251"/>
      <c r="VF117" s="1251"/>
      <c r="VG117" s="1251"/>
      <c r="VH117" s="1251"/>
      <c r="VI117" s="1251"/>
      <c r="VJ117" s="1251"/>
      <c r="VK117" s="1251"/>
      <c r="VL117" s="1251"/>
      <c r="VM117" s="1251"/>
      <c r="VN117" s="1251"/>
      <c r="VO117" s="1251"/>
      <c r="VP117" s="1251"/>
      <c r="VQ117" s="1251"/>
      <c r="VR117" s="1251"/>
      <c r="VS117" s="1251"/>
      <c r="VT117" s="1251"/>
      <c r="VU117" s="1251"/>
      <c r="VV117" s="1251"/>
      <c r="VW117" s="1251"/>
      <c r="VX117" s="1251"/>
      <c r="VY117" s="1251"/>
      <c r="VZ117" s="1251"/>
      <c r="WA117" s="1251"/>
      <c r="WB117" s="1251"/>
      <c r="WC117" s="1251"/>
      <c r="WD117" s="1251"/>
      <c r="WE117" s="1251"/>
      <c r="WF117" s="1251"/>
      <c r="WG117" s="1251"/>
      <c r="WH117" s="1251"/>
      <c r="WI117" s="1251"/>
      <c r="WJ117" s="1251"/>
      <c r="WK117" s="1251"/>
      <c r="WL117" s="1251"/>
      <c r="WM117" s="1251"/>
      <c r="WN117" s="1251"/>
      <c r="WO117" s="1251"/>
      <c r="WP117" s="1251"/>
      <c r="WQ117" s="1251"/>
      <c r="WR117" s="1251"/>
      <c r="WS117" s="1251"/>
      <c r="WT117" s="1251"/>
      <c r="WU117" s="1251"/>
      <c r="WV117" s="1251"/>
      <c r="WW117" s="1251"/>
      <c r="WX117" s="1251"/>
      <c r="WY117" s="1251"/>
      <c r="WZ117" s="1251"/>
      <c r="XA117" s="1251"/>
      <c r="XB117" s="1251"/>
      <c r="XC117" s="1251"/>
      <c r="XD117" s="1251"/>
      <c r="XE117" s="1251"/>
      <c r="XF117" s="1251"/>
      <c r="XG117" s="1251"/>
      <c r="XH117" s="1251"/>
      <c r="XI117" s="1251"/>
      <c r="XJ117" s="1251"/>
      <c r="XK117" s="1251"/>
      <c r="XL117" s="1251"/>
      <c r="XM117" s="1251"/>
      <c r="XN117" s="1251"/>
      <c r="XO117" s="1251"/>
      <c r="XP117" s="1251"/>
      <c r="XQ117" s="1251"/>
      <c r="XR117" s="1251"/>
      <c r="XS117" s="1251"/>
      <c r="XT117" s="1251"/>
      <c r="XU117" s="1251"/>
      <c r="XV117" s="1251"/>
      <c r="XW117" s="1251"/>
      <c r="XX117" s="1251"/>
      <c r="XY117" s="1251"/>
      <c r="XZ117" s="1251"/>
      <c r="YA117" s="1251"/>
      <c r="YB117" s="1251"/>
      <c r="YC117" s="1251"/>
      <c r="YD117" s="1251"/>
      <c r="YE117" s="1251"/>
      <c r="YF117" s="1251"/>
      <c r="YG117" s="1251"/>
      <c r="YH117" s="1251"/>
      <c r="YI117" s="1251"/>
      <c r="YJ117" s="1251"/>
      <c r="YK117" s="1251"/>
      <c r="YL117" s="1251"/>
      <c r="YM117" s="1251"/>
      <c r="YN117" s="1251"/>
      <c r="YO117" s="1251"/>
      <c r="YP117" s="1251"/>
      <c r="YQ117" s="1251"/>
      <c r="YR117" s="1251"/>
      <c r="YS117" s="1251"/>
      <c r="YT117" s="1251"/>
      <c r="YU117" s="1251"/>
      <c r="YV117" s="1251"/>
      <c r="YW117" s="1251"/>
      <c r="YX117" s="1251"/>
      <c r="YY117" s="1251"/>
      <c r="YZ117" s="1251"/>
      <c r="ZA117" s="1251"/>
      <c r="ZB117" s="1251"/>
      <c r="ZC117" s="1251"/>
      <c r="ZD117" s="1251"/>
      <c r="ZE117" s="1251"/>
      <c r="ZF117" s="1251"/>
      <c r="ZG117" s="1251"/>
      <c r="ZH117" s="1251"/>
      <c r="ZI117" s="1251"/>
      <c r="ZJ117" s="1251"/>
      <c r="ZK117" s="1251"/>
      <c r="ZL117" s="1251"/>
      <c r="ZM117" s="1251"/>
      <c r="ZN117" s="1251"/>
      <c r="ZO117" s="1251"/>
      <c r="ZP117" s="1251"/>
      <c r="ZQ117" s="1251"/>
      <c r="ZR117" s="1251"/>
      <c r="ZS117" s="1251"/>
      <c r="ZT117" s="1251"/>
      <c r="ZU117" s="1251"/>
      <c r="ZV117" s="1251"/>
      <c r="ZW117" s="1251"/>
      <c r="ZX117" s="1251"/>
      <c r="ZY117" s="1251"/>
      <c r="ZZ117" s="1251"/>
      <c r="AAA117" s="1251"/>
      <c r="AAB117" s="1251"/>
      <c r="AAC117" s="1251"/>
      <c r="AAD117" s="1251"/>
      <c r="AAE117" s="1251"/>
      <c r="AAF117" s="1251"/>
      <c r="AAG117" s="1251"/>
      <c r="AAH117" s="1251"/>
      <c r="AAI117" s="1251"/>
      <c r="AAJ117" s="1251"/>
      <c r="AAK117" s="1251"/>
      <c r="AAL117" s="1251"/>
      <c r="AAM117" s="1251"/>
      <c r="AAN117" s="1251"/>
      <c r="AAO117" s="1251"/>
      <c r="AAP117" s="1251"/>
      <c r="AAQ117" s="1251"/>
      <c r="AAR117" s="1251"/>
      <c r="AAS117" s="1251"/>
      <c r="AAT117" s="1251"/>
      <c r="AAU117" s="1251"/>
      <c r="AAV117" s="1251"/>
      <c r="AAW117" s="1251"/>
      <c r="AAX117" s="1251"/>
      <c r="AAY117" s="1251"/>
      <c r="AAZ117" s="1251"/>
      <c r="ABA117" s="1251"/>
      <c r="ABB117" s="1251"/>
      <c r="ABC117" s="1251"/>
      <c r="ABD117" s="1251"/>
      <c r="ABE117" s="1251"/>
      <c r="ABF117" s="1251"/>
      <c r="ABG117" s="1251"/>
      <c r="ABH117" s="1251"/>
      <c r="ABI117" s="1251"/>
      <c r="ABJ117" s="1251"/>
      <c r="ABK117" s="1251"/>
      <c r="ABL117" s="1251"/>
      <c r="ABM117" s="1251"/>
      <c r="ABN117" s="1251"/>
      <c r="ABO117" s="1251"/>
      <c r="ABP117" s="1251"/>
      <c r="ABQ117" s="1251"/>
      <c r="ABR117" s="1251"/>
      <c r="ABS117" s="1251"/>
      <c r="ABT117" s="1251"/>
      <c r="ABU117" s="1251"/>
      <c r="ABV117" s="1251"/>
      <c r="ABW117" s="1251"/>
      <c r="ABX117" s="1251"/>
      <c r="ABY117" s="1251"/>
      <c r="ABZ117" s="1251"/>
      <c r="ACA117" s="1251"/>
      <c r="ACB117" s="1251"/>
      <c r="ACC117" s="1251"/>
      <c r="ACD117" s="1251"/>
      <c r="ACE117" s="1251"/>
      <c r="ACF117" s="1251"/>
      <c r="ACG117" s="1251"/>
      <c r="ACH117" s="1251"/>
      <c r="ACI117" s="1251"/>
      <c r="ACJ117" s="1251"/>
      <c r="ACK117" s="1251"/>
      <c r="ACL117" s="1251"/>
      <c r="ACM117" s="1251"/>
      <c r="ACN117" s="1251"/>
      <c r="ACO117" s="1251"/>
      <c r="ACP117" s="1251"/>
      <c r="ACQ117" s="1251"/>
      <c r="ACR117" s="1251"/>
      <c r="ACS117" s="1251"/>
      <c r="ACT117" s="1251"/>
      <c r="ACU117" s="1251"/>
      <c r="ACV117" s="1251"/>
      <c r="ACW117" s="1251"/>
      <c r="ACX117" s="1251"/>
      <c r="ACY117" s="1251"/>
      <c r="ACZ117" s="1251"/>
      <c r="ADA117" s="1251"/>
      <c r="ADB117" s="1251"/>
      <c r="ADC117" s="1251"/>
      <c r="ADD117" s="1251"/>
      <c r="ADE117" s="1251"/>
      <c r="ADF117" s="1251"/>
      <c r="ADG117" s="1251"/>
      <c r="ADH117" s="1251"/>
      <c r="ADI117" s="1251"/>
      <c r="ADJ117" s="1251"/>
      <c r="ADK117" s="1251"/>
      <c r="ADL117" s="1251"/>
      <c r="ADM117" s="1251"/>
      <c r="ADN117" s="1251"/>
      <c r="ADO117" s="1251"/>
      <c r="ADP117" s="1251"/>
      <c r="ADQ117" s="1251"/>
      <c r="ADR117" s="1251"/>
      <c r="ADS117" s="1251"/>
      <c r="ADT117" s="1251"/>
      <c r="ADU117" s="1251"/>
      <c r="ADV117" s="1251"/>
      <c r="ADW117" s="1251"/>
      <c r="ADX117" s="1251"/>
      <c r="ADY117" s="1251"/>
      <c r="ADZ117" s="1251"/>
      <c r="AEA117" s="1251"/>
      <c r="AEB117" s="1251"/>
      <c r="AEC117" s="1251"/>
      <c r="AED117" s="1251"/>
      <c r="AEE117" s="1251"/>
      <c r="AEF117" s="1251"/>
      <c r="AEG117" s="1251"/>
      <c r="AEH117" s="1251"/>
      <c r="AEI117" s="1251"/>
      <c r="AEJ117" s="1251"/>
      <c r="AEK117" s="1251"/>
      <c r="AEL117" s="1251"/>
      <c r="AEM117" s="1251"/>
      <c r="AEN117" s="1251"/>
      <c r="AEO117" s="1251"/>
      <c r="AEP117" s="1251"/>
      <c r="AEQ117" s="1251"/>
      <c r="AER117" s="1251"/>
      <c r="AES117" s="1251"/>
      <c r="AET117" s="1251"/>
      <c r="AEU117" s="1251"/>
      <c r="AEV117" s="1251"/>
      <c r="AEW117" s="1251"/>
      <c r="AEX117" s="1251"/>
      <c r="AEY117" s="1251"/>
      <c r="AEZ117" s="1251"/>
      <c r="AFA117" s="1251"/>
      <c r="AFB117" s="1251"/>
      <c r="AFC117" s="1251"/>
      <c r="AFD117" s="1251"/>
      <c r="AFE117" s="1251"/>
      <c r="AFF117" s="1251"/>
      <c r="AFG117" s="1251"/>
      <c r="AFH117" s="1251"/>
      <c r="AFI117" s="1251"/>
      <c r="AFJ117" s="1251"/>
      <c r="AFK117" s="1251"/>
      <c r="AFL117" s="1251"/>
      <c r="AFM117" s="1251"/>
      <c r="AFN117" s="1251"/>
      <c r="AFO117" s="1251"/>
      <c r="AFP117" s="1251"/>
      <c r="AFQ117" s="1251"/>
      <c r="AFR117" s="1251"/>
      <c r="AFS117" s="1251"/>
      <c r="AFT117" s="1251"/>
      <c r="AFU117" s="1251"/>
      <c r="AFV117" s="1251"/>
      <c r="AFW117" s="1251"/>
      <c r="AFX117" s="1251"/>
      <c r="AFY117" s="1251"/>
      <c r="AFZ117" s="1251"/>
      <c r="AGA117" s="1251"/>
      <c r="AGB117" s="1251"/>
      <c r="AGC117" s="1251"/>
      <c r="AGD117" s="1251"/>
      <c r="AGE117" s="1251"/>
      <c r="AGF117" s="1251"/>
      <c r="AGG117" s="1251"/>
      <c r="AGH117" s="1251"/>
      <c r="AGI117" s="1251"/>
      <c r="AGJ117" s="1251"/>
      <c r="AGK117" s="1251"/>
      <c r="AGL117" s="1251"/>
      <c r="AGM117" s="1251"/>
      <c r="AGN117" s="1251"/>
      <c r="AGO117" s="1251"/>
      <c r="AGP117" s="1251"/>
      <c r="AGQ117" s="1251"/>
      <c r="AGR117" s="1251"/>
      <c r="AGS117" s="1251"/>
      <c r="AGT117" s="1251"/>
      <c r="AGU117" s="1251"/>
      <c r="AGV117" s="1251"/>
      <c r="AGW117" s="1251"/>
      <c r="AGX117" s="1251"/>
      <c r="AGY117" s="1251"/>
      <c r="AGZ117" s="1251"/>
      <c r="AHA117" s="1251"/>
      <c r="AHB117" s="1251"/>
      <c r="AHC117" s="1251"/>
      <c r="AHD117" s="1251"/>
      <c r="AHE117" s="1251"/>
      <c r="AHF117" s="1251"/>
      <c r="AHG117" s="1251"/>
      <c r="AHH117" s="1251"/>
      <c r="AHI117" s="1251"/>
      <c r="AHJ117" s="1251"/>
      <c r="AHK117" s="1251"/>
      <c r="AHL117" s="1251"/>
      <c r="AHM117" s="1251"/>
      <c r="AHN117" s="1251"/>
      <c r="AHO117" s="1251"/>
      <c r="AHP117" s="1251"/>
      <c r="AHQ117" s="1251"/>
      <c r="AHR117" s="1251"/>
      <c r="AHS117" s="1251"/>
      <c r="AHT117" s="1251"/>
      <c r="AHU117" s="1251"/>
      <c r="AHV117" s="1251"/>
      <c r="AHW117" s="1251"/>
      <c r="AHX117" s="1251"/>
      <c r="AHY117" s="1251"/>
      <c r="AHZ117" s="1251"/>
      <c r="AIA117" s="1251"/>
      <c r="AIB117" s="1251"/>
      <c r="AIC117" s="1251"/>
      <c r="AID117" s="1251"/>
      <c r="AIE117" s="1251"/>
      <c r="AIF117" s="1251"/>
      <c r="AIG117" s="1251"/>
      <c r="AIH117" s="1251"/>
      <c r="AII117" s="1251"/>
      <c r="AIJ117" s="1251"/>
      <c r="AIK117" s="1251"/>
      <c r="AIL117" s="1251"/>
      <c r="AIM117" s="1251"/>
      <c r="AIN117" s="1251"/>
      <c r="AIO117" s="1251"/>
      <c r="AIP117" s="1251"/>
      <c r="AIQ117" s="1251"/>
      <c r="AIR117" s="1251"/>
      <c r="AIS117" s="1251"/>
      <c r="AIT117" s="1251"/>
      <c r="AIU117" s="1251"/>
      <c r="AIV117" s="1251"/>
      <c r="AIW117" s="1251"/>
      <c r="AIX117" s="1251"/>
      <c r="AIY117" s="1251"/>
      <c r="AIZ117" s="1251"/>
      <c r="AJA117" s="1251"/>
      <c r="AJB117" s="1251"/>
      <c r="AJC117" s="1251"/>
      <c r="AJD117" s="1251"/>
      <c r="AJE117" s="1251"/>
      <c r="AJF117" s="1251"/>
      <c r="AJG117" s="1251"/>
      <c r="AJH117" s="1251"/>
      <c r="AJI117" s="1251"/>
      <c r="AJJ117" s="1251"/>
      <c r="AJK117" s="1251"/>
      <c r="AJL117" s="1251"/>
      <c r="AJM117" s="1251"/>
      <c r="AJN117" s="1251"/>
      <c r="AJO117" s="1251"/>
      <c r="AJP117" s="1251"/>
      <c r="AJQ117" s="1251"/>
      <c r="AJR117" s="1251"/>
      <c r="AJS117" s="1251"/>
      <c r="AJT117" s="1251"/>
      <c r="AJU117" s="1251"/>
      <c r="AJV117" s="1251"/>
      <c r="AJW117" s="1251"/>
      <c r="AJX117" s="1251"/>
      <c r="AJY117" s="1251"/>
      <c r="AJZ117" s="1251"/>
      <c r="AKA117" s="1251"/>
      <c r="AKB117" s="1251"/>
      <c r="AKC117" s="1251"/>
      <c r="AKD117" s="1251"/>
      <c r="AKE117" s="1251"/>
      <c r="AKF117" s="1251"/>
      <c r="AKG117" s="1251"/>
      <c r="AKH117" s="1251"/>
      <c r="AKI117" s="1251"/>
      <c r="AKJ117" s="1251"/>
      <c r="AKK117" s="1251"/>
      <c r="AKL117" s="1251"/>
      <c r="AKM117" s="1251"/>
      <c r="AKN117" s="1251"/>
      <c r="AKO117" s="1251"/>
      <c r="AKP117" s="1251"/>
      <c r="AKQ117" s="1251"/>
      <c r="AKR117" s="1251"/>
      <c r="AKS117" s="1251"/>
      <c r="AKT117" s="1251"/>
      <c r="AKU117" s="1251"/>
      <c r="AKV117" s="1251"/>
      <c r="AKW117" s="1251"/>
      <c r="AKX117" s="1251"/>
      <c r="AKY117" s="1251"/>
      <c r="AKZ117" s="1251"/>
      <c r="ALA117" s="1251"/>
      <c r="ALB117" s="1251"/>
      <c r="ALC117" s="1251"/>
      <c r="ALD117" s="1251"/>
      <c r="ALE117" s="1251"/>
      <c r="ALF117" s="1251"/>
      <c r="ALG117" s="1251"/>
      <c r="ALH117" s="1251"/>
      <c r="ALI117" s="1251"/>
      <c r="ALJ117" s="1251"/>
      <c r="ALK117" s="1251"/>
      <c r="ALL117" s="1251"/>
      <c r="ALM117" s="1251"/>
      <c r="ALN117" s="1251"/>
      <c r="ALO117" s="1251"/>
      <c r="ALP117" s="1251"/>
      <c r="ALQ117" s="1251"/>
      <c r="ALR117" s="1251"/>
      <c r="ALS117" s="1251"/>
      <c r="ALT117" s="1251"/>
      <c r="ALU117" s="1251"/>
      <c r="ALV117" s="1251"/>
      <c r="ALW117" s="1251"/>
      <c r="ALX117" s="1251"/>
      <c r="ALY117" s="1251"/>
      <c r="ALZ117" s="1251"/>
      <c r="AMA117" s="1251"/>
      <c r="AMB117" s="1251"/>
      <c r="AMC117" s="1251"/>
      <c r="AMD117" s="1251"/>
      <c r="AME117" s="1251"/>
      <c r="AMF117" s="1251"/>
      <c r="AMG117" s="1251"/>
      <c r="AMH117" s="1251"/>
      <c r="AMI117" s="1251"/>
      <c r="AMJ117" s="1251"/>
      <c r="AMK117" s="1251"/>
      <c r="AML117" s="1251"/>
      <c r="AMM117" s="1251"/>
      <c r="AMN117" s="1251"/>
      <c r="AMO117" s="1251"/>
      <c r="AMP117" s="1251"/>
      <c r="AMQ117" s="1251"/>
      <c r="AMR117" s="1251"/>
      <c r="AMS117" s="1251"/>
      <c r="AMT117" s="1251"/>
      <c r="AMU117" s="1251"/>
      <c r="AMV117" s="1251"/>
      <c r="AMW117" s="1251"/>
      <c r="AMX117" s="1251"/>
      <c r="AMY117" s="1251"/>
      <c r="AMZ117" s="1251"/>
      <c r="ANA117" s="1251"/>
      <c r="ANB117" s="1251"/>
      <c r="ANC117" s="1251"/>
      <c r="AND117" s="1251"/>
      <c r="ANE117" s="1251"/>
      <c r="ANF117" s="1251"/>
      <c r="ANG117" s="1251"/>
      <c r="ANH117" s="1251"/>
      <c r="ANI117" s="1251"/>
      <c r="ANJ117" s="1251"/>
      <c r="ANK117" s="1251"/>
      <c r="ANL117" s="1251"/>
      <c r="ANM117" s="1251"/>
      <c r="ANN117" s="1251"/>
      <c r="ANO117" s="1251"/>
      <c r="ANP117" s="1251"/>
      <c r="ANQ117" s="1251"/>
      <c r="ANR117" s="1251"/>
      <c r="ANS117" s="1251"/>
      <c r="ANT117" s="1251"/>
      <c r="ANU117" s="1251"/>
      <c r="ANV117" s="1251"/>
      <c r="ANW117" s="1251"/>
      <c r="ANX117" s="1251"/>
      <c r="ANY117" s="1251"/>
      <c r="ANZ117" s="1251"/>
      <c r="AOA117" s="1251"/>
      <c r="AOB117" s="1251"/>
      <c r="AOC117" s="1251"/>
      <c r="AOD117" s="1251"/>
      <c r="AOE117" s="1251"/>
      <c r="AOF117" s="1251"/>
      <c r="AOG117" s="1251"/>
      <c r="AOH117" s="1251"/>
      <c r="AOI117" s="1251"/>
      <c r="AOJ117" s="1251"/>
      <c r="AOK117" s="1251"/>
      <c r="AOL117" s="1251"/>
      <c r="AOM117" s="1251"/>
      <c r="AON117" s="1251"/>
      <c r="AOO117" s="1251"/>
      <c r="AOP117" s="1251"/>
      <c r="AOQ117" s="1251"/>
      <c r="AOR117" s="1251"/>
      <c r="AOS117" s="1251"/>
      <c r="AOT117" s="1251"/>
      <c r="AOU117" s="1251"/>
      <c r="AOV117" s="1251"/>
      <c r="AOW117" s="1251"/>
      <c r="AOX117" s="1251"/>
      <c r="AOY117" s="1251"/>
      <c r="AOZ117" s="1251"/>
      <c r="APA117" s="1251"/>
      <c r="APB117" s="1251"/>
      <c r="APC117" s="1251"/>
      <c r="APD117" s="1251"/>
      <c r="APE117" s="1251"/>
      <c r="APF117" s="1251"/>
      <c r="APG117" s="1251"/>
      <c r="APH117" s="1251"/>
      <c r="API117" s="1251"/>
      <c r="APJ117" s="1251"/>
      <c r="APK117" s="1251"/>
      <c r="APL117" s="1251"/>
      <c r="APM117" s="1251"/>
      <c r="APN117" s="1251"/>
      <c r="APO117" s="1251"/>
      <c r="APP117" s="1251"/>
      <c r="APQ117" s="1251"/>
      <c r="APR117" s="1251"/>
      <c r="APS117" s="1251"/>
      <c r="APT117" s="1251"/>
      <c r="APU117" s="1251"/>
      <c r="APV117" s="1251"/>
      <c r="APW117" s="1251"/>
      <c r="APX117" s="1251"/>
      <c r="APY117" s="1251"/>
      <c r="APZ117" s="1251"/>
      <c r="AQA117" s="1251"/>
      <c r="AQB117" s="1251"/>
      <c r="AQC117" s="1251"/>
      <c r="AQD117" s="1251"/>
      <c r="AQE117" s="1251"/>
      <c r="AQF117" s="1251"/>
      <c r="AQG117" s="1251"/>
      <c r="AQH117" s="1251"/>
      <c r="AQI117" s="1251"/>
      <c r="AQJ117" s="1251"/>
      <c r="AQK117" s="1251"/>
      <c r="AQL117" s="1251"/>
      <c r="AQM117" s="1251"/>
      <c r="AQN117" s="1251"/>
      <c r="AQO117" s="1251"/>
      <c r="AQP117" s="1251"/>
      <c r="AQQ117" s="1251"/>
      <c r="AQR117" s="1251"/>
      <c r="AQS117" s="1251"/>
      <c r="AQT117" s="1251"/>
      <c r="AQU117" s="1251"/>
      <c r="AQV117" s="1251"/>
      <c r="AQW117" s="1251"/>
      <c r="AQX117" s="1251"/>
      <c r="AQY117" s="1251"/>
      <c r="AQZ117" s="1251"/>
      <c r="ARA117" s="1251"/>
      <c r="ARB117" s="1251"/>
      <c r="ARC117" s="1251"/>
      <c r="ARD117" s="1251"/>
      <c r="ARE117" s="1251"/>
      <c r="ARF117" s="1251"/>
      <c r="ARG117" s="1251"/>
      <c r="ARH117" s="1251"/>
      <c r="ARI117" s="1251"/>
      <c r="ARJ117" s="1251"/>
      <c r="ARK117" s="1251"/>
      <c r="ARL117" s="1251"/>
      <c r="ARM117" s="1251"/>
      <c r="ARN117" s="1251"/>
      <c r="ARO117" s="1251"/>
      <c r="ARP117" s="1251"/>
      <c r="ARQ117" s="1251"/>
      <c r="ARR117" s="1251"/>
      <c r="ARS117" s="1251"/>
      <c r="ART117" s="1251"/>
      <c r="ARU117" s="1251"/>
      <c r="ARV117" s="1251"/>
      <c r="ARW117" s="1251"/>
      <c r="ARX117" s="1251"/>
      <c r="ARY117" s="1251"/>
      <c r="ARZ117" s="1251"/>
      <c r="ASA117" s="1251"/>
      <c r="ASB117" s="1251"/>
      <c r="ASC117" s="1251"/>
      <c r="ASD117" s="1251"/>
      <c r="ASE117" s="1251"/>
      <c r="ASF117" s="1251"/>
      <c r="ASG117" s="1251"/>
      <c r="ASH117" s="1251"/>
      <c r="ASI117" s="1251"/>
      <c r="ASJ117" s="1251"/>
      <c r="ASK117" s="1251"/>
      <c r="ASL117" s="1251"/>
      <c r="ASM117" s="1251"/>
      <c r="ASN117" s="1251"/>
      <c r="ASO117" s="1251"/>
      <c r="ASP117" s="1251"/>
      <c r="ASQ117" s="1251"/>
      <c r="ASR117" s="1251"/>
      <c r="ASS117" s="1251"/>
      <c r="AST117" s="1251"/>
      <c r="ASU117" s="1251"/>
      <c r="ASV117" s="1251"/>
      <c r="ASW117" s="1251"/>
      <c r="ASX117" s="1251"/>
      <c r="ASY117" s="1251"/>
      <c r="ASZ117" s="1251"/>
      <c r="ATA117" s="1251"/>
      <c r="ATB117" s="1251"/>
      <c r="ATC117" s="1251"/>
      <c r="ATD117" s="1251"/>
      <c r="ATE117" s="1251"/>
      <c r="ATF117" s="1251"/>
      <c r="ATG117" s="1251"/>
      <c r="ATH117" s="1251"/>
      <c r="ATI117" s="1251"/>
      <c r="ATJ117" s="1251"/>
      <c r="ATK117" s="1251"/>
      <c r="ATL117" s="1251"/>
      <c r="ATM117" s="1251"/>
      <c r="ATN117" s="1251"/>
      <c r="ATO117" s="1251"/>
      <c r="ATP117" s="1251"/>
      <c r="ATQ117" s="1251"/>
      <c r="ATR117" s="1251"/>
      <c r="ATS117" s="1251"/>
      <c r="ATT117" s="1251"/>
      <c r="ATU117" s="1251"/>
      <c r="ATV117" s="1251"/>
      <c r="ATW117" s="1251"/>
      <c r="ATX117" s="1251"/>
      <c r="ATY117" s="1251"/>
      <c r="ATZ117" s="1251"/>
      <c r="AUA117" s="1251"/>
      <c r="AUB117" s="1251"/>
      <c r="AUC117" s="1251"/>
      <c r="AUD117" s="1251"/>
      <c r="AUE117" s="1251"/>
      <c r="AUF117" s="1251"/>
      <c r="AUG117" s="1251"/>
      <c r="AUH117" s="1251"/>
      <c r="AUI117" s="1251"/>
      <c r="AUJ117" s="1251"/>
      <c r="AUK117" s="1251"/>
      <c r="AUL117" s="1251"/>
      <c r="AUM117" s="1251"/>
      <c r="AUN117" s="1251"/>
      <c r="AUO117" s="1251"/>
      <c r="AUP117" s="1251"/>
      <c r="AUQ117" s="1251"/>
      <c r="AUR117" s="1251"/>
      <c r="AUS117" s="1251"/>
      <c r="AUT117" s="1251"/>
      <c r="AUU117" s="1251"/>
      <c r="AUV117" s="1251"/>
      <c r="AUW117" s="1251"/>
      <c r="AUX117" s="1251"/>
      <c r="AUY117" s="1251"/>
      <c r="AUZ117" s="1251"/>
      <c r="AVA117" s="1251"/>
      <c r="AVB117" s="1251"/>
      <c r="AVC117" s="1251"/>
      <c r="AVD117" s="1251"/>
      <c r="AVE117" s="1251"/>
      <c r="AVF117" s="1251"/>
      <c r="AVG117" s="1251"/>
      <c r="AVH117" s="1251"/>
      <c r="AVI117" s="1251"/>
      <c r="AVJ117" s="1251"/>
      <c r="AVK117" s="1251"/>
      <c r="AVL117" s="1251"/>
      <c r="AVM117" s="1251"/>
      <c r="AVN117" s="1251"/>
      <c r="AVO117" s="1251"/>
      <c r="AVP117" s="1251"/>
      <c r="AVQ117" s="1251"/>
      <c r="AVR117" s="1251"/>
      <c r="AVS117" s="1251"/>
      <c r="AVT117" s="1251"/>
      <c r="AVU117" s="1251"/>
      <c r="AVV117" s="1251"/>
      <c r="AVW117" s="1251"/>
      <c r="AVX117" s="1251"/>
      <c r="AVY117" s="1251"/>
      <c r="AVZ117" s="1251"/>
      <c r="AWA117" s="1251"/>
      <c r="AWB117" s="1251"/>
      <c r="AWC117" s="1251"/>
      <c r="AWD117" s="1251"/>
      <c r="AWE117" s="1251"/>
      <c r="AWF117" s="1251"/>
      <c r="AWG117" s="1251"/>
      <c r="AWH117" s="1251"/>
      <c r="AWI117" s="1251"/>
      <c r="AWJ117" s="1251"/>
      <c r="AWK117" s="1251"/>
      <c r="AWL117" s="1251"/>
      <c r="AWM117" s="1251"/>
      <c r="AWN117" s="1251"/>
      <c r="AWO117" s="1251"/>
      <c r="AWP117" s="1251"/>
      <c r="AWQ117" s="1251"/>
      <c r="AWR117" s="1251"/>
      <c r="AWS117" s="1251"/>
      <c r="AWT117" s="1251"/>
      <c r="AWU117" s="1251"/>
      <c r="AWV117" s="1251"/>
      <c r="AWW117" s="1251"/>
      <c r="AWX117" s="1251"/>
      <c r="AWY117" s="1251"/>
      <c r="AWZ117" s="1251"/>
      <c r="AXA117" s="1251"/>
      <c r="AXB117" s="1251"/>
      <c r="AXC117" s="1251"/>
      <c r="AXD117" s="1251"/>
      <c r="AXE117" s="1251"/>
      <c r="AXF117" s="1251"/>
      <c r="AXG117" s="1251"/>
      <c r="AXH117" s="1251"/>
      <c r="AXI117" s="1251"/>
      <c r="AXJ117" s="1251"/>
      <c r="AXK117" s="1251"/>
      <c r="AXL117" s="1251"/>
      <c r="AXM117" s="1251"/>
      <c r="AXN117" s="1251"/>
      <c r="AXO117" s="1251"/>
      <c r="AXP117" s="1251"/>
      <c r="AXQ117" s="1251"/>
      <c r="AXR117" s="1251"/>
      <c r="AXS117" s="1251"/>
      <c r="AXT117" s="1251"/>
      <c r="AXU117" s="1251"/>
      <c r="AXV117" s="1251"/>
      <c r="AXW117" s="1251"/>
      <c r="AXX117" s="1251"/>
      <c r="AXY117" s="1251"/>
      <c r="AXZ117" s="1251"/>
      <c r="AYA117" s="1251"/>
      <c r="AYB117" s="1251"/>
      <c r="AYC117" s="1251"/>
      <c r="AYD117" s="1251"/>
      <c r="AYE117" s="1251"/>
      <c r="AYF117" s="1251"/>
      <c r="AYG117" s="1251"/>
      <c r="AYH117" s="1251"/>
      <c r="AYI117" s="1251"/>
      <c r="AYJ117" s="1251"/>
      <c r="AYK117" s="1251"/>
      <c r="AYL117" s="1251"/>
      <c r="AYM117" s="1251"/>
      <c r="AYN117" s="1251"/>
      <c r="AYO117" s="1251"/>
      <c r="AYP117" s="1251"/>
      <c r="AYQ117" s="1251"/>
      <c r="AYR117" s="1251"/>
      <c r="AYS117" s="1251"/>
      <c r="AYT117" s="1251"/>
      <c r="AYU117" s="1251"/>
      <c r="AYV117" s="1251"/>
      <c r="AYW117" s="1251"/>
      <c r="AYX117" s="1251"/>
      <c r="AYY117" s="1251"/>
      <c r="AYZ117" s="1251"/>
      <c r="AZA117" s="1251"/>
      <c r="AZB117" s="1251"/>
      <c r="AZC117" s="1251"/>
      <c r="AZD117" s="1251"/>
      <c r="AZE117" s="1251"/>
      <c r="AZF117" s="1251"/>
      <c r="AZG117" s="1251"/>
      <c r="AZH117" s="1251"/>
      <c r="AZI117" s="1251"/>
      <c r="AZJ117" s="1251"/>
      <c r="AZK117" s="1251"/>
      <c r="AZL117" s="1251"/>
      <c r="AZM117" s="1251"/>
      <c r="AZN117" s="1251"/>
      <c r="AZO117" s="1251"/>
      <c r="AZP117" s="1251"/>
      <c r="AZQ117" s="1251"/>
      <c r="AZR117" s="1251"/>
      <c r="AZS117" s="1251"/>
      <c r="AZT117" s="1251"/>
      <c r="AZU117" s="1251"/>
      <c r="AZV117" s="1251"/>
      <c r="AZW117" s="1251"/>
      <c r="AZX117" s="1251"/>
      <c r="AZY117" s="1251"/>
      <c r="AZZ117" s="1251"/>
      <c r="BAA117" s="1251"/>
      <c r="BAB117" s="1251"/>
      <c r="BAC117" s="1251"/>
      <c r="BAD117" s="1251"/>
      <c r="BAE117" s="1251"/>
      <c r="BAF117" s="1251"/>
      <c r="BAG117" s="1251"/>
      <c r="BAH117" s="1251"/>
      <c r="BAI117" s="1251"/>
      <c r="BAJ117" s="1251"/>
      <c r="BAK117" s="1251"/>
      <c r="BAL117" s="1251"/>
      <c r="BAM117" s="1251"/>
      <c r="BAN117" s="1251"/>
      <c r="BAO117" s="1251"/>
      <c r="BAP117" s="1251"/>
      <c r="BAQ117" s="1251"/>
      <c r="BAR117" s="1251"/>
      <c r="BAS117" s="1251"/>
      <c r="BAT117" s="1251"/>
      <c r="BAU117" s="1251"/>
      <c r="BAV117" s="1251"/>
      <c r="BAW117" s="1251"/>
      <c r="BAX117" s="1251"/>
      <c r="BAY117" s="1251"/>
      <c r="BAZ117" s="1251"/>
      <c r="BBA117" s="1251"/>
      <c r="BBB117" s="1251"/>
      <c r="BBC117" s="1251"/>
      <c r="BBD117" s="1251"/>
      <c r="BBE117" s="1251"/>
      <c r="BBF117" s="1251"/>
      <c r="BBG117" s="1251"/>
      <c r="BBH117" s="1251"/>
      <c r="BBI117" s="1251"/>
      <c r="BBJ117" s="1251"/>
      <c r="BBK117" s="1251"/>
      <c r="BBL117" s="1251"/>
      <c r="BBM117" s="1251"/>
      <c r="BBN117" s="1251"/>
      <c r="BBO117" s="1251"/>
      <c r="BBP117" s="1251"/>
      <c r="BBQ117" s="1251"/>
      <c r="BBR117" s="1251"/>
      <c r="BBS117" s="1251"/>
      <c r="BBT117" s="1251"/>
      <c r="BBU117" s="1251"/>
      <c r="BBV117" s="1251"/>
      <c r="BBW117" s="1251"/>
      <c r="BBX117" s="1251"/>
      <c r="BBY117" s="1251"/>
      <c r="BBZ117" s="1251"/>
      <c r="BCA117" s="1251"/>
      <c r="BCB117" s="1251"/>
      <c r="BCC117" s="1251"/>
      <c r="BCD117" s="1251"/>
      <c r="BCE117" s="1251"/>
      <c r="BCF117" s="1251"/>
      <c r="BCG117" s="1251"/>
      <c r="BCH117" s="1251"/>
      <c r="BCI117" s="1251"/>
      <c r="BCJ117" s="1251"/>
      <c r="BCK117" s="1251"/>
      <c r="BCL117" s="1251"/>
      <c r="BCM117" s="1251"/>
      <c r="BCN117" s="1251"/>
      <c r="BCO117" s="1251"/>
      <c r="BCP117" s="1251"/>
      <c r="BCQ117" s="1251"/>
      <c r="BCR117" s="1251"/>
      <c r="BCS117" s="1251"/>
      <c r="BCT117" s="1251"/>
      <c r="BCU117" s="1251"/>
      <c r="BCV117" s="1251"/>
      <c r="BCW117" s="1251"/>
      <c r="BCX117" s="1251"/>
      <c r="BCY117" s="1251"/>
      <c r="BCZ117" s="1251"/>
      <c r="BDA117" s="1251"/>
      <c r="BDB117" s="1251"/>
      <c r="BDC117" s="1251"/>
      <c r="BDD117" s="1251"/>
      <c r="BDE117" s="1251"/>
      <c r="BDF117" s="1251"/>
      <c r="BDG117" s="1251"/>
      <c r="BDH117" s="1251"/>
      <c r="BDI117" s="1251"/>
      <c r="BDJ117" s="1251"/>
      <c r="BDK117" s="1251"/>
      <c r="BDL117" s="1251"/>
      <c r="BDM117" s="1251"/>
      <c r="BDN117" s="1251"/>
      <c r="BDO117" s="1251"/>
      <c r="BDP117" s="1251"/>
      <c r="BDQ117" s="1251"/>
      <c r="BDR117" s="1251"/>
      <c r="BDS117" s="1251"/>
      <c r="BDT117" s="1251"/>
      <c r="BDU117" s="1251"/>
      <c r="BDV117" s="1251"/>
      <c r="BDW117" s="1251"/>
      <c r="BDX117" s="1251"/>
      <c r="BDY117" s="1251"/>
      <c r="BDZ117" s="1251"/>
      <c r="BEA117" s="1251"/>
      <c r="BEB117" s="1251"/>
      <c r="BEC117" s="1251"/>
      <c r="BED117" s="1251"/>
      <c r="BEE117" s="1251"/>
      <c r="BEF117" s="1251"/>
      <c r="BEG117" s="1251"/>
      <c r="BEH117" s="1251"/>
      <c r="BEI117" s="1251"/>
      <c r="BEJ117" s="1251"/>
      <c r="BEK117" s="1251"/>
      <c r="BEL117" s="1251"/>
      <c r="BEM117" s="1251"/>
      <c r="BEN117" s="1251"/>
      <c r="BEO117" s="1251"/>
      <c r="BEP117" s="1251"/>
      <c r="BEQ117" s="1251"/>
      <c r="BER117" s="1251"/>
      <c r="BES117" s="1251"/>
      <c r="BET117" s="1251"/>
      <c r="BEU117" s="1251"/>
      <c r="BEV117" s="1251"/>
      <c r="BEW117" s="1251"/>
      <c r="BEX117" s="1251"/>
      <c r="BEY117" s="1251"/>
      <c r="BEZ117" s="1251"/>
      <c r="BFA117" s="1251"/>
      <c r="BFB117" s="1251"/>
      <c r="BFC117" s="1251"/>
      <c r="BFD117" s="1251"/>
      <c r="BFE117" s="1251"/>
      <c r="BFF117" s="1251"/>
      <c r="BFG117" s="1251"/>
      <c r="BFH117" s="1251"/>
      <c r="BFI117" s="1251"/>
      <c r="BFJ117" s="1251"/>
      <c r="BFK117" s="1251"/>
      <c r="BFL117" s="1251"/>
      <c r="BFM117" s="1251"/>
      <c r="BFN117" s="1251"/>
      <c r="BFO117" s="1251"/>
      <c r="BFP117" s="1251"/>
      <c r="BFQ117" s="1251"/>
      <c r="BFR117" s="1251"/>
      <c r="BFS117" s="1251"/>
      <c r="BFT117" s="1251"/>
      <c r="BFU117" s="1251"/>
      <c r="BFV117" s="1251"/>
      <c r="BFW117" s="1251"/>
      <c r="BFX117" s="1251"/>
      <c r="BFY117" s="1251"/>
      <c r="BFZ117" s="1251"/>
      <c r="BGA117" s="1251"/>
      <c r="BGB117" s="1251"/>
      <c r="BGC117" s="1251"/>
      <c r="BGD117" s="1251"/>
      <c r="BGE117" s="1251"/>
      <c r="BGF117" s="1251"/>
      <c r="BGG117" s="1251"/>
      <c r="BGH117" s="1251"/>
      <c r="BGI117" s="1251"/>
      <c r="BGJ117" s="1251"/>
      <c r="BGK117" s="1251"/>
      <c r="BGL117" s="1251"/>
      <c r="BGM117" s="1251"/>
      <c r="BGN117" s="1251"/>
      <c r="BGO117" s="1251"/>
      <c r="BGP117" s="1251"/>
      <c r="BGQ117" s="1251"/>
      <c r="BGR117" s="1251"/>
      <c r="BGS117" s="1251"/>
      <c r="BGT117" s="1251"/>
      <c r="BGU117" s="1251"/>
      <c r="BGV117" s="1251"/>
      <c r="BGW117" s="1251"/>
      <c r="BGX117" s="1251"/>
      <c r="BGY117" s="1251"/>
      <c r="BGZ117" s="1251"/>
      <c r="BHA117" s="1251"/>
      <c r="BHB117" s="1251"/>
      <c r="BHC117" s="1251"/>
      <c r="BHD117" s="1251"/>
      <c r="BHE117" s="1251"/>
      <c r="BHF117" s="1251"/>
      <c r="BHG117" s="1251"/>
      <c r="BHH117" s="1251"/>
      <c r="BHI117" s="1251"/>
      <c r="BHJ117" s="1251"/>
      <c r="BHK117" s="1251"/>
      <c r="BHL117" s="1251"/>
      <c r="BHM117" s="1251"/>
      <c r="BHN117" s="1251"/>
      <c r="BHO117" s="1251"/>
      <c r="BHP117" s="1251"/>
      <c r="BHQ117" s="1251"/>
      <c r="BHR117" s="1251"/>
      <c r="BHS117" s="1251"/>
      <c r="BHT117" s="1251"/>
      <c r="BHU117" s="1251"/>
      <c r="BHV117" s="1251"/>
      <c r="BHW117" s="1251"/>
      <c r="BHX117" s="1251"/>
      <c r="BHY117" s="1251"/>
      <c r="BHZ117" s="1251"/>
      <c r="BIA117" s="1251"/>
      <c r="BIB117" s="1251"/>
      <c r="BIC117" s="1251"/>
      <c r="BID117" s="1251"/>
      <c r="BIE117" s="1251"/>
      <c r="BIF117" s="1251"/>
      <c r="BIG117" s="1251"/>
      <c r="BIH117" s="1251"/>
      <c r="BII117" s="1251"/>
      <c r="BIJ117" s="1251"/>
      <c r="BIK117" s="1251"/>
      <c r="BIL117" s="1251"/>
      <c r="BIM117" s="1251"/>
      <c r="BIN117" s="1251"/>
      <c r="BIO117" s="1251"/>
      <c r="BIP117" s="1251"/>
      <c r="BIQ117" s="1251"/>
      <c r="BIR117" s="1251"/>
      <c r="BIS117" s="1251"/>
      <c r="BIT117" s="1251"/>
      <c r="BIU117" s="1251"/>
      <c r="BIV117" s="1251"/>
      <c r="BIW117" s="1251"/>
      <c r="BIX117" s="1251"/>
      <c r="BIY117" s="1251"/>
      <c r="BIZ117" s="1251"/>
      <c r="BJA117" s="1251"/>
      <c r="BJB117" s="1251"/>
      <c r="BJC117" s="1251"/>
      <c r="BJD117" s="1251"/>
      <c r="BJE117" s="1251"/>
      <c r="BJF117" s="1251"/>
      <c r="BJG117" s="1251"/>
      <c r="BJH117" s="1251"/>
      <c r="BJI117" s="1251"/>
      <c r="BJJ117" s="1251"/>
      <c r="BJK117" s="1251"/>
      <c r="BJL117" s="1251"/>
      <c r="BJM117" s="1251"/>
      <c r="BJN117" s="1251"/>
      <c r="BJO117" s="1251"/>
      <c r="BJP117" s="1251"/>
      <c r="BJQ117" s="1251"/>
      <c r="BJR117" s="1251"/>
      <c r="BJS117" s="1251"/>
      <c r="BJT117" s="1251"/>
      <c r="BJU117" s="1251"/>
      <c r="BJV117" s="1251"/>
      <c r="BJW117" s="1251"/>
      <c r="BJX117" s="1251"/>
      <c r="BJY117" s="1251"/>
      <c r="BJZ117" s="1251"/>
      <c r="BKA117" s="1251"/>
      <c r="BKB117" s="1251"/>
      <c r="BKC117" s="1251"/>
      <c r="BKD117" s="1251"/>
      <c r="BKE117" s="1251"/>
      <c r="BKF117" s="1251"/>
      <c r="BKG117" s="1251"/>
      <c r="BKH117" s="1251"/>
      <c r="BKI117" s="1251"/>
      <c r="BKJ117" s="1251"/>
      <c r="BKK117" s="1251"/>
      <c r="BKL117" s="1251"/>
      <c r="BKM117" s="1251"/>
      <c r="BKN117" s="1251"/>
      <c r="BKO117" s="1251"/>
      <c r="BKP117" s="1251"/>
      <c r="BKQ117" s="1251"/>
      <c r="BKR117" s="1251"/>
      <c r="BKS117" s="1251"/>
      <c r="BKT117" s="1251"/>
      <c r="BKU117" s="1251"/>
      <c r="BKV117" s="1251"/>
      <c r="BKW117" s="1251"/>
      <c r="BKX117" s="1251"/>
      <c r="BKY117" s="1251"/>
      <c r="BKZ117" s="1251"/>
      <c r="BLA117" s="1251"/>
      <c r="BLB117" s="1251"/>
      <c r="BLC117" s="1251"/>
      <c r="BLD117" s="1251"/>
      <c r="BLE117" s="1251"/>
      <c r="BLF117" s="1251"/>
      <c r="BLG117" s="1251"/>
      <c r="BLH117" s="1251"/>
      <c r="BLI117" s="1251"/>
      <c r="BLJ117" s="1251"/>
      <c r="BLK117" s="1251"/>
      <c r="BLL117" s="1251"/>
      <c r="BLM117" s="1251"/>
      <c r="BLN117" s="1251"/>
      <c r="BLO117" s="1251"/>
      <c r="BLP117" s="1251"/>
      <c r="BLQ117" s="1251"/>
      <c r="BLR117" s="1251"/>
      <c r="BLS117" s="1251"/>
      <c r="BLT117" s="1251"/>
      <c r="BLU117" s="1251"/>
      <c r="BLV117" s="1251"/>
      <c r="BLW117" s="1251"/>
      <c r="BLX117" s="1251"/>
      <c r="BLY117" s="1251"/>
      <c r="BLZ117" s="1251"/>
      <c r="BMA117" s="1251"/>
      <c r="BMB117" s="1251"/>
      <c r="BMC117" s="1251"/>
      <c r="BMD117" s="1251"/>
      <c r="BME117" s="1251"/>
      <c r="BMF117" s="1251"/>
      <c r="BMG117" s="1251"/>
      <c r="BMH117" s="1251"/>
      <c r="BMI117" s="1251"/>
      <c r="BMJ117" s="1251"/>
      <c r="BMK117" s="1251"/>
      <c r="BML117" s="1251"/>
      <c r="BMM117" s="1251"/>
      <c r="BMN117" s="1251"/>
      <c r="BMO117" s="1251"/>
      <c r="BMP117" s="1251"/>
      <c r="BMQ117" s="1251"/>
      <c r="BMR117" s="1251"/>
      <c r="BMS117" s="1251"/>
      <c r="BMT117" s="1251"/>
      <c r="BMU117" s="1251"/>
      <c r="BMV117" s="1251"/>
      <c r="BMW117" s="1251"/>
      <c r="BMX117" s="1251"/>
      <c r="BMY117" s="1251"/>
      <c r="BMZ117" s="1251"/>
      <c r="BNA117" s="1251"/>
      <c r="BNB117" s="1251"/>
      <c r="BNC117" s="1251"/>
      <c r="BND117" s="1251"/>
      <c r="BNE117" s="1251"/>
      <c r="BNF117" s="1251"/>
      <c r="BNG117" s="1251"/>
      <c r="BNH117" s="1251"/>
      <c r="BNI117" s="1251"/>
      <c r="BNJ117" s="1251"/>
      <c r="BNK117" s="1251"/>
      <c r="BNL117" s="1251"/>
      <c r="BNM117" s="1251"/>
      <c r="BNN117" s="1251"/>
      <c r="BNO117" s="1251"/>
      <c r="BNP117" s="1251"/>
      <c r="BNQ117" s="1251"/>
      <c r="BNR117" s="1251"/>
      <c r="BNS117" s="1251"/>
      <c r="BNT117" s="1251"/>
      <c r="BNU117" s="1251"/>
      <c r="BNV117" s="1251"/>
      <c r="BNW117" s="1251"/>
      <c r="BNX117" s="1251"/>
      <c r="BNY117" s="1251"/>
      <c r="BNZ117" s="1251"/>
      <c r="BOA117" s="1251"/>
      <c r="BOB117" s="1251"/>
      <c r="BOC117" s="1251"/>
      <c r="BOD117" s="1251"/>
      <c r="BOE117" s="1251"/>
      <c r="BOF117" s="1251"/>
      <c r="BOG117" s="1251"/>
      <c r="BOH117" s="1251"/>
      <c r="BOI117" s="1251"/>
      <c r="BOJ117" s="1251"/>
      <c r="BOK117" s="1251"/>
      <c r="BOL117" s="1251"/>
      <c r="BOM117" s="1251"/>
      <c r="BON117" s="1251"/>
      <c r="BOO117" s="1251"/>
      <c r="BOP117" s="1251"/>
      <c r="BOQ117" s="1251"/>
      <c r="BOR117" s="1251"/>
      <c r="BOS117" s="1251"/>
      <c r="BOT117" s="1251"/>
      <c r="BOU117" s="1251"/>
      <c r="BOV117" s="1251"/>
      <c r="BOW117" s="1251"/>
      <c r="BOX117" s="1251"/>
      <c r="BOY117" s="1251"/>
      <c r="BOZ117" s="1251"/>
      <c r="BPA117" s="1251"/>
      <c r="BPB117" s="1251"/>
      <c r="BPC117" s="1251"/>
      <c r="BPD117" s="1251"/>
      <c r="BPE117" s="1251"/>
      <c r="BPF117" s="1251"/>
      <c r="BPG117" s="1251"/>
      <c r="BPH117" s="1251"/>
      <c r="BPI117" s="1251"/>
      <c r="BPJ117" s="1251"/>
      <c r="BPK117" s="1251"/>
      <c r="BPL117" s="1251"/>
      <c r="BPM117" s="1251"/>
      <c r="BPN117" s="1251"/>
      <c r="BPO117" s="1251"/>
      <c r="BPP117" s="1251"/>
      <c r="BPQ117" s="1251"/>
      <c r="BPR117" s="1251"/>
      <c r="BPS117" s="1251"/>
      <c r="BPT117" s="1251"/>
      <c r="BPU117" s="1251"/>
      <c r="BPV117" s="1251"/>
      <c r="BPW117" s="1251"/>
      <c r="BPX117" s="1251"/>
      <c r="BPY117" s="1251"/>
      <c r="BPZ117" s="1251"/>
      <c r="BQA117" s="1251"/>
      <c r="BQB117" s="1251"/>
      <c r="BQC117" s="1251"/>
      <c r="BQD117" s="1251"/>
      <c r="BQE117" s="1251"/>
      <c r="BQF117" s="1251"/>
      <c r="BQG117" s="1251"/>
      <c r="BQH117" s="1251"/>
      <c r="BQI117" s="1251"/>
      <c r="BQJ117" s="1251"/>
      <c r="BQK117" s="1251"/>
      <c r="BQL117" s="1251"/>
      <c r="BQM117" s="1251"/>
      <c r="BQN117" s="1251"/>
      <c r="BQO117" s="1251"/>
      <c r="BQP117" s="1251"/>
      <c r="BQQ117" s="1251"/>
      <c r="BQR117" s="1251"/>
      <c r="BQS117" s="1251"/>
      <c r="BQT117" s="1251"/>
      <c r="BQU117" s="1251"/>
      <c r="BQV117" s="1251"/>
      <c r="BQW117" s="1251"/>
      <c r="BQX117" s="1251"/>
      <c r="BQY117" s="1251"/>
      <c r="BQZ117" s="1251"/>
      <c r="BRA117" s="1251"/>
      <c r="BRB117" s="1251"/>
      <c r="BRC117" s="1251"/>
      <c r="BRD117" s="1251"/>
      <c r="BRE117" s="1251"/>
      <c r="BRF117" s="1251"/>
      <c r="BRG117" s="1251"/>
      <c r="BRH117" s="1251"/>
      <c r="BRI117" s="1251"/>
      <c r="BRJ117" s="1251"/>
      <c r="BRK117" s="1251"/>
      <c r="BRL117" s="1251"/>
      <c r="BRM117" s="1251"/>
      <c r="BRN117" s="1251"/>
      <c r="BRO117" s="1251"/>
      <c r="BRP117" s="1251"/>
      <c r="BRQ117" s="1251"/>
      <c r="BRR117" s="1251"/>
      <c r="BRS117" s="1251"/>
      <c r="BRT117" s="1251"/>
      <c r="BRU117" s="1251"/>
      <c r="BRV117" s="1251"/>
      <c r="BRW117" s="1251"/>
      <c r="BRX117" s="1251"/>
      <c r="BRY117" s="1251"/>
      <c r="BRZ117" s="1251"/>
      <c r="BSA117" s="1251"/>
      <c r="BSB117" s="1251"/>
      <c r="BSC117" s="1251"/>
      <c r="BSD117" s="1251"/>
      <c r="BSE117" s="1251"/>
      <c r="BSF117" s="1251"/>
      <c r="BSG117" s="1251"/>
      <c r="BSH117" s="1251"/>
      <c r="BSI117" s="1251"/>
      <c r="BSJ117" s="1251"/>
      <c r="BSK117" s="1251"/>
      <c r="BSL117" s="1251"/>
      <c r="BSM117" s="1251"/>
      <c r="BSN117" s="1251"/>
      <c r="BSO117" s="1251"/>
      <c r="BSP117" s="1251"/>
      <c r="BSQ117" s="1251"/>
      <c r="BSR117" s="1251"/>
      <c r="BSS117" s="1251"/>
      <c r="BST117" s="1251"/>
      <c r="BSU117" s="1251"/>
      <c r="BSV117" s="1251"/>
      <c r="BSW117" s="1251"/>
      <c r="BSX117" s="1251"/>
      <c r="BSY117" s="1251"/>
      <c r="BSZ117" s="1251"/>
      <c r="BTA117" s="1251"/>
      <c r="BTB117" s="1251"/>
      <c r="BTC117" s="1251"/>
      <c r="BTD117" s="1251"/>
      <c r="BTE117" s="1251"/>
      <c r="BTF117" s="1251"/>
      <c r="BTG117" s="1251"/>
      <c r="BTH117" s="1251"/>
      <c r="BTI117" s="1251"/>
    </row>
    <row r="118" spans="1:1881" s="1261" customFormat="1" ht="93" hidden="1" customHeight="1" thickBot="1" x14ac:dyDescent="0.35">
      <c r="A118" s="1274">
        <v>41</v>
      </c>
      <c r="B118" s="1272" t="s">
        <v>567</v>
      </c>
      <c r="C118" s="1275" t="s">
        <v>1280</v>
      </c>
      <c r="D118" s="659" t="s">
        <v>1383</v>
      </c>
      <c r="E118" s="1249" t="e">
        <f>HLOOKUP($D$2,'2020 Data(H)'!$C$1:$CZ$426,29,FALSE)</f>
        <v>#N/A</v>
      </c>
      <c r="F118" s="1263">
        <v>0</v>
      </c>
      <c r="G118" s="727"/>
      <c r="H118" s="17"/>
      <c r="I118" s="760"/>
      <c r="J118" s="1252"/>
      <c r="K118" s="1251"/>
      <c r="L118" s="701"/>
      <c r="M118" s="1251"/>
      <c r="N118" s="1253"/>
      <c r="O118" s="1251"/>
      <c r="P118" s="1251"/>
      <c r="Q118" s="1251"/>
      <c r="R118" s="1251"/>
      <c r="S118" s="1251"/>
      <c r="T118" s="1251"/>
      <c r="U118" s="1251"/>
      <c r="V118" s="1251"/>
      <c r="W118" s="1251"/>
      <c r="X118" s="1251"/>
      <c r="Y118" s="1251"/>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274"/>
      <c r="AS118" s="1251"/>
      <c r="AT118" s="1251"/>
      <c r="AU118" s="1251"/>
      <c r="AV118" s="1251"/>
      <c r="AW118" s="1251"/>
      <c r="AX118" s="1251"/>
      <c r="AY118" s="1251"/>
      <c r="AZ118" s="1251"/>
      <c r="BA118" s="1251"/>
      <c r="BB118" s="1251"/>
      <c r="BC118" s="1251"/>
      <c r="BD118" s="1251"/>
      <c r="BE118" s="1251"/>
      <c r="BF118" s="1251"/>
      <c r="BG118" s="1251"/>
      <c r="BH118" s="1251"/>
      <c r="BI118" s="1251"/>
      <c r="BJ118" s="1251"/>
      <c r="BK118" s="1251"/>
      <c r="BL118" s="1251"/>
      <c r="BM118" s="1251"/>
      <c r="BN118" s="1251"/>
      <c r="BO118" s="1251"/>
      <c r="BP118" s="1251"/>
      <c r="BQ118" s="1251"/>
      <c r="BR118" s="1251"/>
      <c r="BS118" s="1251"/>
      <c r="BT118" s="1251"/>
      <c r="BU118" s="1251"/>
      <c r="BV118" s="1251"/>
      <c r="BW118" s="1251"/>
      <c r="BX118" s="1251"/>
      <c r="BY118" s="1251"/>
      <c r="BZ118" s="1251"/>
      <c r="CA118" s="1251"/>
      <c r="CB118" s="1251"/>
      <c r="CC118" s="1251"/>
      <c r="CD118" s="1251"/>
      <c r="CE118" s="1251"/>
      <c r="CF118" s="1251"/>
      <c r="CG118" s="1251"/>
      <c r="CH118" s="1251"/>
      <c r="CI118" s="1251"/>
      <c r="CJ118" s="1251"/>
      <c r="CK118" s="1251"/>
      <c r="CL118" s="1251"/>
      <c r="CM118" s="1251"/>
      <c r="CN118" s="1251"/>
      <c r="CO118" s="1251"/>
      <c r="CP118" s="1251"/>
      <c r="CQ118" s="1251"/>
      <c r="CR118" s="1251"/>
      <c r="CS118" s="1251"/>
      <c r="CT118" s="1251"/>
      <c r="CU118" s="1251"/>
      <c r="CV118" s="1251"/>
      <c r="CW118" s="1251"/>
      <c r="CX118" s="1251"/>
      <c r="CY118" s="1251"/>
      <c r="CZ118" s="1251"/>
      <c r="DA118" s="1251"/>
      <c r="DB118" s="1251"/>
      <c r="DC118" s="1251"/>
      <c r="DD118" s="1251"/>
      <c r="DE118" s="1251"/>
      <c r="DF118" s="1251"/>
      <c r="DG118" s="1251"/>
      <c r="DH118" s="1251"/>
      <c r="DI118" s="1251"/>
      <c r="DJ118" s="1251"/>
      <c r="DK118" s="1251"/>
      <c r="DL118" s="1251"/>
      <c r="DM118" s="1251"/>
      <c r="DN118" s="1251"/>
      <c r="DO118" s="1251"/>
      <c r="DP118" s="1251"/>
      <c r="DQ118" s="1251"/>
      <c r="DR118" s="1251"/>
      <c r="DS118" s="1251"/>
      <c r="DT118" s="1251"/>
      <c r="DU118" s="1251"/>
      <c r="DV118" s="1251"/>
      <c r="DW118" s="1251"/>
      <c r="DX118" s="1251"/>
      <c r="DY118" s="1251"/>
      <c r="DZ118" s="1251"/>
      <c r="EA118" s="1251"/>
      <c r="EB118" s="1251"/>
      <c r="EC118" s="1251"/>
      <c r="ED118" s="1251"/>
      <c r="EE118" s="1251"/>
      <c r="EF118" s="1251"/>
      <c r="EG118" s="1251"/>
      <c r="EH118" s="1251"/>
      <c r="EI118" s="1251"/>
      <c r="EJ118" s="1251"/>
      <c r="EK118" s="1251"/>
      <c r="EL118" s="1251"/>
      <c r="EM118" s="1251"/>
      <c r="EN118" s="1251"/>
      <c r="EO118" s="1251"/>
      <c r="EP118" s="1251"/>
      <c r="EQ118" s="1251"/>
      <c r="ER118" s="1251"/>
      <c r="ES118" s="1251"/>
      <c r="ET118" s="1251"/>
      <c r="EU118" s="1251"/>
      <c r="EV118" s="1251"/>
      <c r="EW118" s="1251"/>
      <c r="EX118" s="1251"/>
      <c r="EY118" s="1251"/>
      <c r="EZ118" s="1251"/>
      <c r="FA118" s="1251"/>
      <c r="FB118" s="1251"/>
      <c r="FC118" s="1251"/>
      <c r="FD118" s="1251"/>
      <c r="FE118" s="1251"/>
      <c r="FF118" s="1251"/>
      <c r="FG118" s="1251"/>
      <c r="FH118" s="1251"/>
      <c r="FI118" s="1251"/>
      <c r="FJ118" s="1251"/>
      <c r="FK118" s="1251"/>
      <c r="FL118" s="1251"/>
      <c r="FM118" s="1251"/>
      <c r="FN118" s="1251"/>
      <c r="FO118" s="1251"/>
      <c r="FP118" s="1251"/>
      <c r="FQ118" s="1251"/>
      <c r="FR118" s="1251"/>
      <c r="FS118" s="1251"/>
      <c r="FT118" s="1251"/>
      <c r="FU118" s="1251"/>
      <c r="FV118" s="1251"/>
      <c r="FW118" s="1251"/>
      <c r="FX118" s="1251"/>
      <c r="FY118" s="1251"/>
      <c r="FZ118" s="1251"/>
      <c r="GA118" s="1251"/>
      <c r="GB118" s="1251"/>
      <c r="GC118" s="1251"/>
      <c r="GD118" s="1251"/>
      <c r="GE118" s="1251"/>
      <c r="GF118" s="1251"/>
      <c r="GG118" s="1251"/>
      <c r="GH118" s="1251"/>
      <c r="GI118" s="1251"/>
      <c r="GJ118" s="1251"/>
      <c r="GK118" s="1251"/>
      <c r="GL118" s="1251"/>
      <c r="GM118" s="1251"/>
      <c r="GN118" s="1251"/>
      <c r="GO118" s="1251"/>
      <c r="GP118" s="1251"/>
      <c r="GQ118" s="1251"/>
      <c r="GR118" s="1251"/>
      <c r="GS118" s="1251"/>
      <c r="GT118" s="1251"/>
      <c r="GU118" s="1251"/>
      <c r="GV118" s="1251"/>
      <c r="GW118" s="1251"/>
      <c r="GX118" s="1251"/>
      <c r="GY118" s="1251"/>
      <c r="GZ118" s="1251"/>
      <c r="HA118" s="1251"/>
      <c r="HB118" s="1251"/>
      <c r="HC118" s="1251"/>
      <c r="HD118" s="1251"/>
      <c r="HE118" s="1251"/>
      <c r="HF118" s="1251"/>
      <c r="HG118" s="1251"/>
      <c r="HH118" s="1251"/>
      <c r="HI118" s="1251"/>
      <c r="HJ118" s="1251"/>
      <c r="HK118" s="1251"/>
      <c r="HL118" s="1251"/>
      <c r="HM118" s="1251"/>
      <c r="HN118" s="1251"/>
      <c r="HO118" s="1251"/>
      <c r="HP118" s="1251"/>
      <c r="HQ118" s="1251"/>
      <c r="HR118" s="1251"/>
      <c r="HS118" s="1251"/>
      <c r="HT118" s="1251"/>
      <c r="HU118" s="1251"/>
      <c r="HV118" s="1251"/>
      <c r="HW118" s="1251"/>
      <c r="HX118" s="1251"/>
      <c r="HY118" s="1251"/>
      <c r="HZ118" s="1251"/>
      <c r="IA118" s="1251"/>
      <c r="IB118" s="1251"/>
      <c r="IC118" s="1251"/>
      <c r="ID118" s="1251"/>
      <c r="IE118" s="1251"/>
      <c r="IF118" s="1251"/>
      <c r="IG118" s="1251"/>
      <c r="IH118" s="1251"/>
      <c r="II118" s="1251"/>
      <c r="IJ118" s="1251"/>
      <c r="IK118" s="1251"/>
      <c r="IL118" s="1251"/>
      <c r="IM118" s="1251"/>
      <c r="IN118" s="1251"/>
      <c r="IO118" s="1251"/>
      <c r="IP118" s="1251"/>
      <c r="IQ118" s="1251"/>
      <c r="IR118" s="1251"/>
      <c r="IS118" s="1251"/>
      <c r="IT118" s="1251"/>
      <c r="IU118" s="1251"/>
      <c r="IV118" s="1251"/>
      <c r="IW118" s="1251"/>
      <c r="IX118" s="1251"/>
      <c r="IY118" s="1251"/>
      <c r="IZ118" s="1251"/>
      <c r="JA118" s="1251"/>
      <c r="JB118" s="1251"/>
      <c r="JC118" s="1251"/>
      <c r="JD118" s="1251"/>
      <c r="JE118" s="1251"/>
      <c r="JF118" s="1251"/>
      <c r="JG118" s="1251"/>
      <c r="JH118" s="1251"/>
      <c r="JI118" s="1251"/>
      <c r="JJ118" s="1251"/>
      <c r="JK118" s="1251"/>
      <c r="JL118" s="1251"/>
      <c r="JM118" s="1251"/>
      <c r="JN118" s="1251"/>
      <c r="JO118" s="1251"/>
      <c r="JP118" s="1251"/>
      <c r="JQ118" s="1251"/>
      <c r="JR118" s="1251"/>
      <c r="JS118" s="1251"/>
      <c r="JT118" s="1251"/>
      <c r="JU118" s="1251"/>
      <c r="JV118" s="1251"/>
      <c r="JW118" s="1251"/>
      <c r="JX118" s="1251"/>
      <c r="JY118" s="1251"/>
      <c r="JZ118" s="1251"/>
      <c r="KA118" s="1251"/>
      <c r="KB118" s="1251"/>
      <c r="KC118" s="1251"/>
      <c r="KD118" s="1251"/>
      <c r="KE118" s="1251"/>
      <c r="KF118" s="1251"/>
      <c r="KG118" s="1251"/>
      <c r="KH118" s="1251"/>
      <c r="KI118" s="1251"/>
      <c r="KJ118" s="1251"/>
      <c r="KK118" s="1251"/>
      <c r="KL118" s="1251"/>
      <c r="KM118" s="1251"/>
      <c r="KN118" s="1251"/>
      <c r="KO118" s="1251"/>
      <c r="KP118" s="1251"/>
      <c r="KQ118" s="1251"/>
      <c r="KR118" s="1251"/>
      <c r="KS118" s="1251"/>
      <c r="KT118" s="1251"/>
      <c r="KU118" s="1251"/>
      <c r="KV118" s="1251"/>
      <c r="KW118" s="1251"/>
      <c r="KX118" s="1251"/>
      <c r="KY118" s="1251"/>
      <c r="KZ118" s="1251"/>
      <c r="LA118" s="1251"/>
      <c r="LB118" s="1251"/>
      <c r="LC118" s="1251"/>
      <c r="LD118" s="1251"/>
      <c r="LE118" s="1251"/>
      <c r="LF118" s="1251"/>
      <c r="LG118" s="1251"/>
      <c r="LH118" s="1251"/>
      <c r="LI118" s="1251"/>
      <c r="LJ118" s="1251"/>
      <c r="LK118" s="1251"/>
      <c r="LL118" s="1251"/>
      <c r="LM118" s="1251"/>
      <c r="LN118" s="1251"/>
      <c r="LO118" s="1251"/>
      <c r="LP118" s="1251"/>
      <c r="LQ118" s="1251"/>
      <c r="LR118" s="1251"/>
      <c r="LS118" s="1251"/>
      <c r="LT118" s="1251"/>
      <c r="LU118" s="1251"/>
      <c r="LV118" s="1251"/>
      <c r="LW118" s="1251"/>
      <c r="LX118" s="1251"/>
      <c r="LY118" s="1251"/>
      <c r="LZ118" s="1251"/>
      <c r="MA118" s="1251"/>
      <c r="MB118" s="1251"/>
      <c r="MC118" s="1251"/>
      <c r="MD118" s="1251"/>
      <c r="ME118" s="1251"/>
      <c r="MF118" s="1251"/>
      <c r="MG118" s="1251"/>
      <c r="MH118" s="1251"/>
      <c r="MI118" s="1251"/>
      <c r="MJ118" s="1251"/>
      <c r="MK118" s="1251"/>
      <c r="ML118" s="1251"/>
      <c r="MM118" s="1251"/>
      <c r="MN118" s="1251"/>
      <c r="MO118" s="1251"/>
      <c r="MP118" s="1251"/>
      <c r="MQ118" s="1251"/>
      <c r="MR118" s="1251"/>
      <c r="MS118" s="1251"/>
      <c r="MT118" s="1251"/>
      <c r="MU118" s="1251"/>
      <c r="MV118" s="1251"/>
      <c r="MW118" s="1251"/>
      <c r="MX118" s="1251"/>
      <c r="MY118" s="1251"/>
      <c r="MZ118" s="1251"/>
      <c r="NA118" s="1251"/>
      <c r="NB118" s="1251"/>
      <c r="NC118" s="1251"/>
      <c r="ND118" s="1251"/>
      <c r="NE118" s="1251"/>
      <c r="NF118" s="1251"/>
      <c r="NG118" s="1251"/>
      <c r="NH118" s="1251"/>
      <c r="NI118" s="1251"/>
      <c r="NJ118" s="1251"/>
      <c r="NK118" s="1251"/>
      <c r="NL118" s="1251"/>
      <c r="NM118" s="1251"/>
      <c r="NN118" s="1251"/>
      <c r="NO118" s="1251"/>
      <c r="NP118" s="1251"/>
      <c r="NQ118" s="1251"/>
      <c r="NR118" s="1251"/>
      <c r="NS118" s="1251"/>
      <c r="NT118" s="1251"/>
      <c r="NU118" s="1251"/>
      <c r="NV118" s="1251"/>
      <c r="NW118" s="1251"/>
      <c r="NX118" s="1251"/>
      <c r="NY118" s="1251"/>
      <c r="NZ118" s="1251"/>
      <c r="OA118" s="1251"/>
      <c r="OB118" s="1251"/>
      <c r="OC118" s="1251"/>
      <c r="OD118" s="1251"/>
      <c r="OE118" s="1251"/>
      <c r="OF118" s="1251"/>
      <c r="OG118" s="1251"/>
      <c r="OH118" s="1251"/>
      <c r="OI118" s="1251"/>
      <c r="OJ118" s="1251"/>
      <c r="OK118" s="1251"/>
      <c r="OL118" s="1251"/>
      <c r="OM118" s="1251"/>
      <c r="ON118" s="1251"/>
      <c r="OO118" s="1251"/>
      <c r="OP118" s="1251"/>
      <c r="OQ118" s="1251"/>
      <c r="OR118" s="1251"/>
      <c r="OS118" s="1251"/>
      <c r="OT118" s="1251"/>
      <c r="OU118" s="1251"/>
      <c r="OV118" s="1251"/>
      <c r="OW118" s="1251"/>
      <c r="OX118" s="1251"/>
      <c r="OY118" s="1251"/>
      <c r="OZ118" s="1251"/>
      <c r="PA118" s="1251"/>
      <c r="PB118" s="1251"/>
      <c r="PC118" s="1251"/>
      <c r="PD118" s="1251"/>
      <c r="PE118" s="1251"/>
      <c r="PF118" s="1251"/>
      <c r="PG118" s="1251"/>
      <c r="PH118" s="1251"/>
      <c r="PI118" s="1251"/>
      <c r="PJ118" s="1251"/>
      <c r="PK118" s="1251"/>
      <c r="PL118" s="1251"/>
      <c r="PM118" s="1251"/>
      <c r="PN118" s="1251"/>
      <c r="PO118" s="1251"/>
      <c r="PP118" s="1251"/>
      <c r="PQ118" s="1251"/>
      <c r="PR118" s="1251"/>
      <c r="PS118" s="1251"/>
      <c r="PT118" s="1251"/>
      <c r="PU118" s="1251"/>
      <c r="PV118" s="1251"/>
      <c r="PW118" s="1251"/>
      <c r="PX118" s="1251"/>
      <c r="PY118" s="1251"/>
      <c r="PZ118" s="1251"/>
      <c r="QA118" s="1251"/>
      <c r="QB118" s="1251"/>
      <c r="QC118" s="1251"/>
      <c r="QD118" s="1251"/>
      <c r="QE118" s="1251"/>
      <c r="QF118" s="1251"/>
      <c r="QG118" s="1251"/>
      <c r="QH118" s="1251"/>
      <c r="QI118" s="1251"/>
      <c r="QJ118" s="1251"/>
      <c r="QK118" s="1251"/>
      <c r="QL118" s="1251"/>
      <c r="QM118" s="1251"/>
      <c r="QN118" s="1251"/>
      <c r="QO118" s="1251"/>
      <c r="QP118" s="1251"/>
      <c r="QQ118" s="1251"/>
      <c r="QR118" s="1251"/>
      <c r="QS118" s="1251"/>
      <c r="QT118" s="1251"/>
      <c r="QU118" s="1251"/>
      <c r="QV118" s="1251"/>
      <c r="QW118" s="1251"/>
      <c r="QX118" s="1251"/>
      <c r="QY118" s="1251"/>
      <c r="QZ118" s="1251"/>
      <c r="RA118" s="1251"/>
      <c r="RB118" s="1251"/>
      <c r="RC118" s="1251"/>
      <c r="RD118" s="1251"/>
      <c r="RE118" s="1251"/>
      <c r="RF118" s="1251"/>
      <c r="RG118" s="1251"/>
      <c r="RH118" s="1251"/>
      <c r="RI118" s="1251"/>
      <c r="RJ118" s="1251"/>
      <c r="RK118" s="1251"/>
      <c r="RL118" s="1251"/>
      <c r="RM118" s="1251"/>
      <c r="RN118" s="1251"/>
      <c r="RO118" s="1251"/>
      <c r="RP118" s="1251"/>
      <c r="RQ118" s="1251"/>
      <c r="RR118" s="1251"/>
      <c r="RS118" s="1251"/>
      <c r="RT118" s="1251"/>
      <c r="RU118" s="1251"/>
      <c r="RV118" s="1251"/>
      <c r="RW118" s="1251"/>
      <c r="RX118" s="1251"/>
      <c r="RY118" s="1251"/>
      <c r="RZ118" s="1251"/>
      <c r="SA118" s="1251"/>
      <c r="SB118" s="1251"/>
      <c r="SC118" s="1251"/>
      <c r="SD118" s="1251"/>
      <c r="SE118" s="1251"/>
      <c r="SF118" s="1251"/>
      <c r="SG118" s="1251"/>
      <c r="SH118" s="1251"/>
      <c r="SI118" s="1251"/>
      <c r="SJ118" s="1251"/>
      <c r="SK118" s="1251"/>
      <c r="SL118" s="1251"/>
      <c r="SM118" s="1251"/>
      <c r="SN118" s="1251"/>
      <c r="SO118" s="1251"/>
      <c r="SP118" s="1251"/>
      <c r="SQ118" s="1251"/>
      <c r="SR118" s="1251"/>
      <c r="SS118" s="1251"/>
      <c r="ST118" s="1251"/>
      <c r="SU118" s="1251"/>
      <c r="SV118" s="1251"/>
      <c r="SW118" s="1251"/>
      <c r="SX118" s="1251"/>
      <c r="SY118" s="1251"/>
      <c r="SZ118" s="1251"/>
      <c r="TA118" s="1251"/>
      <c r="TB118" s="1251"/>
      <c r="TC118" s="1251"/>
      <c r="TD118" s="1251"/>
      <c r="TE118" s="1251"/>
      <c r="TF118" s="1251"/>
      <c r="TG118" s="1251"/>
      <c r="TH118" s="1251"/>
      <c r="TI118" s="1251"/>
      <c r="TJ118" s="1251"/>
      <c r="TK118" s="1251"/>
      <c r="TL118" s="1251"/>
      <c r="TM118" s="1251"/>
      <c r="TN118" s="1251"/>
      <c r="TO118" s="1251"/>
      <c r="TP118" s="1251"/>
      <c r="TQ118" s="1251"/>
      <c r="TR118" s="1251"/>
      <c r="TS118" s="1251"/>
      <c r="TT118" s="1251"/>
      <c r="TU118" s="1251"/>
      <c r="TV118" s="1251"/>
      <c r="TW118" s="1251"/>
      <c r="TX118" s="1251"/>
      <c r="TY118" s="1251"/>
      <c r="TZ118" s="1251"/>
      <c r="UA118" s="1251"/>
      <c r="UB118" s="1251"/>
      <c r="UC118" s="1251"/>
      <c r="UD118" s="1251"/>
      <c r="UE118" s="1251"/>
      <c r="UF118" s="1251"/>
      <c r="UG118" s="1251"/>
      <c r="UH118" s="1251"/>
      <c r="UI118" s="1251"/>
      <c r="UJ118" s="1251"/>
      <c r="UK118" s="1251"/>
      <c r="UL118" s="1251"/>
      <c r="UM118" s="1251"/>
      <c r="UN118" s="1251"/>
      <c r="UO118" s="1251"/>
      <c r="UP118" s="1251"/>
      <c r="UQ118" s="1251"/>
      <c r="UR118" s="1251"/>
      <c r="US118" s="1251"/>
      <c r="UT118" s="1251"/>
      <c r="UU118" s="1251"/>
      <c r="UV118" s="1251"/>
      <c r="UW118" s="1251"/>
      <c r="UX118" s="1251"/>
      <c r="UY118" s="1251"/>
      <c r="UZ118" s="1251"/>
      <c r="VA118" s="1251"/>
      <c r="VB118" s="1251"/>
      <c r="VC118" s="1251"/>
      <c r="VD118" s="1251"/>
      <c r="VE118" s="1251"/>
      <c r="VF118" s="1251"/>
      <c r="VG118" s="1251"/>
      <c r="VH118" s="1251"/>
      <c r="VI118" s="1251"/>
      <c r="VJ118" s="1251"/>
      <c r="VK118" s="1251"/>
      <c r="VL118" s="1251"/>
      <c r="VM118" s="1251"/>
      <c r="VN118" s="1251"/>
      <c r="VO118" s="1251"/>
      <c r="VP118" s="1251"/>
      <c r="VQ118" s="1251"/>
      <c r="VR118" s="1251"/>
      <c r="VS118" s="1251"/>
      <c r="VT118" s="1251"/>
      <c r="VU118" s="1251"/>
      <c r="VV118" s="1251"/>
      <c r="VW118" s="1251"/>
      <c r="VX118" s="1251"/>
      <c r="VY118" s="1251"/>
      <c r="VZ118" s="1251"/>
      <c r="WA118" s="1251"/>
      <c r="WB118" s="1251"/>
      <c r="WC118" s="1251"/>
      <c r="WD118" s="1251"/>
      <c r="WE118" s="1251"/>
      <c r="WF118" s="1251"/>
      <c r="WG118" s="1251"/>
      <c r="WH118" s="1251"/>
      <c r="WI118" s="1251"/>
      <c r="WJ118" s="1251"/>
      <c r="WK118" s="1251"/>
      <c r="WL118" s="1251"/>
      <c r="WM118" s="1251"/>
      <c r="WN118" s="1251"/>
      <c r="WO118" s="1251"/>
      <c r="WP118" s="1251"/>
      <c r="WQ118" s="1251"/>
      <c r="WR118" s="1251"/>
      <c r="WS118" s="1251"/>
      <c r="WT118" s="1251"/>
      <c r="WU118" s="1251"/>
      <c r="WV118" s="1251"/>
      <c r="WW118" s="1251"/>
      <c r="WX118" s="1251"/>
      <c r="WY118" s="1251"/>
      <c r="WZ118" s="1251"/>
      <c r="XA118" s="1251"/>
      <c r="XB118" s="1251"/>
      <c r="XC118" s="1251"/>
      <c r="XD118" s="1251"/>
      <c r="XE118" s="1251"/>
      <c r="XF118" s="1251"/>
      <c r="XG118" s="1251"/>
      <c r="XH118" s="1251"/>
      <c r="XI118" s="1251"/>
      <c r="XJ118" s="1251"/>
      <c r="XK118" s="1251"/>
      <c r="XL118" s="1251"/>
      <c r="XM118" s="1251"/>
      <c r="XN118" s="1251"/>
      <c r="XO118" s="1251"/>
      <c r="XP118" s="1251"/>
      <c r="XQ118" s="1251"/>
      <c r="XR118" s="1251"/>
      <c r="XS118" s="1251"/>
      <c r="XT118" s="1251"/>
      <c r="XU118" s="1251"/>
      <c r="XV118" s="1251"/>
      <c r="XW118" s="1251"/>
      <c r="XX118" s="1251"/>
      <c r="XY118" s="1251"/>
      <c r="XZ118" s="1251"/>
      <c r="YA118" s="1251"/>
      <c r="YB118" s="1251"/>
      <c r="YC118" s="1251"/>
      <c r="YD118" s="1251"/>
      <c r="YE118" s="1251"/>
      <c r="YF118" s="1251"/>
      <c r="YG118" s="1251"/>
      <c r="YH118" s="1251"/>
      <c r="YI118" s="1251"/>
      <c r="YJ118" s="1251"/>
      <c r="YK118" s="1251"/>
      <c r="YL118" s="1251"/>
      <c r="YM118" s="1251"/>
      <c r="YN118" s="1251"/>
      <c r="YO118" s="1251"/>
      <c r="YP118" s="1251"/>
      <c r="YQ118" s="1251"/>
      <c r="YR118" s="1251"/>
      <c r="YS118" s="1251"/>
      <c r="YT118" s="1251"/>
      <c r="YU118" s="1251"/>
      <c r="YV118" s="1251"/>
      <c r="YW118" s="1251"/>
      <c r="YX118" s="1251"/>
      <c r="YY118" s="1251"/>
      <c r="YZ118" s="1251"/>
      <c r="ZA118" s="1251"/>
      <c r="ZB118" s="1251"/>
      <c r="ZC118" s="1251"/>
      <c r="ZD118" s="1251"/>
      <c r="ZE118" s="1251"/>
      <c r="ZF118" s="1251"/>
      <c r="ZG118" s="1251"/>
      <c r="ZH118" s="1251"/>
      <c r="ZI118" s="1251"/>
      <c r="ZJ118" s="1251"/>
      <c r="ZK118" s="1251"/>
      <c r="ZL118" s="1251"/>
      <c r="ZM118" s="1251"/>
      <c r="ZN118" s="1251"/>
      <c r="ZO118" s="1251"/>
      <c r="ZP118" s="1251"/>
      <c r="ZQ118" s="1251"/>
      <c r="ZR118" s="1251"/>
      <c r="ZS118" s="1251"/>
      <c r="ZT118" s="1251"/>
      <c r="ZU118" s="1251"/>
      <c r="ZV118" s="1251"/>
      <c r="ZW118" s="1251"/>
      <c r="ZX118" s="1251"/>
      <c r="ZY118" s="1251"/>
      <c r="ZZ118" s="1251"/>
      <c r="AAA118" s="1251"/>
      <c r="AAB118" s="1251"/>
      <c r="AAC118" s="1251"/>
      <c r="AAD118" s="1251"/>
      <c r="AAE118" s="1251"/>
      <c r="AAF118" s="1251"/>
      <c r="AAG118" s="1251"/>
      <c r="AAH118" s="1251"/>
      <c r="AAI118" s="1251"/>
      <c r="AAJ118" s="1251"/>
      <c r="AAK118" s="1251"/>
      <c r="AAL118" s="1251"/>
      <c r="AAM118" s="1251"/>
      <c r="AAN118" s="1251"/>
      <c r="AAO118" s="1251"/>
      <c r="AAP118" s="1251"/>
      <c r="AAQ118" s="1251"/>
      <c r="AAR118" s="1251"/>
      <c r="AAS118" s="1251"/>
      <c r="AAT118" s="1251"/>
      <c r="AAU118" s="1251"/>
      <c r="AAV118" s="1251"/>
      <c r="AAW118" s="1251"/>
      <c r="AAX118" s="1251"/>
      <c r="AAY118" s="1251"/>
      <c r="AAZ118" s="1251"/>
      <c r="ABA118" s="1251"/>
      <c r="ABB118" s="1251"/>
      <c r="ABC118" s="1251"/>
      <c r="ABD118" s="1251"/>
      <c r="ABE118" s="1251"/>
      <c r="ABF118" s="1251"/>
      <c r="ABG118" s="1251"/>
      <c r="ABH118" s="1251"/>
      <c r="ABI118" s="1251"/>
      <c r="ABJ118" s="1251"/>
      <c r="ABK118" s="1251"/>
      <c r="ABL118" s="1251"/>
      <c r="ABM118" s="1251"/>
      <c r="ABN118" s="1251"/>
      <c r="ABO118" s="1251"/>
      <c r="ABP118" s="1251"/>
      <c r="ABQ118" s="1251"/>
      <c r="ABR118" s="1251"/>
      <c r="ABS118" s="1251"/>
      <c r="ABT118" s="1251"/>
      <c r="ABU118" s="1251"/>
      <c r="ABV118" s="1251"/>
      <c r="ABW118" s="1251"/>
      <c r="ABX118" s="1251"/>
      <c r="ABY118" s="1251"/>
      <c r="ABZ118" s="1251"/>
      <c r="ACA118" s="1251"/>
      <c r="ACB118" s="1251"/>
      <c r="ACC118" s="1251"/>
      <c r="ACD118" s="1251"/>
      <c r="ACE118" s="1251"/>
      <c r="ACF118" s="1251"/>
      <c r="ACG118" s="1251"/>
      <c r="ACH118" s="1251"/>
      <c r="ACI118" s="1251"/>
      <c r="ACJ118" s="1251"/>
      <c r="ACK118" s="1251"/>
      <c r="ACL118" s="1251"/>
      <c r="ACM118" s="1251"/>
      <c r="ACN118" s="1251"/>
      <c r="ACO118" s="1251"/>
      <c r="ACP118" s="1251"/>
      <c r="ACQ118" s="1251"/>
      <c r="ACR118" s="1251"/>
      <c r="ACS118" s="1251"/>
      <c r="ACT118" s="1251"/>
      <c r="ACU118" s="1251"/>
      <c r="ACV118" s="1251"/>
      <c r="ACW118" s="1251"/>
      <c r="ACX118" s="1251"/>
      <c r="ACY118" s="1251"/>
      <c r="ACZ118" s="1251"/>
      <c r="ADA118" s="1251"/>
      <c r="ADB118" s="1251"/>
      <c r="ADC118" s="1251"/>
      <c r="ADD118" s="1251"/>
      <c r="ADE118" s="1251"/>
      <c r="ADF118" s="1251"/>
      <c r="ADG118" s="1251"/>
      <c r="ADH118" s="1251"/>
      <c r="ADI118" s="1251"/>
      <c r="ADJ118" s="1251"/>
      <c r="ADK118" s="1251"/>
      <c r="ADL118" s="1251"/>
      <c r="ADM118" s="1251"/>
      <c r="ADN118" s="1251"/>
      <c r="ADO118" s="1251"/>
      <c r="ADP118" s="1251"/>
      <c r="ADQ118" s="1251"/>
      <c r="ADR118" s="1251"/>
      <c r="ADS118" s="1251"/>
      <c r="ADT118" s="1251"/>
      <c r="ADU118" s="1251"/>
      <c r="ADV118" s="1251"/>
      <c r="ADW118" s="1251"/>
      <c r="ADX118" s="1251"/>
      <c r="ADY118" s="1251"/>
      <c r="ADZ118" s="1251"/>
      <c r="AEA118" s="1251"/>
      <c r="AEB118" s="1251"/>
      <c r="AEC118" s="1251"/>
      <c r="AED118" s="1251"/>
      <c r="AEE118" s="1251"/>
      <c r="AEF118" s="1251"/>
      <c r="AEG118" s="1251"/>
      <c r="AEH118" s="1251"/>
      <c r="AEI118" s="1251"/>
      <c r="AEJ118" s="1251"/>
      <c r="AEK118" s="1251"/>
      <c r="AEL118" s="1251"/>
      <c r="AEM118" s="1251"/>
      <c r="AEN118" s="1251"/>
      <c r="AEO118" s="1251"/>
      <c r="AEP118" s="1251"/>
      <c r="AEQ118" s="1251"/>
      <c r="AER118" s="1251"/>
      <c r="AES118" s="1251"/>
      <c r="AET118" s="1251"/>
      <c r="AEU118" s="1251"/>
      <c r="AEV118" s="1251"/>
      <c r="AEW118" s="1251"/>
      <c r="AEX118" s="1251"/>
      <c r="AEY118" s="1251"/>
      <c r="AEZ118" s="1251"/>
      <c r="AFA118" s="1251"/>
      <c r="AFB118" s="1251"/>
      <c r="AFC118" s="1251"/>
      <c r="AFD118" s="1251"/>
      <c r="AFE118" s="1251"/>
      <c r="AFF118" s="1251"/>
      <c r="AFG118" s="1251"/>
      <c r="AFH118" s="1251"/>
      <c r="AFI118" s="1251"/>
      <c r="AFJ118" s="1251"/>
      <c r="AFK118" s="1251"/>
      <c r="AFL118" s="1251"/>
      <c r="AFM118" s="1251"/>
      <c r="AFN118" s="1251"/>
      <c r="AFO118" s="1251"/>
      <c r="AFP118" s="1251"/>
      <c r="AFQ118" s="1251"/>
      <c r="AFR118" s="1251"/>
      <c r="AFS118" s="1251"/>
      <c r="AFT118" s="1251"/>
      <c r="AFU118" s="1251"/>
      <c r="AFV118" s="1251"/>
      <c r="AFW118" s="1251"/>
      <c r="AFX118" s="1251"/>
      <c r="AFY118" s="1251"/>
      <c r="AFZ118" s="1251"/>
      <c r="AGA118" s="1251"/>
      <c r="AGB118" s="1251"/>
      <c r="AGC118" s="1251"/>
      <c r="AGD118" s="1251"/>
      <c r="AGE118" s="1251"/>
      <c r="AGF118" s="1251"/>
      <c r="AGG118" s="1251"/>
      <c r="AGH118" s="1251"/>
      <c r="AGI118" s="1251"/>
      <c r="AGJ118" s="1251"/>
      <c r="AGK118" s="1251"/>
      <c r="AGL118" s="1251"/>
      <c r="AGM118" s="1251"/>
      <c r="AGN118" s="1251"/>
      <c r="AGO118" s="1251"/>
      <c r="AGP118" s="1251"/>
      <c r="AGQ118" s="1251"/>
      <c r="AGR118" s="1251"/>
      <c r="AGS118" s="1251"/>
      <c r="AGT118" s="1251"/>
      <c r="AGU118" s="1251"/>
      <c r="AGV118" s="1251"/>
      <c r="AGW118" s="1251"/>
      <c r="AGX118" s="1251"/>
      <c r="AGY118" s="1251"/>
      <c r="AGZ118" s="1251"/>
      <c r="AHA118" s="1251"/>
      <c r="AHB118" s="1251"/>
      <c r="AHC118" s="1251"/>
      <c r="AHD118" s="1251"/>
      <c r="AHE118" s="1251"/>
      <c r="AHF118" s="1251"/>
      <c r="AHG118" s="1251"/>
      <c r="AHH118" s="1251"/>
      <c r="AHI118" s="1251"/>
      <c r="AHJ118" s="1251"/>
      <c r="AHK118" s="1251"/>
      <c r="AHL118" s="1251"/>
      <c r="AHM118" s="1251"/>
      <c r="AHN118" s="1251"/>
      <c r="AHO118" s="1251"/>
      <c r="AHP118" s="1251"/>
      <c r="AHQ118" s="1251"/>
      <c r="AHR118" s="1251"/>
      <c r="AHS118" s="1251"/>
      <c r="AHT118" s="1251"/>
      <c r="AHU118" s="1251"/>
      <c r="AHV118" s="1251"/>
      <c r="AHW118" s="1251"/>
      <c r="AHX118" s="1251"/>
      <c r="AHY118" s="1251"/>
      <c r="AHZ118" s="1251"/>
      <c r="AIA118" s="1251"/>
      <c r="AIB118" s="1251"/>
      <c r="AIC118" s="1251"/>
      <c r="AID118" s="1251"/>
      <c r="AIE118" s="1251"/>
      <c r="AIF118" s="1251"/>
      <c r="AIG118" s="1251"/>
      <c r="AIH118" s="1251"/>
      <c r="AII118" s="1251"/>
      <c r="AIJ118" s="1251"/>
      <c r="AIK118" s="1251"/>
      <c r="AIL118" s="1251"/>
      <c r="AIM118" s="1251"/>
      <c r="AIN118" s="1251"/>
      <c r="AIO118" s="1251"/>
      <c r="AIP118" s="1251"/>
      <c r="AIQ118" s="1251"/>
      <c r="AIR118" s="1251"/>
      <c r="AIS118" s="1251"/>
      <c r="AIT118" s="1251"/>
      <c r="AIU118" s="1251"/>
      <c r="AIV118" s="1251"/>
      <c r="AIW118" s="1251"/>
      <c r="AIX118" s="1251"/>
      <c r="AIY118" s="1251"/>
      <c r="AIZ118" s="1251"/>
      <c r="AJA118" s="1251"/>
      <c r="AJB118" s="1251"/>
      <c r="AJC118" s="1251"/>
      <c r="AJD118" s="1251"/>
      <c r="AJE118" s="1251"/>
      <c r="AJF118" s="1251"/>
      <c r="AJG118" s="1251"/>
      <c r="AJH118" s="1251"/>
      <c r="AJI118" s="1251"/>
      <c r="AJJ118" s="1251"/>
      <c r="AJK118" s="1251"/>
      <c r="AJL118" s="1251"/>
      <c r="AJM118" s="1251"/>
      <c r="AJN118" s="1251"/>
      <c r="AJO118" s="1251"/>
      <c r="AJP118" s="1251"/>
      <c r="AJQ118" s="1251"/>
      <c r="AJR118" s="1251"/>
      <c r="AJS118" s="1251"/>
      <c r="AJT118" s="1251"/>
      <c r="AJU118" s="1251"/>
      <c r="AJV118" s="1251"/>
      <c r="AJW118" s="1251"/>
      <c r="AJX118" s="1251"/>
      <c r="AJY118" s="1251"/>
      <c r="AJZ118" s="1251"/>
      <c r="AKA118" s="1251"/>
      <c r="AKB118" s="1251"/>
      <c r="AKC118" s="1251"/>
      <c r="AKD118" s="1251"/>
      <c r="AKE118" s="1251"/>
      <c r="AKF118" s="1251"/>
      <c r="AKG118" s="1251"/>
      <c r="AKH118" s="1251"/>
      <c r="AKI118" s="1251"/>
      <c r="AKJ118" s="1251"/>
      <c r="AKK118" s="1251"/>
      <c r="AKL118" s="1251"/>
      <c r="AKM118" s="1251"/>
      <c r="AKN118" s="1251"/>
      <c r="AKO118" s="1251"/>
      <c r="AKP118" s="1251"/>
      <c r="AKQ118" s="1251"/>
      <c r="AKR118" s="1251"/>
      <c r="AKS118" s="1251"/>
      <c r="AKT118" s="1251"/>
      <c r="AKU118" s="1251"/>
      <c r="AKV118" s="1251"/>
      <c r="AKW118" s="1251"/>
      <c r="AKX118" s="1251"/>
      <c r="AKY118" s="1251"/>
      <c r="AKZ118" s="1251"/>
      <c r="ALA118" s="1251"/>
      <c r="ALB118" s="1251"/>
      <c r="ALC118" s="1251"/>
      <c r="ALD118" s="1251"/>
      <c r="ALE118" s="1251"/>
      <c r="ALF118" s="1251"/>
      <c r="ALG118" s="1251"/>
      <c r="ALH118" s="1251"/>
      <c r="ALI118" s="1251"/>
      <c r="ALJ118" s="1251"/>
      <c r="ALK118" s="1251"/>
      <c r="ALL118" s="1251"/>
      <c r="ALM118" s="1251"/>
      <c r="ALN118" s="1251"/>
      <c r="ALO118" s="1251"/>
      <c r="ALP118" s="1251"/>
      <c r="ALQ118" s="1251"/>
      <c r="ALR118" s="1251"/>
      <c r="ALS118" s="1251"/>
      <c r="ALT118" s="1251"/>
      <c r="ALU118" s="1251"/>
      <c r="ALV118" s="1251"/>
      <c r="ALW118" s="1251"/>
      <c r="ALX118" s="1251"/>
      <c r="ALY118" s="1251"/>
      <c r="ALZ118" s="1251"/>
      <c r="AMA118" s="1251"/>
      <c r="AMB118" s="1251"/>
      <c r="AMC118" s="1251"/>
      <c r="AMD118" s="1251"/>
      <c r="AME118" s="1251"/>
      <c r="AMF118" s="1251"/>
      <c r="AMG118" s="1251"/>
      <c r="AMH118" s="1251"/>
      <c r="AMI118" s="1251"/>
      <c r="AMJ118" s="1251"/>
      <c r="AMK118" s="1251"/>
      <c r="AML118" s="1251"/>
      <c r="AMM118" s="1251"/>
      <c r="AMN118" s="1251"/>
      <c r="AMO118" s="1251"/>
      <c r="AMP118" s="1251"/>
      <c r="AMQ118" s="1251"/>
      <c r="AMR118" s="1251"/>
      <c r="AMS118" s="1251"/>
      <c r="AMT118" s="1251"/>
      <c r="AMU118" s="1251"/>
      <c r="AMV118" s="1251"/>
      <c r="AMW118" s="1251"/>
      <c r="AMX118" s="1251"/>
      <c r="AMY118" s="1251"/>
      <c r="AMZ118" s="1251"/>
      <c r="ANA118" s="1251"/>
      <c r="ANB118" s="1251"/>
      <c r="ANC118" s="1251"/>
      <c r="AND118" s="1251"/>
      <c r="ANE118" s="1251"/>
      <c r="ANF118" s="1251"/>
      <c r="ANG118" s="1251"/>
      <c r="ANH118" s="1251"/>
      <c r="ANI118" s="1251"/>
      <c r="ANJ118" s="1251"/>
      <c r="ANK118" s="1251"/>
      <c r="ANL118" s="1251"/>
      <c r="ANM118" s="1251"/>
      <c r="ANN118" s="1251"/>
      <c r="ANO118" s="1251"/>
      <c r="ANP118" s="1251"/>
      <c r="ANQ118" s="1251"/>
      <c r="ANR118" s="1251"/>
      <c r="ANS118" s="1251"/>
      <c r="ANT118" s="1251"/>
      <c r="ANU118" s="1251"/>
      <c r="ANV118" s="1251"/>
      <c r="ANW118" s="1251"/>
      <c r="ANX118" s="1251"/>
      <c r="ANY118" s="1251"/>
      <c r="ANZ118" s="1251"/>
      <c r="AOA118" s="1251"/>
      <c r="AOB118" s="1251"/>
      <c r="AOC118" s="1251"/>
      <c r="AOD118" s="1251"/>
      <c r="AOE118" s="1251"/>
      <c r="AOF118" s="1251"/>
      <c r="AOG118" s="1251"/>
      <c r="AOH118" s="1251"/>
      <c r="AOI118" s="1251"/>
      <c r="AOJ118" s="1251"/>
      <c r="AOK118" s="1251"/>
      <c r="AOL118" s="1251"/>
      <c r="AOM118" s="1251"/>
      <c r="AON118" s="1251"/>
      <c r="AOO118" s="1251"/>
      <c r="AOP118" s="1251"/>
      <c r="AOQ118" s="1251"/>
      <c r="AOR118" s="1251"/>
      <c r="AOS118" s="1251"/>
      <c r="AOT118" s="1251"/>
      <c r="AOU118" s="1251"/>
      <c r="AOV118" s="1251"/>
      <c r="AOW118" s="1251"/>
      <c r="AOX118" s="1251"/>
      <c r="AOY118" s="1251"/>
      <c r="AOZ118" s="1251"/>
      <c r="APA118" s="1251"/>
      <c r="APB118" s="1251"/>
      <c r="APC118" s="1251"/>
      <c r="APD118" s="1251"/>
      <c r="APE118" s="1251"/>
      <c r="APF118" s="1251"/>
      <c r="APG118" s="1251"/>
      <c r="APH118" s="1251"/>
      <c r="API118" s="1251"/>
      <c r="APJ118" s="1251"/>
      <c r="APK118" s="1251"/>
      <c r="APL118" s="1251"/>
      <c r="APM118" s="1251"/>
      <c r="APN118" s="1251"/>
      <c r="APO118" s="1251"/>
      <c r="APP118" s="1251"/>
      <c r="APQ118" s="1251"/>
      <c r="APR118" s="1251"/>
      <c r="APS118" s="1251"/>
      <c r="APT118" s="1251"/>
      <c r="APU118" s="1251"/>
      <c r="APV118" s="1251"/>
      <c r="APW118" s="1251"/>
      <c r="APX118" s="1251"/>
      <c r="APY118" s="1251"/>
      <c r="APZ118" s="1251"/>
      <c r="AQA118" s="1251"/>
      <c r="AQB118" s="1251"/>
      <c r="AQC118" s="1251"/>
      <c r="AQD118" s="1251"/>
      <c r="AQE118" s="1251"/>
      <c r="AQF118" s="1251"/>
      <c r="AQG118" s="1251"/>
      <c r="AQH118" s="1251"/>
      <c r="AQI118" s="1251"/>
      <c r="AQJ118" s="1251"/>
      <c r="AQK118" s="1251"/>
      <c r="AQL118" s="1251"/>
      <c r="AQM118" s="1251"/>
      <c r="AQN118" s="1251"/>
      <c r="AQO118" s="1251"/>
      <c r="AQP118" s="1251"/>
      <c r="AQQ118" s="1251"/>
      <c r="AQR118" s="1251"/>
      <c r="AQS118" s="1251"/>
      <c r="AQT118" s="1251"/>
      <c r="AQU118" s="1251"/>
      <c r="AQV118" s="1251"/>
      <c r="AQW118" s="1251"/>
      <c r="AQX118" s="1251"/>
      <c r="AQY118" s="1251"/>
      <c r="AQZ118" s="1251"/>
      <c r="ARA118" s="1251"/>
      <c r="ARB118" s="1251"/>
      <c r="ARC118" s="1251"/>
      <c r="ARD118" s="1251"/>
      <c r="ARE118" s="1251"/>
      <c r="ARF118" s="1251"/>
      <c r="ARG118" s="1251"/>
      <c r="ARH118" s="1251"/>
      <c r="ARI118" s="1251"/>
      <c r="ARJ118" s="1251"/>
      <c r="ARK118" s="1251"/>
      <c r="ARL118" s="1251"/>
      <c r="ARM118" s="1251"/>
      <c r="ARN118" s="1251"/>
      <c r="ARO118" s="1251"/>
      <c r="ARP118" s="1251"/>
      <c r="ARQ118" s="1251"/>
      <c r="ARR118" s="1251"/>
      <c r="ARS118" s="1251"/>
      <c r="ART118" s="1251"/>
      <c r="ARU118" s="1251"/>
      <c r="ARV118" s="1251"/>
      <c r="ARW118" s="1251"/>
      <c r="ARX118" s="1251"/>
      <c r="ARY118" s="1251"/>
      <c r="ARZ118" s="1251"/>
      <c r="ASA118" s="1251"/>
      <c r="ASB118" s="1251"/>
      <c r="ASC118" s="1251"/>
      <c r="ASD118" s="1251"/>
      <c r="ASE118" s="1251"/>
      <c r="ASF118" s="1251"/>
      <c r="ASG118" s="1251"/>
      <c r="ASH118" s="1251"/>
      <c r="ASI118" s="1251"/>
      <c r="ASJ118" s="1251"/>
      <c r="ASK118" s="1251"/>
      <c r="ASL118" s="1251"/>
      <c r="ASM118" s="1251"/>
      <c r="ASN118" s="1251"/>
      <c r="ASO118" s="1251"/>
      <c r="ASP118" s="1251"/>
      <c r="ASQ118" s="1251"/>
      <c r="ASR118" s="1251"/>
      <c r="ASS118" s="1251"/>
      <c r="AST118" s="1251"/>
      <c r="ASU118" s="1251"/>
      <c r="ASV118" s="1251"/>
      <c r="ASW118" s="1251"/>
      <c r="ASX118" s="1251"/>
      <c r="ASY118" s="1251"/>
      <c r="ASZ118" s="1251"/>
      <c r="ATA118" s="1251"/>
      <c r="ATB118" s="1251"/>
      <c r="ATC118" s="1251"/>
      <c r="ATD118" s="1251"/>
      <c r="ATE118" s="1251"/>
      <c r="ATF118" s="1251"/>
      <c r="ATG118" s="1251"/>
      <c r="ATH118" s="1251"/>
      <c r="ATI118" s="1251"/>
      <c r="ATJ118" s="1251"/>
      <c r="ATK118" s="1251"/>
      <c r="ATL118" s="1251"/>
      <c r="ATM118" s="1251"/>
      <c r="ATN118" s="1251"/>
      <c r="ATO118" s="1251"/>
      <c r="ATP118" s="1251"/>
      <c r="ATQ118" s="1251"/>
      <c r="ATR118" s="1251"/>
      <c r="ATS118" s="1251"/>
      <c r="ATT118" s="1251"/>
      <c r="ATU118" s="1251"/>
      <c r="ATV118" s="1251"/>
      <c r="ATW118" s="1251"/>
      <c r="ATX118" s="1251"/>
      <c r="ATY118" s="1251"/>
      <c r="ATZ118" s="1251"/>
      <c r="AUA118" s="1251"/>
      <c r="AUB118" s="1251"/>
      <c r="AUC118" s="1251"/>
      <c r="AUD118" s="1251"/>
      <c r="AUE118" s="1251"/>
      <c r="AUF118" s="1251"/>
      <c r="AUG118" s="1251"/>
      <c r="AUH118" s="1251"/>
      <c r="AUI118" s="1251"/>
      <c r="AUJ118" s="1251"/>
      <c r="AUK118" s="1251"/>
      <c r="AUL118" s="1251"/>
      <c r="AUM118" s="1251"/>
      <c r="AUN118" s="1251"/>
      <c r="AUO118" s="1251"/>
      <c r="AUP118" s="1251"/>
      <c r="AUQ118" s="1251"/>
      <c r="AUR118" s="1251"/>
      <c r="AUS118" s="1251"/>
      <c r="AUT118" s="1251"/>
      <c r="AUU118" s="1251"/>
      <c r="AUV118" s="1251"/>
      <c r="AUW118" s="1251"/>
      <c r="AUX118" s="1251"/>
      <c r="AUY118" s="1251"/>
      <c r="AUZ118" s="1251"/>
      <c r="AVA118" s="1251"/>
      <c r="AVB118" s="1251"/>
      <c r="AVC118" s="1251"/>
      <c r="AVD118" s="1251"/>
      <c r="AVE118" s="1251"/>
      <c r="AVF118" s="1251"/>
      <c r="AVG118" s="1251"/>
      <c r="AVH118" s="1251"/>
      <c r="AVI118" s="1251"/>
      <c r="AVJ118" s="1251"/>
      <c r="AVK118" s="1251"/>
      <c r="AVL118" s="1251"/>
      <c r="AVM118" s="1251"/>
      <c r="AVN118" s="1251"/>
      <c r="AVO118" s="1251"/>
      <c r="AVP118" s="1251"/>
      <c r="AVQ118" s="1251"/>
      <c r="AVR118" s="1251"/>
      <c r="AVS118" s="1251"/>
      <c r="AVT118" s="1251"/>
      <c r="AVU118" s="1251"/>
      <c r="AVV118" s="1251"/>
      <c r="AVW118" s="1251"/>
      <c r="AVX118" s="1251"/>
      <c r="AVY118" s="1251"/>
      <c r="AVZ118" s="1251"/>
      <c r="AWA118" s="1251"/>
      <c r="AWB118" s="1251"/>
      <c r="AWC118" s="1251"/>
      <c r="AWD118" s="1251"/>
      <c r="AWE118" s="1251"/>
      <c r="AWF118" s="1251"/>
      <c r="AWG118" s="1251"/>
      <c r="AWH118" s="1251"/>
      <c r="AWI118" s="1251"/>
      <c r="AWJ118" s="1251"/>
      <c r="AWK118" s="1251"/>
      <c r="AWL118" s="1251"/>
      <c r="AWM118" s="1251"/>
      <c r="AWN118" s="1251"/>
      <c r="AWO118" s="1251"/>
      <c r="AWP118" s="1251"/>
      <c r="AWQ118" s="1251"/>
      <c r="AWR118" s="1251"/>
      <c r="AWS118" s="1251"/>
      <c r="AWT118" s="1251"/>
      <c r="AWU118" s="1251"/>
      <c r="AWV118" s="1251"/>
      <c r="AWW118" s="1251"/>
      <c r="AWX118" s="1251"/>
      <c r="AWY118" s="1251"/>
      <c r="AWZ118" s="1251"/>
      <c r="AXA118" s="1251"/>
      <c r="AXB118" s="1251"/>
      <c r="AXC118" s="1251"/>
      <c r="AXD118" s="1251"/>
      <c r="AXE118" s="1251"/>
      <c r="AXF118" s="1251"/>
      <c r="AXG118" s="1251"/>
      <c r="AXH118" s="1251"/>
      <c r="AXI118" s="1251"/>
      <c r="AXJ118" s="1251"/>
      <c r="AXK118" s="1251"/>
      <c r="AXL118" s="1251"/>
      <c r="AXM118" s="1251"/>
      <c r="AXN118" s="1251"/>
      <c r="AXO118" s="1251"/>
      <c r="AXP118" s="1251"/>
      <c r="AXQ118" s="1251"/>
      <c r="AXR118" s="1251"/>
      <c r="AXS118" s="1251"/>
      <c r="AXT118" s="1251"/>
      <c r="AXU118" s="1251"/>
      <c r="AXV118" s="1251"/>
      <c r="AXW118" s="1251"/>
      <c r="AXX118" s="1251"/>
      <c r="AXY118" s="1251"/>
      <c r="AXZ118" s="1251"/>
      <c r="AYA118" s="1251"/>
      <c r="AYB118" s="1251"/>
      <c r="AYC118" s="1251"/>
      <c r="AYD118" s="1251"/>
      <c r="AYE118" s="1251"/>
      <c r="AYF118" s="1251"/>
      <c r="AYG118" s="1251"/>
      <c r="AYH118" s="1251"/>
      <c r="AYI118" s="1251"/>
      <c r="AYJ118" s="1251"/>
      <c r="AYK118" s="1251"/>
      <c r="AYL118" s="1251"/>
      <c r="AYM118" s="1251"/>
      <c r="AYN118" s="1251"/>
      <c r="AYO118" s="1251"/>
      <c r="AYP118" s="1251"/>
      <c r="AYQ118" s="1251"/>
      <c r="AYR118" s="1251"/>
      <c r="AYS118" s="1251"/>
      <c r="AYT118" s="1251"/>
      <c r="AYU118" s="1251"/>
      <c r="AYV118" s="1251"/>
      <c r="AYW118" s="1251"/>
      <c r="AYX118" s="1251"/>
      <c r="AYY118" s="1251"/>
      <c r="AYZ118" s="1251"/>
      <c r="AZA118" s="1251"/>
      <c r="AZB118" s="1251"/>
      <c r="AZC118" s="1251"/>
      <c r="AZD118" s="1251"/>
      <c r="AZE118" s="1251"/>
      <c r="AZF118" s="1251"/>
      <c r="AZG118" s="1251"/>
      <c r="AZH118" s="1251"/>
      <c r="AZI118" s="1251"/>
      <c r="AZJ118" s="1251"/>
      <c r="AZK118" s="1251"/>
      <c r="AZL118" s="1251"/>
      <c r="AZM118" s="1251"/>
      <c r="AZN118" s="1251"/>
      <c r="AZO118" s="1251"/>
      <c r="AZP118" s="1251"/>
      <c r="AZQ118" s="1251"/>
      <c r="AZR118" s="1251"/>
      <c r="AZS118" s="1251"/>
      <c r="AZT118" s="1251"/>
      <c r="AZU118" s="1251"/>
      <c r="AZV118" s="1251"/>
      <c r="AZW118" s="1251"/>
      <c r="AZX118" s="1251"/>
      <c r="AZY118" s="1251"/>
      <c r="AZZ118" s="1251"/>
      <c r="BAA118" s="1251"/>
      <c r="BAB118" s="1251"/>
      <c r="BAC118" s="1251"/>
      <c r="BAD118" s="1251"/>
      <c r="BAE118" s="1251"/>
      <c r="BAF118" s="1251"/>
      <c r="BAG118" s="1251"/>
      <c r="BAH118" s="1251"/>
      <c r="BAI118" s="1251"/>
      <c r="BAJ118" s="1251"/>
      <c r="BAK118" s="1251"/>
      <c r="BAL118" s="1251"/>
      <c r="BAM118" s="1251"/>
      <c r="BAN118" s="1251"/>
      <c r="BAO118" s="1251"/>
      <c r="BAP118" s="1251"/>
      <c r="BAQ118" s="1251"/>
      <c r="BAR118" s="1251"/>
      <c r="BAS118" s="1251"/>
      <c r="BAT118" s="1251"/>
      <c r="BAU118" s="1251"/>
      <c r="BAV118" s="1251"/>
      <c r="BAW118" s="1251"/>
      <c r="BAX118" s="1251"/>
      <c r="BAY118" s="1251"/>
      <c r="BAZ118" s="1251"/>
      <c r="BBA118" s="1251"/>
      <c r="BBB118" s="1251"/>
      <c r="BBC118" s="1251"/>
      <c r="BBD118" s="1251"/>
      <c r="BBE118" s="1251"/>
      <c r="BBF118" s="1251"/>
      <c r="BBG118" s="1251"/>
      <c r="BBH118" s="1251"/>
      <c r="BBI118" s="1251"/>
      <c r="BBJ118" s="1251"/>
      <c r="BBK118" s="1251"/>
      <c r="BBL118" s="1251"/>
      <c r="BBM118" s="1251"/>
      <c r="BBN118" s="1251"/>
      <c r="BBO118" s="1251"/>
      <c r="BBP118" s="1251"/>
      <c r="BBQ118" s="1251"/>
      <c r="BBR118" s="1251"/>
      <c r="BBS118" s="1251"/>
      <c r="BBT118" s="1251"/>
      <c r="BBU118" s="1251"/>
      <c r="BBV118" s="1251"/>
      <c r="BBW118" s="1251"/>
      <c r="BBX118" s="1251"/>
      <c r="BBY118" s="1251"/>
      <c r="BBZ118" s="1251"/>
      <c r="BCA118" s="1251"/>
      <c r="BCB118" s="1251"/>
      <c r="BCC118" s="1251"/>
      <c r="BCD118" s="1251"/>
      <c r="BCE118" s="1251"/>
      <c r="BCF118" s="1251"/>
      <c r="BCG118" s="1251"/>
      <c r="BCH118" s="1251"/>
      <c r="BCI118" s="1251"/>
      <c r="BCJ118" s="1251"/>
      <c r="BCK118" s="1251"/>
      <c r="BCL118" s="1251"/>
      <c r="BCM118" s="1251"/>
      <c r="BCN118" s="1251"/>
      <c r="BCO118" s="1251"/>
      <c r="BCP118" s="1251"/>
      <c r="BCQ118" s="1251"/>
      <c r="BCR118" s="1251"/>
      <c r="BCS118" s="1251"/>
      <c r="BCT118" s="1251"/>
      <c r="BCU118" s="1251"/>
      <c r="BCV118" s="1251"/>
      <c r="BCW118" s="1251"/>
      <c r="BCX118" s="1251"/>
      <c r="BCY118" s="1251"/>
      <c r="BCZ118" s="1251"/>
      <c r="BDA118" s="1251"/>
      <c r="BDB118" s="1251"/>
      <c r="BDC118" s="1251"/>
      <c r="BDD118" s="1251"/>
      <c r="BDE118" s="1251"/>
      <c r="BDF118" s="1251"/>
      <c r="BDG118" s="1251"/>
      <c r="BDH118" s="1251"/>
      <c r="BDI118" s="1251"/>
      <c r="BDJ118" s="1251"/>
      <c r="BDK118" s="1251"/>
      <c r="BDL118" s="1251"/>
      <c r="BDM118" s="1251"/>
      <c r="BDN118" s="1251"/>
      <c r="BDO118" s="1251"/>
      <c r="BDP118" s="1251"/>
      <c r="BDQ118" s="1251"/>
      <c r="BDR118" s="1251"/>
      <c r="BDS118" s="1251"/>
      <c r="BDT118" s="1251"/>
      <c r="BDU118" s="1251"/>
      <c r="BDV118" s="1251"/>
      <c r="BDW118" s="1251"/>
      <c r="BDX118" s="1251"/>
      <c r="BDY118" s="1251"/>
      <c r="BDZ118" s="1251"/>
      <c r="BEA118" s="1251"/>
      <c r="BEB118" s="1251"/>
      <c r="BEC118" s="1251"/>
      <c r="BED118" s="1251"/>
      <c r="BEE118" s="1251"/>
      <c r="BEF118" s="1251"/>
      <c r="BEG118" s="1251"/>
      <c r="BEH118" s="1251"/>
      <c r="BEI118" s="1251"/>
      <c r="BEJ118" s="1251"/>
      <c r="BEK118" s="1251"/>
      <c r="BEL118" s="1251"/>
      <c r="BEM118" s="1251"/>
      <c r="BEN118" s="1251"/>
      <c r="BEO118" s="1251"/>
      <c r="BEP118" s="1251"/>
      <c r="BEQ118" s="1251"/>
      <c r="BER118" s="1251"/>
      <c r="BES118" s="1251"/>
      <c r="BET118" s="1251"/>
      <c r="BEU118" s="1251"/>
      <c r="BEV118" s="1251"/>
      <c r="BEW118" s="1251"/>
      <c r="BEX118" s="1251"/>
      <c r="BEY118" s="1251"/>
      <c r="BEZ118" s="1251"/>
      <c r="BFA118" s="1251"/>
      <c r="BFB118" s="1251"/>
      <c r="BFC118" s="1251"/>
      <c r="BFD118" s="1251"/>
      <c r="BFE118" s="1251"/>
      <c r="BFF118" s="1251"/>
      <c r="BFG118" s="1251"/>
      <c r="BFH118" s="1251"/>
      <c r="BFI118" s="1251"/>
      <c r="BFJ118" s="1251"/>
      <c r="BFK118" s="1251"/>
      <c r="BFL118" s="1251"/>
      <c r="BFM118" s="1251"/>
      <c r="BFN118" s="1251"/>
      <c r="BFO118" s="1251"/>
      <c r="BFP118" s="1251"/>
      <c r="BFQ118" s="1251"/>
      <c r="BFR118" s="1251"/>
      <c r="BFS118" s="1251"/>
      <c r="BFT118" s="1251"/>
      <c r="BFU118" s="1251"/>
      <c r="BFV118" s="1251"/>
      <c r="BFW118" s="1251"/>
      <c r="BFX118" s="1251"/>
      <c r="BFY118" s="1251"/>
      <c r="BFZ118" s="1251"/>
      <c r="BGA118" s="1251"/>
      <c r="BGB118" s="1251"/>
      <c r="BGC118" s="1251"/>
      <c r="BGD118" s="1251"/>
      <c r="BGE118" s="1251"/>
      <c r="BGF118" s="1251"/>
      <c r="BGG118" s="1251"/>
      <c r="BGH118" s="1251"/>
      <c r="BGI118" s="1251"/>
      <c r="BGJ118" s="1251"/>
      <c r="BGK118" s="1251"/>
      <c r="BGL118" s="1251"/>
      <c r="BGM118" s="1251"/>
      <c r="BGN118" s="1251"/>
      <c r="BGO118" s="1251"/>
      <c r="BGP118" s="1251"/>
      <c r="BGQ118" s="1251"/>
      <c r="BGR118" s="1251"/>
      <c r="BGS118" s="1251"/>
      <c r="BGT118" s="1251"/>
      <c r="BGU118" s="1251"/>
      <c r="BGV118" s="1251"/>
      <c r="BGW118" s="1251"/>
      <c r="BGX118" s="1251"/>
      <c r="BGY118" s="1251"/>
      <c r="BGZ118" s="1251"/>
      <c r="BHA118" s="1251"/>
      <c r="BHB118" s="1251"/>
      <c r="BHC118" s="1251"/>
      <c r="BHD118" s="1251"/>
      <c r="BHE118" s="1251"/>
      <c r="BHF118" s="1251"/>
      <c r="BHG118" s="1251"/>
      <c r="BHH118" s="1251"/>
      <c r="BHI118" s="1251"/>
      <c r="BHJ118" s="1251"/>
      <c r="BHK118" s="1251"/>
      <c r="BHL118" s="1251"/>
      <c r="BHM118" s="1251"/>
      <c r="BHN118" s="1251"/>
      <c r="BHO118" s="1251"/>
      <c r="BHP118" s="1251"/>
      <c r="BHQ118" s="1251"/>
      <c r="BHR118" s="1251"/>
      <c r="BHS118" s="1251"/>
      <c r="BHT118" s="1251"/>
      <c r="BHU118" s="1251"/>
      <c r="BHV118" s="1251"/>
      <c r="BHW118" s="1251"/>
      <c r="BHX118" s="1251"/>
      <c r="BHY118" s="1251"/>
      <c r="BHZ118" s="1251"/>
      <c r="BIA118" s="1251"/>
      <c r="BIB118" s="1251"/>
      <c r="BIC118" s="1251"/>
      <c r="BID118" s="1251"/>
      <c r="BIE118" s="1251"/>
      <c r="BIF118" s="1251"/>
      <c r="BIG118" s="1251"/>
      <c r="BIH118" s="1251"/>
      <c r="BII118" s="1251"/>
      <c r="BIJ118" s="1251"/>
      <c r="BIK118" s="1251"/>
      <c r="BIL118" s="1251"/>
      <c r="BIM118" s="1251"/>
      <c r="BIN118" s="1251"/>
      <c r="BIO118" s="1251"/>
      <c r="BIP118" s="1251"/>
      <c r="BIQ118" s="1251"/>
      <c r="BIR118" s="1251"/>
      <c r="BIS118" s="1251"/>
      <c r="BIT118" s="1251"/>
      <c r="BIU118" s="1251"/>
      <c r="BIV118" s="1251"/>
      <c r="BIW118" s="1251"/>
      <c r="BIX118" s="1251"/>
      <c r="BIY118" s="1251"/>
      <c r="BIZ118" s="1251"/>
      <c r="BJA118" s="1251"/>
      <c r="BJB118" s="1251"/>
      <c r="BJC118" s="1251"/>
      <c r="BJD118" s="1251"/>
      <c r="BJE118" s="1251"/>
      <c r="BJF118" s="1251"/>
      <c r="BJG118" s="1251"/>
      <c r="BJH118" s="1251"/>
      <c r="BJI118" s="1251"/>
      <c r="BJJ118" s="1251"/>
      <c r="BJK118" s="1251"/>
      <c r="BJL118" s="1251"/>
      <c r="BJM118" s="1251"/>
      <c r="BJN118" s="1251"/>
      <c r="BJO118" s="1251"/>
      <c r="BJP118" s="1251"/>
      <c r="BJQ118" s="1251"/>
      <c r="BJR118" s="1251"/>
      <c r="BJS118" s="1251"/>
      <c r="BJT118" s="1251"/>
      <c r="BJU118" s="1251"/>
      <c r="BJV118" s="1251"/>
      <c r="BJW118" s="1251"/>
      <c r="BJX118" s="1251"/>
      <c r="BJY118" s="1251"/>
      <c r="BJZ118" s="1251"/>
      <c r="BKA118" s="1251"/>
      <c r="BKB118" s="1251"/>
      <c r="BKC118" s="1251"/>
      <c r="BKD118" s="1251"/>
      <c r="BKE118" s="1251"/>
      <c r="BKF118" s="1251"/>
      <c r="BKG118" s="1251"/>
      <c r="BKH118" s="1251"/>
      <c r="BKI118" s="1251"/>
      <c r="BKJ118" s="1251"/>
      <c r="BKK118" s="1251"/>
      <c r="BKL118" s="1251"/>
      <c r="BKM118" s="1251"/>
      <c r="BKN118" s="1251"/>
      <c r="BKO118" s="1251"/>
      <c r="BKP118" s="1251"/>
      <c r="BKQ118" s="1251"/>
      <c r="BKR118" s="1251"/>
      <c r="BKS118" s="1251"/>
      <c r="BKT118" s="1251"/>
      <c r="BKU118" s="1251"/>
      <c r="BKV118" s="1251"/>
      <c r="BKW118" s="1251"/>
      <c r="BKX118" s="1251"/>
      <c r="BKY118" s="1251"/>
      <c r="BKZ118" s="1251"/>
      <c r="BLA118" s="1251"/>
      <c r="BLB118" s="1251"/>
      <c r="BLC118" s="1251"/>
      <c r="BLD118" s="1251"/>
      <c r="BLE118" s="1251"/>
      <c r="BLF118" s="1251"/>
      <c r="BLG118" s="1251"/>
      <c r="BLH118" s="1251"/>
      <c r="BLI118" s="1251"/>
      <c r="BLJ118" s="1251"/>
      <c r="BLK118" s="1251"/>
      <c r="BLL118" s="1251"/>
      <c r="BLM118" s="1251"/>
      <c r="BLN118" s="1251"/>
      <c r="BLO118" s="1251"/>
      <c r="BLP118" s="1251"/>
      <c r="BLQ118" s="1251"/>
      <c r="BLR118" s="1251"/>
      <c r="BLS118" s="1251"/>
      <c r="BLT118" s="1251"/>
      <c r="BLU118" s="1251"/>
      <c r="BLV118" s="1251"/>
      <c r="BLW118" s="1251"/>
      <c r="BLX118" s="1251"/>
      <c r="BLY118" s="1251"/>
      <c r="BLZ118" s="1251"/>
      <c r="BMA118" s="1251"/>
      <c r="BMB118" s="1251"/>
      <c r="BMC118" s="1251"/>
      <c r="BMD118" s="1251"/>
      <c r="BME118" s="1251"/>
      <c r="BMF118" s="1251"/>
      <c r="BMG118" s="1251"/>
      <c r="BMH118" s="1251"/>
      <c r="BMI118" s="1251"/>
      <c r="BMJ118" s="1251"/>
      <c r="BMK118" s="1251"/>
      <c r="BML118" s="1251"/>
      <c r="BMM118" s="1251"/>
      <c r="BMN118" s="1251"/>
      <c r="BMO118" s="1251"/>
      <c r="BMP118" s="1251"/>
      <c r="BMQ118" s="1251"/>
      <c r="BMR118" s="1251"/>
      <c r="BMS118" s="1251"/>
      <c r="BMT118" s="1251"/>
      <c r="BMU118" s="1251"/>
      <c r="BMV118" s="1251"/>
      <c r="BMW118" s="1251"/>
      <c r="BMX118" s="1251"/>
      <c r="BMY118" s="1251"/>
      <c r="BMZ118" s="1251"/>
      <c r="BNA118" s="1251"/>
      <c r="BNB118" s="1251"/>
      <c r="BNC118" s="1251"/>
      <c r="BND118" s="1251"/>
      <c r="BNE118" s="1251"/>
      <c r="BNF118" s="1251"/>
      <c r="BNG118" s="1251"/>
      <c r="BNH118" s="1251"/>
      <c r="BNI118" s="1251"/>
      <c r="BNJ118" s="1251"/>
      <c r="BNK118" s="1251"/>
      <c r="BNL118" s="1251"/>
      <c r="BNM118" s="1251"/>
      <c r="BNN118" s="1251"/>
      <c r="BNO118" s="1251"/>
      <c r="BNP118" s="1251"/>
      <c r="BNQ118" s="1251"/>
      <c r="BNR118" s="1251"/>
      <c r="BNS118" s="1251"/>
      <c r="BNT118" s="1251"/>
      <c r="BNU118" s="1251"/>
      <c r="BNV118" s="1251"/>
      <c r="BNW118" s="1251"/>
      <c r="BNX118" s="1251"/>
      <c r="BNY118" s="1251"/>
      <c r="BNZ118" s="1251"/>
      <c r="BOA118" s="1251"/>
      <c r="BOB118" s="1251"/>
      <c r="BOC118" s="1251"/>
      <c r="BOD118" s="1251"/>
      <c r="BOE118" s="1251"/>
      <c r="BOF118" s="1251"/>
      <c r="BOG118" s="1251"/>
      <c r="BOH118" s="1251"/>
      <c r="BOI118" s="1251"/>
      <c r="BOJ118" s="1251"/>
      <c r="BOK118" s="1251"/>
      <c r="BOL118" s="1251"/>
      <c r="BOM118" s="1251"/>
      <c r="BON118" s="1251"/>
      <c r="BOO118" s="1251"/>
      <c r="BOP118" s="1251"/>
      <c r="BOQ118" s="1251"/>
      <c r="BOR118" s="1251"/>
      <c r="BOS118" s="1251"/>
      <c r="BOT118" s="1251"/>
      <c r="BOU118" s="1251"/>
      <c r="BOV118" s="1251"/>
      <c r="BOW118" s="1251"/>
      <c r="BOX118" s="1251"/>
      <c r="BOY118" s="1251"/>
      <c r="BOZ118" s="1251"/>
      <c r="BPA118" s="1251"/>
      <c r="BPB118" s="1251"/>
      <c r="BPC118" s="1251"/>
      <c r="BPD118" s="1251"/>
      <c r="BPE118" s="1251"/>
      <c r="BPF118" s="1251"/>
      <c r="BPG118" s="1251"/>
      <c r="BPH118" s="1251"/>
      <c r="BPI118" s="1251"/>
      <c r="BPJ118" s="1251"/>
      <c r="BPK118" s="1251"/>
      <c r="BPL118" s="1251"/>
      <c r="BPM118" s="1251"/>
      <c r="BPN118" s="1251"/>
      <c r="BPO118" s="1251"/>
      <c r="BPP118" s="1251"/>
      <c r="BPQ118" s="1251"/>
      <c r="BPR118" s="1251"/>
      <c r="BPS118" s="1251"/>
      <c r="BPT118" s="1251"/>
      <c r="BPU118" s="1251"/>
      <c r="BPV118" s="1251"/>
      <c r="BPW118" s="1251"/>
      <c r="BPX118" s="1251"/>
      <c r="BPY118" s="1251"/>
      <c r="BPZ118" s="1251"/>
      <c r="BQA118" s="1251"/>
      <c r="BQB118" s="1251"/>
      <c r="BQC118" s="1251"/>
      <c r="BQD118" s="1251"/>
      <c r="BQE118" s="1251"/>
      <c r="BQF118" s="1251"/>
      <c r="BQG118" s="1251"/>
      <c r="BQH118" s="1251"/>
      <c r="BQI118" s="1251"/>
      <c r="BQJ118" s="1251"/>
      <c r="BQK118" s="1251"/>
      <c r="BQL118" s="1251"/>
      <c r="BQM118" s="1251"/>
      <c r="BQN118" s="1251"/>
      <c r="BQO118" s="1251"/>
      <c r="BQP118" s="1251"/>
      <c r="BQQ118" s="1251"/>
      <c r="BQR118" s="1251"/>
      <c r="BQS118" s="1251"/>
      <c r="BQT118" s="1251"/>
      <c r="BQU118" s="1251"/>
      <c r="BQV118" s="1251"/>
      <c r="BQW118" s="1251"/>
      <c r="BQX118" s="1251"/>
      <c r="BQY118" s="1251"/>
      <c r="BQZ118" s="1251"/>
      <c r="BRA118" s="1251"/>
      <c r="BRB118" s="1251"/>
      <c r="BRC118" s="1251"/>
      <c r="BRD118" s="1251"/>
      <c r="BRE118" s="1251"/>
      <c r="BRF118" s="1251"/>
      <c r="BRG118" s="1251"/>
      <c r="BRH118" s="1251"/>
      <c r="BRI118" s="1251"/>
      <c r="BRJ118" s="1251"/>
      <c r="BRK118" s="1251"/>
      <c r="BRL118" s="1251"/>
      <c r="BRM118" s="1251"/>
      <c r="BRN118" s="1251"/>
      <c r="BRO118" s="1251"/>
      <c r="BRP118" s="1251"/>
      <c r="BRQ118" s="1251"/>
      <c r="BRR118" s="1251"/>
      <c r="BRS118" s="1251"/>
      <c r="BRT118" s="1251"/>
      <c r="BRU118" s="1251"/>
      <c r="BRV118" s="1251"/>
      <c r="BRW118" s="1251"/>
      <c r="BRX118" s="1251"/>
      <c r="BRY118" s="1251"/>
      <c r="BRZ118" s="1251"/>
      <c r="BSA118" s="1251"/>
      <c r="BSB118" s="1251"/>
      <c r="BSC118" s="1251"/>
      <c r="BSD118" s="1251"/>
      <c r="BSE118" s="1251"/>
      <c r="BSF118" s="1251"/>
      <c r="BSG118" s="1251"/>
      <c r="BSH118" s="1251"/>
      <c r="BSI118" s="1251"/>
      <c r="BSJ118" s="1251"/>
      <c r="BSK118" s="1251"/>
      <c r="BSL118" s="1251"/>
      <c r="BSM118" s="1251"/>
      <c r="BSN118" s="1251"/>
      <c r="BSO118" s="1251"/>
      <c r="BSP118" s="1251"/>
      <c r="BSQ118" s="1251"/>
      <c r="BSR118" s="1251"/>
      <c r="BSS118" s="1251"/>
      <c r="BST118" s="1251"/>
      <c r="BSU118" s="1251"/>
      <c r="BSV118" s="1251"/>
      <c r="BSW118" s="1251"/>
      <c r="BSX118" s="1251"/>
      <c r="BSY118" s="1251"/>
      <c r="BSZ118" s="1251"/>
      <c r="BTA118" s="1251"/>
      <c r="BTB118" s="1251"/>
      <c r="BTC118" s="1251"/>
      <c r="BTD118" s="1251"/>
      <c r="BTE118" s="1251"/>
      <c r="BTF118" s="1251"/>
      <c r="BTG118" s="1251"/>
      <c r="BTH118" s="1251"/>
      <c r="BTI118" s="1251"/>
    </row>
    <row r="119" spans="1:1881" s="1261" customFormat="1" ht="120.75" hidden="1" customHeight="1" thickBot="1" x14ac:dyDescent="0.35">
      <c r="A119" s="1274">
        <v>194</v>
      </c>
      <c r="B119" s="1272" t="s">
        <v>567</v>
      </c>
      <c r="C119" s="1275" t="s">
        <v>1280</v>
      </c>
      <c r="D119" s="659" t="s">
        <v>1283</v>
      </c>
      <c r="E119" s="1249" t="e">
        <f>HLOOKUP($D$2,'2020 Data(H)'!$C$1:$CZ$426,75,FALSE)</f>
        <v>#N/A</v>
      </c>
      <c r="F119" s="1263">
        <v>0</v>
      </c>
      <c r="G119" s="727"/>
      <c r="H119" s="17"/>
      <c r="I119" s="760"/>
      <c r="J119" s="1252"/>
      <c r="K119" s="1251"/>
      <c r="L119" s="701"/>
      <c r="M119" s="1251"/>
      <c r="N119" s="1253"/>
      <c r="O119" s="1251"/>
      <c r="P119" s="1251"/>
      <c r="Q119" s="1251"/>
      <c r="R119" s="1251"/>
      <c r="S119" s="1251"/>
      <c r="T119" s="1251"/>
      <c r="U119" s="1251"/>
      <c r="V119" s="1251"/>
      <c r="W119" s="1251"/>
      <c r="X119" s="1251"/>
      <c r="Y119" s="1251"/>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274"/>
      <c r="AS119" s="1251"/>
      <c r="AT119" s="1251"/>
      <c r="AU119" s="1251"/>
      <c r="AV119" s="1251"/>
      <c r="AW119" s="1251"/>
      <c r="AX119" s="1251"/>
      <c r="AY119" s="1251"/>
      <c r="AZ119" s="1251"/>
      <c r="BA119" s="1251"/>
      <c r="BB119" s="1251"/>
      <c r="BC119" s="1251"/>
      <c r="BD119" s="1251"/>
      <c r="BE119" s="1251"/>
      <c r="BF119" s="1251"/>
      <c r="BG119" s="1251"/>
      <c r="BH119" s="1251"/>
      <c r="BI119" s="1251"/>
      <c r="BJ119" s="1251"/>
      <c r="BK119" s="1251"/>
      <c r="BL119" s="1251"/>
      <c r="BM119" s="1251"/>
      <c r="BN119" s="1251"/>
      <c r="BO119" s="1251"/>
      <c r="BP119" s="1251"/>
      <c r="BQ119" s="1251"/>
      <c r="BR119" s="1251"/>
      <c r="BS119" s="1251"/>
      <c r="BT119" s="1251"/>
      <c r="BU119" s="1251"/>
      <c r="BV119" s="1251"/>
      <c r="BW119" s="1251"/>
      <c r="BX119" s="1251"/>
      <c r="BY119" s="1251"/>
      <c r="BZ119" s="1251"/>
      <c r="CA119" s="1251"/>
      <c r="CB119" s="1251"/>
      <c r="CC119" s="1251"/>
      <c r="CD119" s="1251"/>
      <c r="CE119" s="1251"/>
      <c r="CF119" s="1251"/>
      <c r="CG119" s="1251"/>
      <c r="CH119" s="1251"/>
      <c r="CI119" s="1251"/>
      <c r="CJ119" s="1251"/>
      <c r="CK119" s="1251"/>
      <c r="CL119" s="1251"/>
      <c r="CM119" s="1251"/>
      <c r="CN119" s="1251"/>
      <c r="CO119" s="1251"/>
      <c r="CP119" s="1251"/>
      <c r="CQ119" s="1251"/>
      <c r="CR119" s="1251"/>
      <c r="CS119" s="1251"/>
      <c r="CT119" s="1251"/>
      <c r="CU119" s="1251"/>
      <c r="CV119" s="1251"/>
      <c r="CW119" s="1251"/>
      <c r="CX119" s="1251"/>
      <c r="CY119" s="1251"/>
      <c r="CZ119" s="1251"/>
      <c r="DA119" s="1251"/>
      <c r="DB119" s="1251"/>
      <c r="DC119" s="1251"/>
      <c r="DD119" s="1251"/>
      <c r="DE119" s="1251"/>
      <c r="DF119" s="1251"/>
      <c r="DG119" s="1251"/>
      <c r="DH119" s="1251"/>
      <c r="DI119" s="1251"/>
      <c r="DJ119" s="1251"/>
      <c r="DK119" s="1251"/>
      <c r="DL119" s="1251"/>
      <c r="DM119" s="1251"/>
      <c r="DN119" s="1251"/>
      <c r="DO119" s="1251"/>
      <c r="DP119" s="1251"/>
      <c r="DQ119" s="1251"/>
      <c r="DR119" s="1251"/>
      <c r="DS119" s="1251"/>
      <c r="DT119" s="1251"/>
      <c r="DU119" s="1251"/>
      <c r="DV119" s="1251"/>
      <c r="DW119" s="1251"/>
      <c r="DX119" s="1251"/>
      <c r="DY119" s="1251"/>
      <c r="DZ119" s="1251"/>
      <c r="EA119" s="1251"/>
      <c r="EB119" s="1251"/>
      <c r="EC119" s="1251"/>
      <c r="ED119" s="1251"/>
      <c r="EE119" s="1251"/>
      <c r="EF119" s="1251"/>
      <c r="EG119" s="1251"/>
      <c r="EH119" s="1251"/>
      <c r="EI119" s="1251"/>
      <c r="EJ119" s="1251"/>
      <c r="EK119" s="1251"/>
      <c r="EL119" s="1251"/>
      <c r="EM119" s="1251"/>
      <c r="EN119" s="1251"/>
      <c r="EO119" s="1251"/>
      <c r="EP119" s="1251"/>
      <c r="EQ119" s="1251"/>
      <c r="ER119" s="1251"/>
      <c r="ES119" s="1251"/>
      <c r="ET119" s="1251"/>
      <c r="EU119" s="1251"/>
      <c r="EV119" s="1251"/>
      <c r="EW119" s="1251"/>
      <c r="EX119" s="1251"/>
      <c r="EY119" s="1251"/>
      <c r="EZ119" s="1251"/>
      <c r="FA119" s="1251"/>
      <c r="FB119" s="1251"/>
      <c r="FC119" s="1251"/>
      <c r="FD119" s="1251"/>
      <c r="FE119" s="1251"/>
      <c r="FF119" s="1251"/>
      <c r="FG119" s="1251"/>
      <c r="FH119" s="1251"/>
      <c r="FI119" s="1251"/>
      <c r="FJ119" s="1251"/>
      <c r="FK119" s="1251"/>
      <c r="FL119" s="1251"/>
      <c r="FM119" s="1251"/>
      <c r="FN119" s="1251"/>
      <c r="FO119" s="1251"/>
      <c r="FP119" s="1251"/>
      <c r="FQ119" s="1251"/>
      <c r="FR119" s="1251"/>
      <c r="FS119" s="1251"/>
      <c r="FT119" s="1251"/>
      <c r="FU119" s="1251"/>
      <c r="FV119" s="1251"/>
      <c r="FW119" s="1251"/>
      <c r="FX119" s="1251"/>
      <c r="FY119" s="1251"/>
      <c r="FZ119" s="1251"/>
      <c r="GA119" s="1251"/>
      <c r="GB119" s="1251"/>
      <c r="GC119" s="1251"/>
      <c r="GD119" s="1251"/>
      <c r="GE119" s="1251"/>
      <c r="GF119" s="1251"/>
      <c r="GG119" s="1251"/>
      <c r="GH119" s="1251"/>
      <c r="GI119" s="1251"/>
      <c r="GJ119" s="1251"/>
      <c r="GK119" s="1251"/>
      <c r="GL119" s="1251"/>
      <c r="GM119" s="1251"/>
      <c r="GN119" s="1251"/>
      <c r="GO119" s="1251"/>
      <c r="GP119" s="1251"/>
      <c r="GQ119" s="1251"/>
      <c r="GR119" s="1251"/>
      <c r="GS119" s="1251"/>
      <c r="GT119" s="1251"/>
      <c r="GU119" s="1251"/>
      <c r="GV119" s="1251"/>
      <c r="GW119" s="1251"/>
      <c r="GX119" s="1251"/>
      <c r="GY119" s="1251"/>
      <c r="GZ119" s="1251"/>
      <c r="HA119" s="1251"/>
      <c r="HB119" s="1251"/>
      <c r="HC119" s="1251"/>
      <c r="HD119" s="1251"/>
      <c r="HE119" s="1251"/>
      <c r="HF119" s="1251"/>
      <c r="HG119" s="1251"/>
      <c r="HH119" s="1251"/>
      <c r="HI119" s="1251"/>
      <c r="HJ119" s="1251"/>
      <c r="HK119" s="1251"/>
      <c r="HL119" s="1251"/>
      <c r="HM119" s="1251"/>
      <c r="HN119" s="1251"/>
      <c r="HO119" s="1251"/>
      <c r="HP119" s="1251"/>
      <c r="HQ119" s="1251"/>
      <c r="HR119" s="1251"/>
      <c r="HS119" s="1251"/>
      <c r="HT119" s="1251"/>
      <c r="HU119" s="1251"/>
      <c r="HV119" s="1251"/>
      <c r="HW119" s="1251"/>
      <c r="HX119" s="1251"/>
      <c r="HY119" s="1251"/>
      <c r="HZ119" s="1251"/>
      <c r="IA119" s="1251"/>
      <c r="IB119" s="1251"/>
      <c r="IC119" s="1251"/>
      <c r="ID119" s="1251"/>
      <c r="IE119" s="1251"/>
      <c r="IF119" s="1251"/>
      <c r="IG119" s="1251"/>
      <c r="IH119" s="1251"/>
      <c r="II119" s="1251"/>
      <c r="IJ119" s="1251"/>
      <c r="IK119" s="1251"/>
      <c r="IL119" s="1251"/>
      <c r="IM119" s="1251"/>
      <c r="IN119" s="1251"/>
      <c r="IO119" s="1251"/>
      <c r="IP119" s="1251"/>
      <c r="IQ119" s="1251"/>
      <c r="IR119" s="1251"/>
      <c r="IS119" s="1251"/>
      <c r="IT119" s="1251"/>
      <c r="IU119" s="1251"/>
      <c r="IV119" s="1251"/>
      <c r="IW119" s="1251"/>
      <c r="IX119" s="1251"/>
      <c r="IY119" s="1251"/>
      <c r="IZ119" s="1251"/>
      <c r="JA119" s="1251"/>
      <c r="JB119" s="1251"/>
      <c r="JC119" s="1251"/>
      <c r="JD119" s="1251"/>
      <c r="JE119" s="1251"/>
      <c r="JF119" s="1251"/>
      <c r="JG119" s="1251"/>
      <c r="JH119" s="1251"/>
      <c r="JI119" s="1251"/>
      <c r="JJ119" s="1251"/>
      <c r="JK119" s="1251"/>
      <c r="JL119" s="1251"/>
      <c r="JM119" s="1251"/>
      <c r="JN119" s="1251"/>
      <c r="JO119" s="1251"/>
      <c r="JP119" s="1251"/>
      <c r="JQ119" s="1251"/>
      <c r="JR119" s="1251"/>
      <c r="JS119" s="1251"/>
      <c r="JT119" s="1251"/>
      <c r="JU119" s="1251"/>
      <c r="JV119" s="1251"/>
      <c r="JW119" s="1251"/>
      <c r="JX119" s="1251"/>
      <c r="JY119" s="1251"/>
      <c r="JZ119" s="1251"/>
      <c r="KA119" s="1251"/>
      <c r="KB119" s="1251"/>
      <c r="KC119" s="1251"/>
      <c r="KD119" s="1251"/>
      <c r="KE119" s="1251"/>
      <c r="KF119" s="1251"/>
      <c r="KG119" s="1251"/>
      <c r="KH119" s="1251"/>
      <c r="KI119" s="1251"/>
      <c r="KJ119" s="1251"/>
      <c r="KK119" s="1251"/>
      <c r="KL119" s="1251"/>
      <c r="KM119" s="1251"/>
      <c r="KN119" s="1251"/>
      <c r="KO119" s="1251"/>
      <c r="KP119" s="1251"/>
      <c r="KQ119" s="1251"/>
      <c r="KR119" s="1251"/>
      <c r="KS119" s="1251"/>
      <c r="KT119" s="1251"/>
      <c r="KU119" s="1251"/>
      <c r="KV119" s="1251"/>
      <c r="KW119" s="1251"/>
      <c r="KX119" s="1251"/>
      <c r="KY119" s="1251"/>
      <c r="KZ119" s="1251"/>
      <c r="LA119" s="1251"/>
      <c r="LB119" s="1251"/>
      <c r="LC119" s="1251"/>
      <c r="LD119" s="1251"/>
      <c r="LE119" s="1251"/>
      <c r="LF119" s="1251"/>
      <c r="LG119" s="1251"/>
      <c r="LH119" s="1251"/>
      <c r="LI119" s="1251"/>
      <c r="LJ119" s="1251"/>
      <c r="LK119" s="1251"/>
      <c r="LL119" s="1251"/>
      <c r="LM119" s="1251"/>
      <c r="LN119" s="1251"/>
      <c r="LO119" s="1251"/>
      <c r="LP119" s="1251"/>
      <c r="LQ119" s="1251"/>
      <c r="LR119" s="1251"/>
      <c r="LS119" s="1251"/>
      <c r="LT119" s="1251"/>
      <c r="LU119" s="1251"/>
      <c r="LV119" s="1251"/>
      <c r="LW119" s="1251"/>
      <c r="LX119" s="1251"/>
      <c r="LY119" s="1251"/>
      <c r="LZ119" s="1251"/>
      <c r="MA119" s="1251"/>
      <c r="MB119" s="1251"/>
      <c r="MC119" s="1251"/>
      <c r="MD119" s="1251"/>
      <c r="ME119" s="1251"/>
      <c r="MF119" s="1251"/>
      <c r="MG119" s="1251"/>
      <c r="MH119" s="1251"/>
      <c r="MI119" s="1251"/>
      <c r="MJ119" s="1251"/>
      <c r="MK119" s="1251"/>
      <c r="ML119" s="1251"/>
      <c r="MM119" s="1251"/>
      <c r="MN119" s="1251"/>
      <c r="MO119" s="1251"/>
      <c r="MP119" s="1251"/>
      <c r="MQ119" s="1251"/>
      <c r="MR119" s="1251"/>
      <c r="MS119" s="1251"/>
      <c r="MT119" s="1251"/>
      <c r="MU119" s="1251"/>
      <c r="MV119" s="1251"/>
      <c r="MW119" s="1251"/>
      <c r="MX119" s="1251"/>
      <c r="MY119" s="1251"/>
      <c r="MZ119" s="1251"/>
      <c r="NA119" s="1251"/>
      <c r="NB119" s="1251"/>
      <c r="NC119" s="1251"/>
      <c r="ND119" s="1251"/>
      <c r="NE119" s="1251"/>
      <c r="NF119" s="1251"/>
      <c r="NG119" s="1251"/>
      <c r="NH119" s="1251"/>
      <c r="NI119" s="1251"/>
      <c r="NJ119" s="1251"/>
      <c r="NK119" s="1251"/>
      <c r="NL119" s="1251"/>
      <c r="NM119" s="1251"/>
      <c r="NN119" s="1251"/>
      <c r="NO119" s="1251"/>
      <c r="NP119" s="1251"/>
      <c r="NQ119" s="1251"/>
      <c r="NR119" s="1251"/>
      <c r="NS119" s="1251"/>
      <c r="NT119" s="1251"/>
      <c r="NU119" s="1251"/>
      <c r="NV119" s="1251"/>
      <c r="NW119" s="1251"/>
      <c r="NX119" s="1251"/>
      <c r="NY119" s="1251"/>
      <c r="NZ119" s="1251"/>
      <c r="OA119" s="1251"/>
      <c r="OB119" s="1251"/>
      <c r="OC119" s="1251"/>
      <c r="OD119" s="1251"/>
      <c r="OE119" s="1251"/>
      <c r="OF119" s="1251"/>
      <c r="OG119" s="1251"/>
      <c r="OH119" s="1251"/>
      <c r="OI119" s="1251"/>
      <c r="OJ119" s="1251"/>
      <c r="OK119" s="1251"/>
      <c r="OL119" s="1251"/>
      <c r="OM119" s="1251"/>
      <c r="ON119" s="1251"/>
      <c r="OO119" s="1251"/>
      <c r="OP119" s="1251"/>
      <c r="OQ119" s="1251"/>
      <c r="OR119" s="1251"/>
      <c r="OS119" s="1251"/>
      <c r="OT119" s="1251"/>
      <c r="OU119" s="1251"/>
      <c r="OV119" s="1251"/>
      <c r="OW119" s="1251"/>
      <c r="OX119" s="1251"/>
      <c r="OY119" s="1251"/>
      <c r="OZ119" s="1251"/>
      <c r="PA119" s="1251"/>
      <c r="PB119" s="1251"/>
      <c r="PC119" s="1251"/>
      <c r="PD119" s="1251"/>
      <c r="PE119" s="1251"/>
      <c r="PF119" s="1251"/>
      <c r="PG119" s="1251"/>
      <c r="PH119" s="1251"/>
      <c r="PI119" s="1251"/>
      <c r="PJ119" s="1251"/>
      <c r="PK119" s="1251"/>
      <c r="PL119" s="1251"/>
      <c r="PM119" s="1251"/>
      <c r="PN119" s="1251"/>
      <c r="PO119" s="1251"/>
      <c r="PP119" s="1251"/>
      <c r="PQ119" s="1251"/>
      <c r="PR119" s="1251"/>
      <c r="PS119" s="1251"/>
      <c r="PT119" s="1251"/>
      <c r="PU119" s="1251"/>
      <c r="PV119" s="1251"/>
      <c r="PW119" s="1251"/>
      <c r="PX119" s="1251"/>
      <c r="PY119" s="1251"/>
      <c r="PZ119" s="1251"/>
      <c r="QA119" s="1251"/>
      <c r="QB119" s="1251"/>
      <c r="QC119" s="1251"/>
      <c r="QD119" s="1251"/>
      <c r="QE119" s="1251"/>
      <c r="QF119" s="1251"/>
      <c r="QG119" s="1251"/>
      <c r="QH119" s="1251"/>
      <c r="QI119" s="1251"/>
      <c r="QJ119" s="1251"/>
      <c r="QK119" s="1251"/>
      <c r="QL119" s="1251"/>
      <c r="QM119" s="1251"/>
      <c r="QN119" s="1251"/>
      <c r="QO119" s="1251"/>
      <c r="QP119" s="1251"/>
      <c r="QQ119" s="1251"/>
      <c r="QR119" s="1251"/>
      <c r="QS119" s="1251"/>
      <c r="QT119" s="1251"/>
      <c r="QU119" s="1251"/>
      <c r="QV119" s="1251"/>
      <c r="QW119" s="1251"/>
      <c r="QX119" s="1251"/>
      <c r="QY119" s="1251"/>
      <c r="QZ119" s="1251"/>
      <c r="RA119" s="1251"/>
      <c r="RB119" s="1251"/>
      <c r="RC119" s="1251"/>
      <c r="RD119" s="1251"/>
      <c r="RE119" s="1251"/>
      <c r="RF119" s="1251"/>
      <c r="RG119" s="1251"/>
      <c r="RH119" s="1251"/>
      <c r="RI119" s="1251"/>
      <c r="RJ119" s="1251"/>
      <c r="RK119" s="1251"/>
      <c r="RL119" s="1251"/>
      <c r="RM119" s="1251"/>
      <c r="RN119" s="1251"/>
      <c r="RO119" s="1251"/>
      <c r="RP119" s="1251"/>
      <c r="RQ119" s="1251"/>
      <c r="RR119" s="1251"/>
      <c r="RS119" s="1251"/>
      <c r="RT119" s="1251"/>
      <c r="RU119" s="1251"/>
      <c r="RV119" s="1251"/>
      <c r="RW119" s="1251"/>
      <c r="RX119" s="1251"/>
      <c r="RY119" s="1251"/>
      <c r="RZ119" s="1251"/>
      <c r="SA119" s="1251"/>
      <c r="SB119" s="1251"/>
      <c r="SC119" s="1251"/>
      <c r="SD119" s="1251"/>
      <c r="SE119" s="1251"/>
      <c r="SF119" s="1251"/>
      <c r="SG119" s="1251"/>
      <c r="SH119" s="1251"/>
      <c r="SI119" s="1251"/>
      <c r="SJ119" s="1251"/>
      <c r="SK119" s="1251"/>
      <c r="SL119" s="1251"/>
      <c r="SM119" s="1251"/>
      <c r="SN119" s="1251"/>
      <c r="SO119" s="1251"/>
      <c r="SP119" s="1251"/>
      <c r="SQ119" s="1251"/>
      <c r="SR119" s="1251"/>
      <c r="SS119" s="1251"/>
      <c r="ST119" s="1251"/>
      <c r="SU119" s="1251"/>
      <c r="SV119" s="1251"/>
      <c r="SW119" s="1251"/>
      <c r="SX119" s="1251"/>
      <c r="SY119" s="1251"/>
      <c r="SZ119" s="1251"/>
      <c r="TA119" s="1251"/>
      <c r="TB119" s="1251"/>
      <c r="TC119" s="1251"/>
      <c r="TD119" s="1251"/>
      <c r="TE119" s="1251"/>
      <c r="TF119" s="1251"/>
      <c r="TG119" s="1251"/>
      <c r="TH119" s="1251"/>
      <c r="TI119" s="1251"/>
      <c r="TJ119" s="1251"/>
      <c r="TK119" s="1251"/>
      <c r="TL119" s="1251"/>
      <c r="TM119" s="1251"/>
      <c r="TN119" s="1251"/>
      <c r="TO119" s="1251"/>
      <c r="TP119" s="1251"/>
      <c r="TQ119" s="1251"/>
      <c r="TR119" s="1251"/>
      <c r="TS119" s="1251"/>
      <c r="TT119" s="1251"/>
      <c r="TU119" s="1251"/>
      <c r="TV119" s="1251"/>
      <c r="TW119" s="1251"/>
      <c r="TX119" s="1251"/>
      <c r="TY119" s="1251"/>
      <c r="TZ119" s="1251"/>
      <c r="UA119" s="1251"/>
      <c r="UB119" s="1251"/>
      <c r="UC119" s="1251"/>
      <c r="UD119" s="1251"/>
      <c r="UE119" s="1251"/>
      <c r="UF119" s="1251"/>
      <c r="UG119" s="1251"/>
      <c r="UH119" s="1251"/>
      <c r="UI119" s="1251"/>
      <c r="UJ119" s="1251"/>
      <c r="UK119" s="1251"/>
      <c r="UL119" s="1251"/>
      <c r="UM119" s="1251"/>
      <c r="UN119" s="1251"/>
      <c r="UO119" s="1251"/>
      <c r="UP119" s="1251"/>
      <c r="UQ119" s="1251"/>
      <c r="UR119" s="1251"/>
      <c r="US119" s="1251"/>
      <c r="UT119" s="1251"/>
      <c r="UU119" s="1251"/>
      <c r="UV119" s="1251"/>
      <c r="UW119" s="1251"/>
      <c r="UX119" s="1251"/>
      <c r="UY119" s="1251"/>
      <c r="UZ119" s="1251"/>
      <c r="VA119" s="1251"/>
      <c r="VB119" s="1251"/>
      <c r="VC119" s="1251"/>
      <c r="VD119" s="1251"/>
      <c r="VE119" s="1251"/>
      <c r="VF119" s="1251"/>
      <c r="VG119" s="1251"/>
      <c r="VH119" s="1251"/>
      <c r="VI119" s="1251"/>
      <c r="VJ119" s="1251"/>
      <c r="VK119" s="1251"/>
      <c r="VL119" s="1251"/>
      <c r="VM119" s="1251"/>
      <c r="VN119" s="1251"/>
      <c r="VO119" s="1251"/>
      <c r="VP119" s="1251"/>
      <c r="VQ119" s="1251"/>
      <c r="VR119" s="1251"/>
      <c r="VS119" s="1251"/>
      <c r="VT119" s="1251"/>
      <c r="VU119" s="1251"/>
      <c r="VV119" s="1251"/>
      <c r="VW119" s="1251"/>
      <c r="VX119" s="1251"/>
      <c r="VY119" s="1251"/>
      <c r="VZ119" s="1251"/>
      <c r="WA119" s="1251"/>
      <c r="WB119" s="1251"/>
      <c r="WC119" s="1251"/>
      <c r="WD119" s="1251"/>
      <c r="WE119" s="1251"/>
      <c r="WF119" s="1251"/>
      <c r="WG119" s="1251"/>
      <c r="WH119" s="1251"/>
      <c r="WI119" s="1251"/>
      <c r="WJ119" s="1251"/>
      <c r="WK119" s="1251"/>
      <c r="WL119" s="1251"/>
      <c r="WM119" s="1251"/>
      <c r="WN119" s="1251"/>
      <c r="WO119" s="1251"/>
      <c r="WP119" s="1251"/>
      <c r="WQ119" s="1251"/>
      <c r="WR119" s="1251"/>
      <c r="WS119" s="1251"/>
      <c r="WT119" s="1251"/>
      <c r="WU119" s="1251"/>
      <c r="WV119" s="1251"/>
      <c r="WW119" s="1251"/>
      <c r="WX119" s="1251"/>
      <c r="WY119" s="1251"/>
      <c r="WZ119" s="1251"/>
      <c r="XA119" s="1251"/>
      <c r="XB119" s="1251"/>
      <c r="XC119" s="1251"/>
      <c r="XD119" s="1251"/>
      <c r="XE119" s="1251"/>
      <c r="XF119" s="1251"/>
      <c r="XG119" s="1251"/>
      <c r="XH119" s="1251"/>
      <c r="XI119" s="1251"/>
      <c r="XJ119" s="1251"/>
      <c r="XK119" s="1251"/>
      <c r="XL119" s="1251"/>
      <c r="XM119" s="1251"/>
      <c r="XN119" s="1251"/>
      <c r="XO119" s="1251"/>
      <c r="XP119" s="1251"/>
      <c r="XQ119" s="1251"/>
      <c r="XR119" s="1251"/>
      <c r="XS119" s="1251"/>
      <c r="XT119" s="1251"/>
      <c r="XU119" s="1251"/>
      <c r="XV119" s="1251"/>
      <c r="XW119" s="1251"/>
      <c r="XX119" s="1251"/>
      <c r="XY119" s="1251"/>
      <c r="XZ119" s="1251"/>
      <c r="YA119" s="1251"/>
      <c r="YB119" s="1251"/>
      <c r="YC119" s="1251"/>
      <c r="YD119" s="1251"/>
      <c r="YE119" s="1251"/>
      <c r="YF119" s="1251"/>
      <c r="YG119" s="1251"/>
      <c r="YH119" s="1251"/>
      <c r="YI119" s="1251"/>
      <c r="YJ119" s="1251"/>
      <c r="YK119" s="1251"/>
      <c r="YL119" s="1251"/>
      <c r="YM119" s="1251"/>
      <c r="YN119" s="1251"/>
      <c r="YO119" s="1251"/>
      <c r="YP119" s="1251"/>
      <c r="YQ119" s="1251"/>
      <c r="YR119" s="1251"/>
      <c r="YS119" s="1251"/>
      <c r="YT119" s="1251"/>
      <c r="YU119" s="1251"/>
      <c r="YV119" s="1251"/>
      <c r="YW119" s="1251"/>
      <c r="YX119" s="1251"/>
      <c r="YY119" s="1251"/>
      <c r="YZ119" s="1251"/>
      <c r="ZA119" s="1251"/>
      <c r="ZB119" s="1251"/>
      <c r="ZC119" s="1251"/>
      <c r="ZD119" s="1251"/>
      <c r="ZE119" s="1251"/>
      <c r="ZF119" s="1251"/>
      <c r="ZG119" s="1251"/>
      <c r="ZH119" s="1251"/>
      <c r="ZI119" s="1251"/>
      <c r="ZJ119" s="1251"/>
      <c r="ZK119" s="1251"/>
      <c r="ZL119" s="1251"/>
      <c r="ZM119" s="1251"/>
      <c r="ZN119" s="1251"/>
      <c r="ZO119" s="1251"/>
      <c r="ZP119" s="1251"/>
      <c r="ZQ119" s="1251"/>
      <c r="ZR119" s="1251"/>
      <c r="ZS119" s="1251"/>
      <c r="ZT119" s="1251"/>
      <c r="ZU119" s="1251"/>
      <c r="ZV119" s="1251"/>
      <c r="ZW119" s="1251"/>
      <c r="ZX119" s="1251"/>
      <c r="ZY119" s="1251"/>
      <c r="ZZ119" s="1251"/>
      <c r="AAA119" s="1251"/>
      <c r="AAB119" s="1251"/>
      <c r="AAC119" s="1251"/>
      <c r="AAD119" s="1251"/>
      <c r="AAE119" s="1251"/>
      <c r="AAF119" s="1251"/>
      <c r="AAG119" s="1251"/>
      <c r="AAH119" s="1251"/>
      <c r="AAI119" s="1251"/>
      <c r="AAJ119" s="1251"/>
      <c r="AAK119" s="1251"/>
      <c r="AAL119" s="1251"/>
      <c r="AAM119" s="1251"/>
      <c r="AAN119" s="1251"/>
      <c r="AAO119" s="1251"/>
      <c r="AAP119" s="1251"/>
      <c r="AAQ119" s="1251"/>
      <c r="AAR119" s="1251"/>
      <c r="AAS119" s="1251"/>
      <c r="AAT119" s="1251"/>
      <c r="AAU119" s="1251"/>
      <c r="AAV119" s="1251"/>
      <c r="AAW119" s="1251"/>
      <c r="AAX119" s="1251"/>
      <c r="AAY119" s="1251"/>
      <c r="AAZ119" s="1251"/>
      <c r="ABA119" s="1251"/>
      <c r="ABB119" s="1251"/>
      <c r="ABC119" s="1251"/>
      <c r="ABD119" s="1251"/>
      <c r="ABE119" s="1251"/>
      <c r="ABF119" s="1251"/>
      <c r="ABG119" s="1251"/>
      <c r="ABH119" s="1251"/>
      <c r="ABI119" s="1251"/>
      <c r="ABJ119" s="1251"/>
      <c r="ABK119" s="1251"/>
      <c r="ABL119" s="1251"/>
      <c r="ABM119" s="1251"/>
      <c r="ABN119" s="1251"/>
      <c r="ABO119" s="1251"/>
      <c r="ABP119" s="1251"/>
      <c r="ABQ119" s="1251"/>
      <c r="ABR119" s="1251"/>
      <c r="ABS119" s="1251"/>
      <c r="ABT119" s="1251"/>
      <c r="ABU119" s="1251"/>
      <c r="ABV119" s="1251"/>
      <c r="ABW119" s="1251"/>
      <c r="ABX119" s="1251"/>
      <c r="ABY119" s="1251"/>
      <c r="ABZ119" s="1251"/>
      <c r="ACA119" s="1251"/>
      <c r="ACB119" s="1251"/>
      <c r="ACC119" s="1251"/>
      <c r="ACD119" s="1251"/>
      <c r="ACE119" s="1251"/>
      <c r="ACF119" s="1251"/>
      <c r="ACG119" s="1251"/>
      <c r="ACH119" s="1251"/>
      <c r="ACI119" s="1251"/>
      <c r="ACJ119" s="1251"/>
      <c r="ACK119" s="1251"/>
      <c r="ACL119" s="1251"/>
      <c r="ACM119" s="1251"/>
      <c r="ACN119" s="1251"/>
      <c r="ACO119" s="1251"/>
      <c r="ACP119" s="1251"/>
      <c r="ACQ119" s="1251"/>
      <c r="ACR119" s="1251"/>
      <c r="ACS119" s="1251"/>
      <c r="ACT119" s="1251"/>
      <c r="ACU119" s="1251"/>
      <c r="ACV119" s="1251"/>
      <c r="ACW119" s="1251"/>
      <c r="ACX119" s="1251"/>
      <c r="ACY119" s="1251"/>
      <c r="ACZ119" s="1251"/>
      <c r="ADA119" s="1251"/>
      <c r="ADB119" s="1251"/>
      <c r="ADC119" s="1251"/>
      <c r="ADD119" s="1251"/>
      <c r="ADE119" s="1251"/>
      <c r="ADF119" s="1251"/>
      <c r="ADG119" s="1251"/>
      <c r="ADH119" s="1251"/>
      <c r="ADI119" s="1251"/>
      <c r="ADJ119" s="1251"/>
      <c r="ADK119" s="1251"/>
      <c r="ADL119" s="1251"/>
      <c r="ADM119" s="1251"/>
      <c r="ADN119" s="1251"/>
      <c r="ADO119" s="1251"/>
      <c r="ADP119" s="1251"/>
      <c r="ADQ119" s="1251"/>
      <c r="ADR119" s="1251"/>
      <c r="ADS119" s="1251"/>
      <c r="ADT119" s="1251"/>
      <c r="ADU119" s="1251"/>
      <c r="ADV119" s="1251"/>
      <c r="ADW119" s="1251"/>
      <c r="ADX119" s="1251"/>
      <c r="ADY119" s="1251"/>
      <c r="ADZ119" s="1251"/>
      <c r="AEA119" s="1251"/>
      <c r="AEB119" s="1251"/>
      <c r="AEC119" s="1251"/>
      <c r="AED119" s="1251"/>
      <c r="AEE119" s="1251"/>
      <c r="AEF119" s="1251"/>
      <c r="AEG119" s="1251"/>
      <c r="AEH119" s="1251"/>
      <c r="AEI119" s="1251"/>
      <c r="AEJ119" s="1251"/>
      <c r="AEK119" s="1251"/>
      <c r="AEL119" s="1251"/>
      <c r="AEM119" s="1251"/>
      <c r="AEN119" s="1251"/>
      <c r="AEO119" s="1251"/>
      <c r="AEP119" s="1251"/>
      <c r="AEQ119" s="1251"/>
      <c r="AER119" s="1251"/>
      <c r="AES119" s="1251"/>
      <c r="AET119" s="1251"/>
      <c r="AEU119" s="1251"/>
      <c r="AEV119" s="1251"/>
      <c r="AEW119" s="1251"/>
      <c r="AEX119" s="1251"/>
      <c r="AEY119" s="1251"/>
      <c r="AEZ119" s="1251"/>
      <c r="AFA119" s="1251"/>
      <c r="AFB119" s="1251"/>
      <c r="AFC119" s="1251"/>
      <c r="AFD119" s="1251"/>
      <c r="AFE119" s="1251"/>
      <c r="AFF119" s="1251"/>
      <c r="AFG119" s="1251"/>
      <c r="AFH119" s="1251"/>
      <c r="AFI119" s="1251"/>
      <c r="AFJ119" s="1251"/>
      <c r="AFK119" s="1251"/>
      <c r="AFL119" s="1251"/>
      <c r="AFM119" s="1251"/>
      <c r="AFN119" s="1251"/>
      <c r="AFO119" s="1251"/>
      <c r="AFP119" s="1251"/>
      <c r="AFQ119" s="1251"/>
      <c r="AFR119" s="1251"/>
      <c r="AFS119" s="1251"/>
      <c r="AFT119" s="1251"/>
      <c r="AFU119" s="1251"/>
      <c r="AFV119" s="1251"/>
      <c r="AFW119" s="1251"/>
      <c r="AFX119" s="1251"/>
      <c r="AFY119" s="1251"/>
      <c r="AFZ119" s="1251"/>
      <c r="AGA119" s="1251"/>
      <c r="AGB119" s="1251"/>
      <c r="AGC119" s="1251"/>
      <c r="AGD119" s="1251"/>
      <c r="AGE119" s="1251"/>
      <c r="AGF119" s="1251"/>
      <c r="AGG119" s="1251"/>
      <c r="AGH119" s="1251"/>
      <c r="AGI119" s="1251"/>
      <c r="AGJ119" s="1251"/>
      <c r="AGK119" s="1251"/>
      <c r="AGL119" s="1251"/>
      <c r="AGM119" s="1251"/>
      <c r="AGN119" s="1251"/>
      <c r="AGO119" s="1251"/>
      <c r="AGP119" s="1251"/>
      <c r="AGQ119" s="1251"/>
      <c r="AGR119" s="1251"/>
      <c r="AGS119" s="1251"/>
      <c r="AGT119" s="1251"/>
      <c r="AGU119" s="1251"/>
      <c r="AGV119" s="1251"/>
      <c r="AGW119" s="1251"/>
      <c r="AGX119" s="1251"/>
      <c r="AGY119" s="1251"/>
      <c r="AGZ119" s="1251"/>
      <c r="AHA119" s="1251"/>
      <c r="AHB119" s="1251"/>
      <c r="AHC119" s="1251"/>
      <c r="AHD119" s="1251"/>
      <c r="AHE119" s="1251"/>
      <c r="AHF119" s="1251"/>
      <c r="AHG119" s="1251"/>
      <c r="AHH119" s="1251"/>
      <c r="AHI119" s="1251"/>
      <c r="AHJ119" s="1251"/>
      <c r="AHK119" s="1251"/>
      <c r="AHL119" s="1251"/>
      <c r="AHM119" s="1251"/>
      <c r="AHN119" s="1251"/>
      <c r="AHO119" s="1251"/>
      <c r="AHP119" s="1251"/>
      <c r="AHQ119" s="1251"/>
      <c r="AHR119" s="1251"/>
      <c r="AHS119" s="1251"/>
      <c r="AHT119" s="1251"/>
      <c r="AHU119" s="1251"/>
      <c r="AHV119" s="1251"/>
      <c r="AHW119" s="1251"/>
      <c r="AHX119" s="1251"/>
      <c r="AHY119" s="1251"/>
      <c r="AHZ119" s="1251"/>
      <c r="AIA119" s="1251"/>
      <c r="AIB119" s="1251"/>
      <c r="AIC119" s="1251"/>
      <c r="AID119" s="1251"/>
      <c r="AIE119" s="1251"/>
      <c r="AIF119" s="1251"/>
      <c r="AIG119" s="1251"/>
      <c r="AIH119" s="1251"/>
      <c r="AII119" s="1251"/>
      <c r="AIJ119" s="1251"/>
      <c r="AIK119" s="1251"/>
      <c r="AIL119" s="1251"/>
      <c r="AIM119" s="1251"/>
      <c r="AIN119" s="1251"/>
      <c r="AIO119" s="1251"/>
      <c r="AIP119" s="1251"/>
      <c r="AIQ119" s="1251"/>
      <c r="AIR119" s="1251"/>
      <c r="AIS119" s="1251"/>
      <c r="AIT119" s="1251"/>
      <c r="AIU119" s="1251"/>
      <c r="AIV119" s="1251"/>
      <c r="AIW119" s="1251"/>
      <c r="AIX119" s="1251"/>
      <c r="AIY119" s="1251"/>
      <c r="AIZ119" s="1251"/>
      <c r="AJA119" s="1251"/>
      <c r="AJB119" s="1251"/>
      <c r="AJC119" s="1251"/>
      <c r="AJD119" s="1251"/>
      <c r="AJE119" s="1251"/>
      <c r="AJF119" s="1251"/>
      <c r="AJG119" s="1251"/>
      <c r="AJH119" s="1251"/>
      <c r="AJI119" s="1251"/>
      <c r="AJJ119" s="1251"/>
      <c r="AJK119" s="1251"/>
      <c r="AJL119" s="1251"/>
      <c r="AJM119" s="1251"/>
      <c r="AJN119" s="1251"/>
      <c r="AJO119" s="1251"/>
      <c r="AJP119" s="1251"/>
      <c r="AJQ119" s="1251"/>
      <c r="AJR119" s="1251"/>
      <c r="AJS119" s="1251"/>
      <c r="AJT119" s="1251"/>
      <c r="AJU119" s="1251"/>
      <c r="AJV119" s="1251"/>
      <c r="AJW119" s="1251"/>
      <c r="AJX119" s="1251"/>
      <c r="AJY119" s="1251"/>
      <c r="AJZ119" s="1251"/>
      <c r="AKA119" s="1251"/>
      <c r="AKB119" s="1251"/>
      <c r="AKC119" s="1251"/>
      <c r="AKD119" s="1251"/>
      <c r="AKE119" s="1251"/>
      <c r="AKF119" s="1251"/>
      <c r="AKG119" s="1251"/>
      <c r="AKH119" s="1251"/>
      <c r="AKI119" s="1251"/>
      <c r="AKJ119" s="1251"/>
      <c r="AKK119" s="1251"/>
      <c r="AKL119" s="1251"/>
      <c r="AKM119" s="1251"/>
      <c r="AKN119" s="1251"/>
      <c r="AKO119" s="1251"/>
      <c r="AKP119" s="1251"/>
      <c r="AKQ119" s="1251"/>
      <c r="AKR119" s="1251"/>
      <c r="AKS119" s="1251"/>
      <c r="AKT119" s="1251"/>
      <c r="AKU119" s="1251"/>
      <c r="AKV119" s="1251"/>
      <c r="AKW119" s="1251"/>
      <c r="AKX119" s="1251"/>
      <c r="AKY119" s="1251"/>
      <c r="AKZ119" s="1251"/>
      <c r="ALA119" s="1251"/>
      <c r="ALB119" s="1251"/>
      <c r="ALC119" s="1251"/>
      <c r="ALD119" s="1251"/>
      <c r="ALE119" s="1251"/>
      <c r="ALF119" s="1251"/>
      <c r="ALG119" s="1251"/>
      <c r="ALH119" s="1251"/>
      <c r="ALI119" s="1251"/>
      <c r="ALJ119" s="1251"/>
      <c r="ALK119" s="1251"/>
      <c r="ALL119" s="1251"/>
      <c r="ALM119" s="1251"/>
      <c r="ALN119" s="1251"/>
      <c r="ALO119" s="1251"/>
      <c r="ALP119" s="1251"/>
      <c r="ALQ119" s="1251"/>
      <c r="ALR119" s="1251"/>
      <c r="ALS119" s="1251"/>
      <c r="ALT119" s="1251"/>
      <c r="ALU119" s="1251"/>
      <c r="ALV119" s="1251"/>
      <c r="ALW119" s="1251"/>
      <c r="ALX119" s="1251"/>
      <c r="ALY119" s="1251"/>
      <c r="ALZ119" s="1251"/>
      <c r="AMA119" s="1251"/>
      <c r="AMB119" s="1251"/>
      <c r="AMC119" s="1251"/>
      <c r="AMD119" s="1251"/>
      <c r="AME119" s="1251"/>
      <c r="AMF119" s="1251"/>
      <c r="AMG119" s="1251"/>
      <c r="AMH119" s="1251"/>
      <c r="AMI119" s="1251"/>
      <c r="AMJ119" s="1251"/>
      <c r="AMK119" s="1251"/>
      <c r="AML119" s="1251"/>
      <c r="AMM119" s="1251"/>
      <c r="AMN119" s="1251"/>
      <c r="AMO119" s="1251"/>
      <c r="AMP119" s="1251"/>
      <c r="AMQ119" s="1251"/>
      <c r="AMR119" s="1251"/>
      <c r="AMS119" s="1251"/>
      <c r="AMT119" s="1251"/>
      <c r="AMU119" s="1251"/>
      <c r="AMV119" s="1251"/>
      <c r="AMW119" s="1251"/>
      <c r="AMX119" s="1251"/>
      <c r="AMY119" s="1251"/>
      <c r="AMZ119" s="1251"/>
      <c r="ANA119" s="1251"/>
      <c r="ANB119" s="1251"/>
      <c r="ANC119" s="1251"/>
      <c r="AND119" s="1251"/>
      <c r="ANE119" s="1251"/>
      <c r="ANF119" s="1251"/>
      <c r="ANG119" s="1251"/>
      <c r="ANH119" s="1251"/>
      <c r="ANI119" s="1251"/>
      <c r="ANJ119" s="1251"/>
      <c r="ANK119" s="1251"/>
      <c r="ANL119" s="1251"/>
      <c r="ANM119" s="1251"/>
      <c r="ANN119" s="1251"/>
      <c r="ANO119" s="1251"/>
      <c r="ANP119" s="1251"/>
      <c r="ANQ119" s="1251"/>
      <c r="ANR119" s="1251"/>
      <c r="ANS119" s="1251"/>
      <c r="ANT119" s="1251"/>
      <c r="ANU119" s="1251"/>
      <c r="ANV119" s="1251"/>
      <c r="ANW119" s="1251"/>
      <c r="ANX119" s="1251"/>
      <c r="ANY119" s="1251"/>
      <c r="ANZ119" s="1251"/>
      <c r="AOA119" s="1251"/>
      <c r="AOB119" s="1251"/>
      <c r="AOC119" s="1251"/>
      <c r="AOD119" s="1251"/>
      <c r="AOE119" s="1251"/>
      <c r="AOF119" s="1251"/>
      <c r="AOG119" s="1251"/>
      <c r="AOH119" s="1251"/>
      <c r="AOI119" s="1251"/>
      <c r="AOJ119" s="1251"/>
      <c r="AOK119" s="1251"/>
      <c r="AOL119" s="1251"/>
      <c r="AOM119" s="1251"/>
      <c r="AON119" s="1251"/>
      <c r="AOO119" s="1251"/>
      <c r="AOP119" s="1251"/>
      <c r="AOQ119" s="1251"/>
      <c r="AOR119" s="1251"/>
      <c r="AOS119" s="1251"/>
      <c r="AOT119" s="1251"/>
      <c r="AOU119" s="1251"/>
      <c r="AOV119" s="1251"/>
      <c r="AOW119" s="1251"/>
      <c r="AOX119" s="1251"/>
      <c r="AOY119" s="1251"/>
      <c r="AOZ119" s="1251"/>
      <c r="APA119" s="1251"/>
      <c r="APB119" s="1251"/>
      <c r="APC119" s="1251"/>
      <c r="APD119" s="1251"/>
      <c r="APE119" s="1251"/>
      <c r="APF119" s="1251"/>
      <c r="APG119" s="1251"/>
      <c r="APH119" s="1251"/>
      <c r="API119" s="1251"/>
      <c r="APJ119" s="1251"/>
      <c r="APK119" s="1251"/>
      <c r="APL119" s="1251"/>
      <c r="APM119" s="1251"/>
      <c r="APN119" s="1251"/>
      <c r="APO119" s="1251"/>
      <c r="APP119" s="1251"/>
      <c r="APQ119" s="1251"/>
      <c r="APR119" s="1251"/>
      <c r="APS119" s="1251"/>
      <c r="APT119" s="1251"/>
      <c r="APU119" s="1251"/>
      <c r="APV119" s="1251"/>
      <c r="APW119" s="1251"/>
      <c r="APX119" s="1251"/>
      <c r="APY119" s="1251"/>
      <c r="APZ119" s="1251"/>
      <c r="AQA119" s="1251"/>
      <c r="AQB119" s="1251"/>
      <c r="AQC119" s="1251"/>
      <c r="AQD119" s="1251"/>
      <c r="AQE119" s="1251"/>
      <c r="AQF119" s="1251"/>
      <c r="AQG119" s="1251"/>
      <c r="AQH119" s="1251"/>
      <c r="AQI119" s="1251"/>
      <c r="AQJ119" s="1251"/>
      <c r="AQK119" s="1251"/>
      <c r="AQL119" s="1251"/>
      <c r="AQM119" s="1251"/>
      <c r="AQN119" s="1251"/>
      <c r="AQO119" s="1251"/>
      <c r="AQP119" s="1251"/>
      <c r="AQQ119" s="1251"/>
      <c r="AQR119" s="1251"/>
      <c r="AQS119" s="1251"/>
      <c r="AQT119" s="1251"/>
      <c r="AQU119" s="1251"/>
      <c r="AQV119" s="1251"/>
      <c r="AQW119" s="1251"/>
      <c r="AQX119" s="1251"/>
      <c r="AQY119" s="1251"/>
      <c r="AQZ119" s="1251"/>
      <c r="ARA119" s="1251"/>
      <c r="ARB119" s="1251"/>
      <c r="ARC119" s="1251"/>
      <c r="ARD119" s="1251"/>
      <c r="ARE119" s="1251"/>
      <c r="ARF119" s="1251"/>
      <c r="ARG119" s="1251"/>
      <c r="ARH119" s="1251"/>
      <c r="ARI119" s="1251"/>
      <c r="ARJ119" s="1251"/>
      <c r="ARK119" s="1251"/>
      <c r="ARL119" s="1251"/>
      <c r="ARM119" s="1251"/>
      <c r="ARN119" s="1251"/>
      <c r="ARO119" s="1251"/>
      <c r="ARP119" s="1251"/>
      <c r="ARQ119" s="1251"/>
      <c r="ARR119" s="1251"/>
      <c r="ARS119" s="1251"/>
      <c r="ART119" s="1251"/>
      <c r="ARU119" s="1251"/>
      <c r="ARV119" s="1251"/>
      <c r="ARW119" s="1251"/>
      <c r="ARX119" s="1251"/>
      <c r="ARY119" s="1251"/>
      <c r="ARZ119" s="1251"/>
      <c r="ASA119" s="1251"/>
      <c r="ASB119" s="1251"/>
      <c r="ASC119" s="1251"/>
      <c r="ASD119" s="1251"/>
      <c r="ASE119" s="1251"/>
      <c r="ASF119" s="1251"/>
      <c r="ASG119" s="1251"/>
      <c r="ASH119" s="1251"/>
      <c r="ASI119" s="1251"/>
      <c r="ASJ119" s="1251"/>
      <c r="ASK119" s="1251"/>
      <c r="ASL119" s="1251"/>
      <c r="ASM119" s="1251"/>
      <c r="ASN119" s="1251"/>
      <c r="ASO119" s="1251"/>
      <c r="ASP119" s="1251"/>
      <c r="ASQ119" s="1251"/>
      <c r="ASR119" s="1251"/>
      <c r="ASS119" s="1251"/>
      <c r="AST119" s="1251"/>
      <c r="ASU119" s="1251"/>
      <c r="ASV119" s="1251"/>
      <c r="ASW119" s="1251"/>
      <c r="ASX119" s="1251"/>
      <c r="ASY119" s="1251"/>
      <c r="ASZ119" s="1251"/>
      <c r="ATA119" s="1251"/>
      <c r="ATB119" s="1251"/>
      <c r="ATC119" s="1251"/>
      <c r="ATD119" s="1251"/>
      <c r="ATE119" s="1251"/>
      <c r="ATF119" s="1251"/>
      <c r="ATG119" s="1251"/>
      <c r="ATH119" s="1251"/>
      <c r="ATI119" s="1251"/>
      <c r="ATJ119" s="1251"/>
      <c r="ATK119" s="1251"/>
      <c r="ATL119" s="1251"/>
      <c r="ATM119" s="1251"/>
      <c r="ATN119" s="1251"/>
      <c r="ATO119" s="1251"/>
      <c r="ATP119" s="1251"/>
      <c r="ATQ119" s="1251"/>
      <c r="ATR119" s="1251"/>
      <c r="ATS119" s="1251"/>
      <c r="ATT119" s="1251"/>
      <c r="ATU119" s="1251"/>
      <c r="ATV119" s="1251"/>
      <c r="ATW119" s="1251"/>
      <c r="ATX119" s="1251"/>
      <c r="ATY119" s="1251"/>
      <c r="ATZ119" s="1251"/>
      <c r="AUA119" s="1251"/>
      <c r="AUB119" s="1251"/>
      <c r="AUC119" s="1251"/>
      <c r="AUD119" s="1251"/>
      <c r="AUE119" s="1251"/>
      <c r="AUF119" s="1251"/>
      <c r="AUG119" s="1251"/>
      <c r="AUH119" s="1251"/>
      <c r="AUI119" s="1251"/>
      <c r="AUJ119" s="1251"/>
      <c r="AUK119" s="1251"/>
      <c r="AUL119" s="1251"/>
      <c r="AUM119" s="1251"/>
      <c r="AUN119" s="1251"/>
      <c r="AUO119" s="1251"/>
      <c r="AUP119" s="1251"/>
      <c r="AUQ119" s="1251"/>
      <c r="AUR119" s="1251"/>
      <c r="AUS119" s="1251"/>
      <c r="AUT119" s="1251"/>
      <c r="AUU119" s="1251"/>
      <c r="AUV119" s="1251"/>
      <c r="AUW119" s="1251"/>
      <c r="AUX119" s="1251"/>
      <c r="AUY119" s="1251"/>
      <c r="AUZ119" s="1251"/>
      <c r="AVA119" s="1251"/>
      <c r="AVB119" s="1251"/>
      <c r="AVC119" s="1251"/>
      <c r="AVD119" s="1251"/>
      <c r="AVE119" s="1251"/>
      <c r="AVF119" s="1251"/>
      <c r="AVG119" s="1251"/>
      <c r="AVH119" s="1251"/>
      <c r="AVI119" s="1251"/>
      <c r="AVJ119" s="1251"/>
      <c r="AVK119" s="1251"/>
      <c r="AVL119" s="1251"/>
      <c r="AVM119" s="1251"/>
      <c r="AVN119" s="1251"/>
      <c r="AVO119" s="1251"/>
      <c r="AVP119" s="1251"/>
      <c r="AVQ119" s="1251"/>
      <c r="AVR119" s="1251"/>
      <c r="AVS119" s="1251"/>
      <c r="AVT119" s="1251"/>
      <c r="AVU119" s="1251"/>
      <c r="AVV119" s="1251"/>
      <c r="AVW119" s="1251"/>
      <c r="AVX119" s="1251"/>
      <c r="AVY119" s="1251"/>
      <c r="AVZ119" s="1251"/>
      <c r="AWA119" s="1251"/>
      <c r="AWB119" s="1251"/>
      <c r="AWC119" s="1251"/>
      <c r="AWD119" s="1251"/>
      <c r="AWE119" s="1251"/>
      <c r="AWF119" s="1251"/>
      <c r="AWG119" s="1251"/>
      <c r="AWH119" s="1251"/>
      <c r="AWI119" s="1251"/>
      <c r="AWJ119" s="1251"/>
      <c r="AWK119" s="1251"/>
      <c r="AWL119" s="1251"/>
      <c r="AWM119" s="1251"/>
      <c r="AWN119" s="1251"/>
      <c r="AWO119" s="1251"/>
      <c r="AWP119" s="1251"/>
      <c r="AWQ119" s="1251"/>
      <c r="AWR119" s="1251"/>
      <c r="AWS119" s="1251"/>
      <c r="AWT119" s="1251"/>
      <c r="AWU119" s="1251"/>
      <c r="AWV119" s="1251"/>
      <c r="AWW119" s="1251"/>
      <c r="AWX119" s="1251"/>
      <c r="AWY119" s="1251"/>
      <c r="AWZ119" s="1251"/>
      <c r="AXA119" s="1251"/>
      <c r="AXB119" s="1251"/>
      <c r="AXC119" s="1251"/>
      <c r="AXD119" s="1251"/>
      <c r="AXE119" s="1251"/>
      <c r="AXF119" s="1251"/>
      <c r="AXG119" s="1251"/>
      <c r="AXH119" s="1251"/>
      <c r="AXI119" s="1251"/>
      <c r="AXJ119" s="1251"/>
      <c r="AXK119" s="1251"/>
      <c r="AXL119" s="1251"/>
      <c r="AXM119" s="1251"/>
      <c r="AXN119" s="1251"/>
      <c r="AXO119" s="1251"/>
      <c r="AXP119" s="1251"/>
      <c r="AXQ119" s="1251"/>
      <c r="AXR119" s="1251"/>
      <c r="AXS119" s="1251"/>
      <c r="AXT119" s="1251"/>
      <c r="AXU119" s="1251"/>
      <c r="AXV119" s="1251"/>
      <c r="AXW119" s="1251"/>
      <c r="AXX119" s="1251"/>
      <c r="AXY119" s="1251"/>
      <c r="AXZ119" s="1251"/>
      <c r="AYA119" s="1251"/>
      <c r="AYB119" s="1251"/>
      <c r="AYC119" s="1251"/>
      <c r="AYD119" s="1251"/>
      <c r="AYE119" s="1251"/>
      <c r="AYF119" s="1251"/>
      <c r="AYG119" s="1251"/>
      <c r="AYH119" s="1251"/>
      <c r="AYI119" s="1251"/>
      <c r="AYJ119" s="1251"/>
      <c r="AYK119" s="1251"/>
      <c r="AYL119" s="1251"/>
      <c r="AYM119" s="1251"/>
      <c r="AYN119" s="1251"/>
      <c r="AYO119" s="1251"/>
      <c r="AYP119" s="1251"/>
      <c r="AYQ119" s="1251"/>
      <c r="AYR119" s="1251"/>
      <c r="AYS119" s="1251"/>
      <c r="AYT119" s="1251"/>
      <c r="AYU119" s="1251"/>
      <c r="AYV119" s="1251"/>
      <c r="AYW119" s="1251"/>
      <c r="AYX119" s="1251"/>
      <c r="AYY119" s="1251"/>
      <c r="AYZ119" s="1251"/>
      <c r="AZA119" s="1251"/>
      <c r="AZB119" s="1251"/>
      <c r="AZC119" s="1251"/>
      <c r="AZD119" s="1251"/>
      <c r="AZE119" s="1251"/>
      <c r="AZF119" s="1251"/>
      <c r="AZG119" s="1251"/>
      <c r="AZH119" s="1251"/>
      <c r="AZI119" s="1251"/>
      <c r="AZJ119" s="1251"/>
      <c r="AZK119" s="1251"/>
      <c r="AZL119" s="1251"/>
      <c r="AZM119" s="1251"/>
      <c r="AZN119" s="1251"/>
      <c r="AZO119" s="1251"/>
      <c r="AZP119" s="1251"/>
      <c r="AZQ119" s="1251"/>
      <c r="AZR119" s="1251"/>
      <c r="AZS119" s="1251"/>
      <c r="AZT119" s="1251"/>
      <c r="AZU119" s="1251"/>
      <c r="AZV119" s="1251"/>
      <c r="AZW119" s="1251"/>
      <c r="AZX119" s="1251"/>
      <c r="AZY119" s="1251"/>
      <c r="AZZ119" s="1251"/>
      <c r="BAA119" s="1251"/>
      <c r="BAB119" s="1251"/>
      <c r="BAC119" s="1251"/>
      <c r="BAD119" s="1251"/>
      <c r="BAE119" s="1251"/>
      <c r="BAF119" s="1251"/>
      <c r="BAG119" s="1251"/>
      <c r="BAH119" s="1251"/>
      <c r="BAI119" s="1251"/>
      <c r="BAJ119" s="1251"/>
      <c r="BAK119" s="1251"/>
      <c r="BAL119" s="1251"/>
      <c r="BAM119" s="1251"/>
      <c r="BAN119" s="1251"/>
      <c r="BAO119" s="1251"/>
      <c r="BAP119" s="1251"/>
      <c r="BAQ119" s="1251"/>
      <c r="BAR119" s="1251"/>
      <c r="BAS119" s="1251"/>
      <c r="BAT119" s="1251"/>
      <c r="BAU119" s="1251"/>
      <c r="BAV119" s="1251"/>
      <c r="BAW119" s="1251"/>
      <c r="BAX119" s="1251"/>
      <c r="BAY119" s="1251"/>
      <c r="BAZ119" s="1251"/>
      <c r="BBA119" s="1251"/>
      <c r="BBB119" s="1251"/>
      <c r="BBC119" s="1251"/>
      <c r="BBD119" s="1251"/>
      <c r="BBE119" s="1251"/>
      <c r="BBF119" s="1251"/>
      <c r="BBG119" s="1251"/>
      <c r="BBH119" s="1251"/>
      <c r="BBI119" s="1251"/>
      <c r="BBJ119" s="1251"/>
      <c r="BBK119" s="1251"/>
      <c r="BBL119" s="1251"/>
      <c r="BBM119" s="1251"/>
      <c r="BBN119" s="1251"/>
      <c r="BBO119" s="1251"/>
      <c r="BBP119" s="1251"/>
      <c r="BBQ119" s="1251"/>
      <c r="BBR119" s="1251"/>
      <c r="BBS119" s="1251"/>
      <c r="BBT119" s="1251"/>
      <c r="BBU119" s="1251"/>
      <c r="BBV119" s="1251"/>
      <c r="BBW119" s="1251"/>
      <c r="BBX119" s="1251"/>
      <c r="BBY119" s="1251"/>
      <c r="BBZ119" s="1251"/>
      <c r="BCA119" s="1251"/>
      <c r="BCB119" s="1251"/>
      <c r="BCC119" s="1251"/>
      <c r="BCD119" s="1251"/>
      <c r="BCE119" s="1251"/>
      <c r="BCF119" s="1251"/>
      <c r="BCG119" s="1251"/>
      <c r="BCH119" s="1251"/>
      <c r="BCI119" s="1251"/>
      <c r="BCJ119" s="1251"/>
      <c r="BCK119" s="1251"/>
      <c r="BCL119" s="1251"/>
      <c r="BCM119" s="1251"/>
      <c r="BCN119" s="1251"/>
      <c r="BCO119" s="1251"/>
      <c r="BCP119" s="1251"/>
      <c r="BCQ119" s="1251"/>
      <c r="BCR119" s="1251"/>
      <c r="BCS119" s="1251"/>
      <c r="BCT119" s="1251"/>
      <c r="BCU119" s="1251"/>
      <c r="BCV119" s="1251"/>
      <c r="BCW119" s="1251"/>
      <c r="BCX119" s="1251"/>
      <c r="BCY119" s="1251"/>
      <c r="BCZ119" s="1251"/>
      <c r="BDA119" s="1251"/>
      <c r="BDB119" s="1251"/>
      <c r="BDC119" s="1251"/>
      <c r="BDD119" s="1251"/>
      <c r="BDE119" s="1251"/>
      <c r="BDF119" s="1251"/>
      <c r="BDG119" s="1251"/>
      <c r="BDH119" s="1251"/>
      <c r="BDI119" s="1251"/>
      <c r="BDJ119" s="1251"/>
      <c r="BDK119" s="1251"/>
      <c r="BDL119" s="1251"/>
      <c r="BDM119" s="1251"/>
      <c r="BDN119" s="1251"/>
      <c r="BDO119" s="1251"/>
      <c r="BDP119" s="1251"/>
      <c r="BDQ119" s="1251"/>
      <c r="BDR119" s="1251"/>
      <c r="BDS119" s="1251"/>
      <c r="BDT119" s="1251"/>
      <c r="BDU119" s="1251"/>
      <c r="BDV119" s="1251"/>
      <c r="BDW119" s="1251"/>
      <c r="BDX119" s="1251"/>
      <c r="BDY119" s="1251"/>
      <c r="BDZ119" s="1251"/>
      <c r="BEA119" s="1251"/>
      <c r="BEB119" s="1251"/>
      <c r="BEC119" s="1251"/>
      <c r="BED119" s="1251"/>
      <c r="BEE119" s="1251"/>
      <c r="BEF119" s="1251"/>
      <c r="BEG119" s="1251"/>
      <c r="BEH119" s="1251"/>
      <c r="BEI119" s="1251"/>
      <c r="BEJ119" s="1251"/>
      <c r="BEK119" s="1251"/>
      <c r="BEL119" s="1251"/>
      <c r="BEM119" s="1251"/>
      <c r="BEN119" s="1251"/>
      <c r="BEO119" s="1251"/>
      <c r="BEP119" s="1251"/>
      <c r="BEQ119" s="1251"/>
      <c r="BER119" s="1251"/>
      <c r="BES119" s="1251"/>
      <c r="BET119" s="1251"/>
      <c r="BEU119" s="1251"/>
      <c r="BEV119" s="1251"/>
      <c r="BEW119" s="1251"/>
      <c r="BEX119" s="1251"/>
      <c r="BEY119" s="1251"/>
      <c r="BEZ119" s="1251"/>
      <c r="BFA119" s="1251"/>
      <c r="BFB119" s="1251"/>
      <c r="BFC119" s="1251"/>
      <c r="BFD119" s="1251"/>
      <c r="BFE119" s="1251"/>
      <c r="BFF119" s="1251"/>
      <c r="BFG119" s="1251"/>
      <c r="BFH119" s="1251"/>
      <c r="BFI119" s="1251"/>
      <c r="BFJ119" s="1251"/>
      <c r="BFK119" s="1251"/>
      <c r="BFL119" s="1251"/>
      <c r="BFM119" s="1251"/>
      <c r="BFN119" s="1251"/>
      <c r="BFO119" s="1251"/>
      <c r="BFP119" s="1251"/>
      <c r="BFQ119" s="1251"/>
      <c r="BFR119" s="1251"/>
      <c r="BFS119" s="1251"/>
      <c r="BFT119" s="1251"/>
      <c r="BFU119" s="1251"/>
      <c r="BFV119" s="1251"/>
      <c r="BFW119" s="1251"/>
      <c r="BFX119" s="1251"/>
      <c r="BFY119" s="1251"/>
      <c r="BFZ119" s="1251"/>
      <c r="BGA119" s="1251"/>
      <c r="BGB119" s="1251"/>
      <c r="BGC119" s="1251"/>
      <c r="BGD119" s="1251"/>
      <c r="BGE119" s="1251"/>
      <c r="BGF119" s="1251"/>
      <c r="BGG119" s="1251"/>
      <c r="BGH119" s="1251"/>
      <c r="BGI119" s="1251"/>
      <c r="BGJ119" s="1251"/>
      <c r="BGK119" s="1251"/>
      <c r="BGL119" s="1251"/>
      <c r="BGM119" s="1251"/>
      <c r="BGN119" s="1251"/>
      <c r="BGO119" s="1251"/>
      <c r="BGP119" s="1251"/>
      <c r="BGQ119" s="1251"/>
      <c r="BGR119" s="1251"/>
      <c r="BGS119" s="1251"/>
      <c r="BGT119" s="1251"/>
      <c r="BGU119" s="1251"/>
      <c r="BGV119" s="1251"/>
      <c r="BGW119" s="1251"/>
      <c r="BGX119" s="1251"/>
      <c r="BGY119" s="1251"/>
      <c r="BGZ119" s="1251"/>
      <c r="BHA119" s="1251"/>
      <c r="BHB119" s="1251"/>
      <c r="BHC119" s="1251"/>
      <c r="BHD119" s="1251"/>
      <c r="BHE119" s="1251"/>
      <c r="BHF119" s="1251"/>
      <c r="BHG119" s="1251"/>
      <c r="BHH119" s="1251"/>
      <c r="BHI119" s="1251"/>
      <c r="BHJ119" s="1251"/>
      <c r="BHK119" s="1251"/>
      <c r="BHL119" s="1251"/>
      <c r="BHM119" s="1251"/>
      <c r="BHN119" s="1251"/>
      <c r="BHO119" s="1251"/>
      <c r="BHP119" s="1251"/>
      <c r="BHQ119" s="1251"/>
      <c r="BHR119" s="1251"/>
      <c r="BHS119" s="1251"/>
      <c r="BHT119" s="1251"/>
      <c r="BHU119" s="1251"/>
      <c r="BHV119" s="1251"/>
      <c r="BHW119" s="1251"/>
      <c r="BHX119" s="1251"/>
      <c r="BHY119" s="1251"/>
      <c r="BHZ119" s="1251"/>
      <c r="BIA119" s="1251"/>
      <c r="BIB119" s="1251"/>
      <c r="BIC119" s="1251"/>
      <c r="BID119" s="1251"/>
      <c r="BIE119" s="1251"/>
      <c r="BIF119" s="1251"/>
      <c r="BIG119" s="1251"/>
      <c r="BIH119" s="1251"/>
      <c r="BII119" s="1251"/>
      <c r="BIJ119" s="1251"/>
      <c r="BIK119" s="1251"/>
      <c r="BIL119" s="1251"/>
      <c r="BIM119" s="1251"/>
      <c r="BIN119" s="1251"/>
      <c r="BIO119" s="1251"/>
      <c r="BIP119" s="1251"/>
      <c r="BIQ119" s="1251"/>
      <c r="BIR119" s="1251"/>
      <c r="BIS119" s="1251"/>
      <c r="BIT119" s="1251"/>
      <c r="BIU119" s="1251"/>
      <c r="BIV119" s="1251"/>
      <c r="BIW119" s="1251"/>
      <c r="BIX119" s="1251"/>
      <c r="BIY119" s="1251"/>
      <c r="BIZ119" s="1251"/>
      <c r="BJA119" s="1251"/>
      <c r="BJB119" s="1251"/>
      <c r="BJC119" s="1251"/>
      <c r="BJD119" s="1251"/>
      <c r="BJE119" s="1251"/>
      <c r="BJF119" s="1251"/>
      <c r="BJG119" s="1251"/>
      <c r="BJH119" s="1251"/>
      <c r="BJI119" s="1251"/>
      <c r="BJJ119" s="1251"/>
      <c r="BJK119" s="1251"/>
      <c r="BJL119" s="1251"/>
      <c r="BJM119" s="1251"/>
      <c r="BJN119" s="1251"/>
      <c r="BJO119" s="1251"/>
      <c r="BJP119" s="1251"/>
      <c r="BJQ119" s="1251"/>
      <c r="BJR119" s="1251"/>
      <c r="BJS119" s="1251"/>
      <c r="BJT119" s="1251"/>
      <c r="BJU119" s="1251"/>
      <c r="BJV119" s="1251"/>
      <c r="BJW119" s="1251"/>
      <c r="BJX119" s="1251"/>
      <c r="BJY119" s="1251"/>
      <c r="BJZ119" s="1251"/>
      <c r="BKA119" s="1251"/>
      <c r="BKB119" s="1251"/>
      <c r="BKC119" s="1251"/>
      <c r="BKD119" s="1251"/>
      <c r="BKE119" s="1251"/>
      <c r="BKF119" s="1251"/>
      <c r="BKG119" s="1251"/>
      <c r="BKH119" s="1251"/>
      <c r="BKI119" s="1251"/>
      <c r="BKJ119" s="1251"/>
      <c r="BKK119" s="1251"/>
      <c r="BKL119" s="1251"/>
      <c r="BKM119" s="1251"/>
      <c r="BKN119" s="1251"/>
      <c r="BKO119" s="1251"/>
      <c r="BKP119" s="1251"/>
      <c r="BKQ119" s="1251"/>
      <c r="BKR119" s="1251"/>
      <c r="BKS119" s="1251"/>
      <c r="BKT119" s="1251"/>
      <c r="BKU119" s="1251"/>
      <c r="BKV119" s="1251"/>
      <c r="BKW119" s="1251"/>
      <c r="BKX119" s="1251"/>
      <c r="BKY119" s="1251"/>
      <c r="BKZ119" s="1251"/>
      <c r="BLA119" s="1251"/>
      <c r="BLB119" s="1251"/>
      <c r="BLC119" s="1251"/>
      <c r="BLD119" s="1251"/>
      <c r="BLE119" s="1251"/>
      <c r="BLF119" s="1251"/>
      <c r="BLG119" s="1251"/>
      <c r="BLH119" s="1251"/>
      <c r="BLI119" s="1251"/>
      <c r="BLJ119" s="1251"/>
      <c r="BLK119" s="1251"/>
      <c r="BLL119" s="1251"/>
      <c r="BLM119" s="1251"/>
      <c r="BLN119" s="1251"/>
      <c r="BLO119" s="1251"/>
      <c r="BLP119" s="1251"/>
      <c r="BLQ119" s="1251"/>
      <c r="BLR119" s="1251"/>
      <c r="BLS119" s="1251"/>
      <c r="BLT119" s="1251"/>
      <c r="BLU119" s="1251"/>
      <c r="BLV119" s="1251"/>
      <c r="BLW119" s="1251"/>
      <c r="BLX119" s="1251"/>
      <c r="BLY119" s="1251"/>
      <c r="BLZ119" s="1251"/>
      <c r="BMA119" s="1251"/>
      <c r="BMB119" s="1251"/>
      <c r="BMC119" s="1251"/>
      <c r="BMD119" s="1251"/>
      <c r="BME119" s="1251"/>
      <c r="BMF119" s="1251"/>
      <c r="BMG119" s="1251"/>
      <c r="BMH119" s="1251"/>
      <c r="BMI119" s="1251"/>
      <c r="BMJ119" s="1251"/>
      <c r="BMK119" s="1251"/>
      <c r="BML119" s="1251"/>
      <c r="BMM119" s="1251"/>
      <c r="BMN119" s="1251"/>
      <c r="BMO119" s="1251"/>
      <c r="BMP119" s="1251"/>
      <c r="BMQ119" s="1251"/>
      <c r="BMR119" s="1251"/>
      <c r="BMS119" s="1251"/>
      <c r="BMT119" s="1251"/>
      <c r="BMU119" s="1251"/>
      <c r="BMV119" s="1251"/>
      <c r="BMW119" s="1251"/>
      <c r="BMX119" s="1251"/>
      <c r="BMY119" s="1251"/>
      <c r="BMZ119" s="1251"/>
      <c r="BNA119" s="1251"/>
      <c r="BNB119" s="1251"/>
      <c r="BNC119" s="1251"/>
      <c r="BND119" s="1251"/>
      <c r="BNE119" s="1251"/>
      <c r="BNF119" s="1251"/>
      <c r="BNG119" s="1251"/>
      <c r="BNH119" s="1251"/>
      <c r="BNI119" s="1251"/>
      <c r="BNJ119" s="1251"/>
      <c r="BNK119" s="1251"/>
      <c r="BNL119" s="1251"/>
      <c r="BNM119" s="1251"/>
      <c r="BNN119" s="1251"/>
      <c r="BNO119" s="1251"/>
      <c r="BNP119" s="1251"/>
      <c r="BNQ119" s="1251"/>
      <c r="BNR119" s="1251"/>
      <c r="BNS119" s="1251"/>
      <c r="BNT119" s="1251"/>
      <c r="BNU119" s="1251"/>
      <c r="BNV119" s="1251"/>
      <c r="BNW119" s="1251"/>
      <c r="BNX119" s="1251"/>
      <c r="BNY119" s="1251"/>
      <c r="BNZ119" s="1251"/>
      <c r="BOA119" s="1251"/>
      <c r="BOB119" s="1251"/>
      <c r="BOC119" s="1251"/>
      <c r="BOD119" s="1251"/>
      <c r="BOE119" s="1251"/>
      <c r="BOF119" s="1251"/>
      <c r="BOG119" s="1251"/>
      <c r="BOH119" s="1251"/>
      <c r="BOI119" s="1251"/>
      <c r="BOJ119" s="1251"/>
      <c r="BOK119" s="1251"/>
      <c r="BOL119" s="1251"/>
      <c r="BOM119" s="1251"/>
      <c r="BON119" s="1251"/>
      <c r="BOO119" s="1251"/>
      <c r="BOP119" s="1251"/>
      <c r="BOQ119" s="1251"/>
      <c r="BOR119" s="1251"/>
      <c r="BOS119" s="1251"/>
      <c r="BOT119" s="1251"/>
      <c r="BOU119" s="1251"/>
      <c r="BOV119" s="1251"/>
      <c r="BOW119" s="1251"/>
      <c r="BOX119" s="1251"/>
      <c r="BOY119" s="1251"/>
      <c r="BOZ119" s="1251"/>
      <c r="BPA119" s="1251"/>
      <c r="BPB119" s="1251"/>
      <c r="BPC119" s="1251"/>
      <c r="BPD119" s="1251"/>
      <c r="BPE119" s="1251"/>
      <c r="BPF119" s="1251"/>
      <c r="BPG119" s="1251"/>
      <c r="BPH119" s="1251"/>
      <c r="BPI119" s="1251"/>
      <c r="BPJ119" s="1251"/>
      <c r="BPK119" s="1251"/>
      <c r="BPL119" s="1251"/>
      <c r="BPM119" s="1251"/>
      <c r="BPN119" s="1251"/>
      <c r="BPO119" s="1251"/>
      <c r="BPP119" s="1251"/>
      <c r="BPQ119" s="1251"/>
      <c r="BPR119" s="1251"/>
      <c r="BPS119" s="1251"/>
      <c r="BPT119" s="1251"/>
      <c r="BPU119" s="1251"/>
      <c r="BPV119" s="1251"/>
      <c r="BPW119" s="1251"/>
      <c r="BPX119" s="1251"/>
      <c r="BPY119" s="1251"/>
      <c r="BPZ119" s="1251"/>
      <c r="BQA119" s="1251"/>
      <c r="BQB119" s="1251"/>
      <c r="BQC119" s="1251"/>
      <c r="BQD119" s="1251"/>
      <c r="BQE119" s="1251"/>
      <c r="BQF119" s="1251"/>
      <c r="BQG119" s="1251"/>
      <c r="BQH119" s="1251"/>
      <c r="BQI119" s="1251"/>
      <c r="BQJ119" s="1251"/>
      <c r="BQK119" s="1251"/>
      <c r="BQL119" s="1251"/>
      <c r="BQM119" s="1251"/>
      <c r="BQN119" s="1251"/>
      <c r="BQO119" s="1251"/>
      <c r="BQP119" s="1251"/>
      <c r="BQQ119" s="1251"/>
      <c r="BQR119" s="1251"/>
      <c r="BQS119" s="1251"/>
      <c r="BQT119" s="1251"/>
      <c r="BQU119" s="1251"/>
      <c r="BQV119" s="1251"/>
      <c r="BQW119" s="1251"/>
      <c r="BQX119" s="1251"/>
      <c r="BQY119" s="1251"/>
      <c r="BQZ119" s="1251"/>
      <c r="BRA119" s="1251"/>
      <c r="BRB119" s="1251"/>
      <c r="BRC119" s="1251"/>
      <c r="BRD119" s="1251"/>
      <c r="BRE119" s="1251"/>
      <c r="BRF119" s="1251"/>
      <c r="BRG119" s="1251"/>
      <c r="BRH119" s="1251"/>
      <c r="BRI119" s="1251"/>
      <c r="BRJ119" s="1251"/>
      <c r="BRK119" s="1251"/>
      <c r="BRL119" s="1251"/>
      <c r="BRM119" s="1251"/>
      <c r="BRN119" s="1251"/>
      <c r="BRO119" s="1251"/>
      <c r="BRP119" s="1251"/>
      <c r="BRQ119" s="1251"/>
      <c r="BRR119" s="1251"/>
      <c r="BRS119" s="1251"/>
      <c r="BRT119" s="1251"/>
      <c r="BRU119" s="1251"/>
      <c r="BRV119" s="1251"/>
      <c r="BRW119" s="1251"/>
      <c r="BRX119" s="1251"/>
      <c r="BRY119" s="1251"/>
      <c r="BRZ119" s="1251"/>
      <c r="BSA119" s="1251"/>
      <c r="BSB119" s="1251"/>
      <c r="BSC119" s="1251"/>
      <c r="BSD119" s="1251"/>
      <c r="BSE119" s="1251"/>
      <c r="BSF119" s="1251"/>
      <c r="BSG119" s="1251"/>
      <c r="BSH119" s="1251"/>
      <c r="BSI119" s="1251"/>
      <c r="BSJ119" s="1251"/>
      <c r="BSK119" s="1251"/>
      <c r="BSL119" s="1251"/>
      <c r="BSM119" s="1251"/>
      <c r="BSN119" s="1251"/>
      <c r="BSO119" s="1251"/>
      <c r="BSP119" s="1251"/>
      <c r="BSQ119" s="1251"/>
      <c r="BSR119" s="1251"/>
      <c r="BSS119" s="1251"/>
      <c r="BST119" s="1251"/>
      <c r="BSU119" s="1251"/>
      <c r="BSV119" s="1251"/>
      <c r="BSW119" s="1251"/>
      <c r="BSX119" s="1251"/>
      <c r="BSY119" s="1251"/>
      <c r="BSZ119" s="1251"/>
      <c r="BTA119" s="1251"/>
      <c r="BTB119" s="1251"/>
      <c r="BTC119" s="1251"/>
      <c r="BTD119" s="1251"/>
      <c r="BTE119" s="1251"/>
      <c r="BTF119" s="1251"/>
      <c r="BTG119" s="1251"/>
      <c r="BTH119" s="1251"/>
      <c r="BTI119" s="1251"/>
    </row>
    <row r="120" spans="1:1881" s="1261" customFormat="1" ht="123.75" hidden="1" customHeight="1" thickBot="1" x14ac:dyDescent="0.35">
      <c r="A120" s="1274">
        <v>294</v>
      </c>
      <c r="B120" s="1272" t="s">
        <v>567</v>
      </c>
      <c r="C120" s="1275" t="s">
        <v>1280</v>
      </c>
      <c r="D120" s="659" t="s">
        <v>1284</v>
      </c>
      <c r="E120" s="1249" t="e">
        <f>HLOOKUP($D$2,'2020 Data(H)'!$C$1:$CZ$426,83,FALSE)</f>
        <v>#N/A</v>
      </c>
      <c r="F120" s="1263">
        <v>0</v>
      </c>
      <c r="G120" s="727"/>
      <c r="H120" s="17"/>
      <c r="I120" s="760"/>
      <c r="J120" s="1252"/>
      <c r="K120" s="1251"/>
      <c r="L120" s="701"/>
      <c r="M120" s="1251"/>
      <c r="N120" s="1253"/>
      <c r="O120" s="1251"/>
      <c r="P120" s="1251"/>
      <c r="Q120" s="1251"/>
      <c r="R120" s="1251"/>
      <c r="S120" s="1251"/>
      <c r="T120" s="1251"/>
      <c r="U120" s="1251"/>
      <c r="V120" s="1251"/>
      <c r="W120" s="1251"/>
      <c r="X120" s="1251"/>
      <c r="Y120" s="1251"/>
      <c r="Z120" s="1274"/>
      <c r="AA120" s="1274"/>
      <c r="AB120" s="1274"/>
      <c r="AC120" s="1274"/>
      <c r="AD120" s="1274"/>
      <c r="AE120" s="1274"/>
      <c r="AF120" s="1274"/>
      <c r="AG120" s="1274"/>
      <c r="AH120" s="1274"/>
      <c r="AI120" s="1274"/>
      <c r="AJ120" s="1274"/>
      <c r="AK120" s="1274"/>
      <c r="AL120" s="1274"/>
      <c r="AM120" s="1274"/>
      <c r="AN120" s="1274"/>
      <c r="AO120" s="1274"/>
      <c r="AP120" s="1274"/>
      <c r="AQ120" s="1274"/>
      <c r="AR120" s="1274"/>
      <c r="AS120" s="1251"/>
      <c r="AT120" s="1251"/>
      <c r="AU120" s="1251"/>
      <c r="AV120" s="1251"/>
      <c r="AW120" s="1251"/>
      <c r="AX120" s="1251"/>
      <c r="AY120" s="1251"/>
      <c r="AZ120" s="1251"/>
      <c r="BA120" s="1251"/>
      <c r="BB120" s="1251"/>
      <c r="BC120" s="1251"/>
      <c r="BD120" s="1251"/>
      <c r="BE120" s="1251"/>
      <c r="BF120" s="1251"/>
      <c r="BG120" s="1251"/>
      <c r="BH120" s="1251"/>
      <c r="BI120" s="1251"/>
      <c r="BJ120" s="1251"/>
      <c r="BK120" s="1251"/>
      <c r="BL120" s="1251"/>
      <c r="BM120" s="1251"/>
      <c r="BN120" s="1251"/>
      <c r="BO120" s="1251"/>
      <c r="BP120" s="1251"/>
      <c r="BQ120" s="1251"/>
      <c r="BR120" s="1251"/>
      <c r="BS120" s="1251"/>
      <c r="BT120" s="1251"/>
      <c r="BU120" s="1251"/>
      <c r="BV120" s="1251"/>
      <c r="BW120" s="1251"/>
      <c r="BX120" s="1251"/>
      <c r="BY120" s="1251"/>
      <c r="BZ120" s="1251"/>
      <c r="CA120" s="1251"/>
      <c r="CB120" s="1251"/>
      <c r="CC120" s="1251"/>
      <c r="CD120" s="1251"/>
      <c r="CE120" s="1251"/>
      <c r="CF120" s="1251"/>
      <c r="CG120" s="1251"/>
      <c r="CH120" s="1251"/>
      <c r="CI120" s="1251"/>
      <c r="CJ120" s="1251"/>
      <c r="CK120" s="1251"/>
      <c r="CL120" s="1251"/>
      <c r="CM120" s="1251"/>
      <c r="CN120" s="1251"/>
      <c r="CO120" s="1251"/>
      <c r="CP120" s="1251"/>
      <c r="CQ120" s="1251"/>
      <c r="CR120" s="1251"/>
      <c r="CS120" s="1251"/>
      <c r="CT120" s="1251"/>
      <c r="CU120" s="1251"/>
      <c r="CV120" s="1251"/>
      <c r="CW120" s="1251"/>
      <c r="CX120" s="1251"/>
      <c r="CY120" s="1251"/>
      <c r="CZ120" s="1251"/>
      <c r="DA120" s="1251"/>
      <c r="DB120" s="1251"/>
      <c r="DC120" s="1251"/>
      <c r="DD120" s="1251"/>
      <c r="DE120" s="1251"/>
      <c r="DF120" s="1251"/>
      <c r="DG120" s="1251"/>
      <c r="DH120" s="1251"/>
      <c r="DI120" s="1251"/>
      <c r="DJ120" s="1251"/>
      <c r="DK120" s="1251"/>
      <c r="DL120" s="1251"/>
      <c r="DM120" s="1251"/>
      <c r="DN120" s="1251"/>
      <c r="DO120" s="1251"/>
      <c r="DP120" s="1251"/>
      <c r="DQ120" s="1251"/>
      <c r="DR120" s="1251"/>
      <c r="DS120" s="1251"/>
      <c r="DT120" s="1251"/>
      <c r="DU120" s="1251"/>
      <c r="DV120" s="1251"/>
      <c r="DW120" s="1251"/>
      <c r="DX120" s="1251"/>
      <c r="DY120" s="1251"/>
      <c r="DZ120" s="1251"/>
      <c r="EA120" s="1251"/>
      <c r="EB120" s="1251"/>
      <c r="EC120" s="1251"/>
      <c r="ED120" s="1251"/>
      <c r="EE120" s="1251"/>
      <c r="EF120" s="1251"/>
      <c r="EG120" s="1251"/>
      <c r="EH120" s="1251"/>
      <c r="EI120" s="1251"/>
      <c r="EJ120" s="1251"/>
      <c r="EK120" s="1251"/>
      <c r="EL120" s="1251"/>
      <c r="EM120" s="1251"/>
      <c r="EN120" s="1251"/>
      <c r="EO120" s="1251"/>
      <c r="EP120" s="1251"/>
      <c r="EQ120" s="1251"/>
      <c r="ER120" s="1251"/>
      <c r="ES120" s="1251"/>
      <c r="ET120" s="1251"/>
      <c r="EU120" s="1251"/>
      <c r="EV120" s="1251"/>
      <c r="EW120" s="1251"/>
      <c r="EX120" s="1251"/>
      <c r="EY120" s="1251"/>
      <c r="EZ120" s="1251"/>
      <c r="FA120" s="1251"/>
      <c r="FB120" s="1251"/>
      <c r="FC120" s="1251"/>
      <c r="FD120" s="1251"/>
      <c r="FE120" s="1251"/>
      <c r="FF120" s="1251"/>
      <c r="FG120" s="1251"/>
      <c r="FH120" s="1251"/>
      <c r="FI120" s="1251"/>
      <c r="FJ120" s="1251"/>
      <c r="FK120" s="1251"/>
      <c r="FL120" s="1251"/>
      <c r="FM120" s="1251"/>
      <c r="FN120" s="1251"/>
      <c r="FO120" s="1251"/>
      <c r="FP120" s="1251"/>
      <c r="FQ120" s="1251"/>
      <c r="FR120" s="1251"/>
      <c r="FS120" s="1251"/>
      <c r="FT120" s="1251"/>
      <c r="FU120" s="1251"/>
      <c r="FV120" s="1251"/>
      <c r="FW120" s="1251"/>
      <c r="FX120" s="1251"/>
      <c r="FY120" s="1251"/>
      <c r="FZ120" s="1251"/>
      <c r="GA120" s="1251"/>
      <c r="GB120" s="1251"/>
      <c r="GC120" s="1251"/>
      <c r="GD120" s="1251"/>
      <c r="GE120" s="1251"/>
      <c r="GF120" s="1251"/>
      <c r="GG120" s="1251"/>
      <c r="GH120" s="1251"/>
      <c r="GI120" s="1251"/>
      <c r="GJ120" s="1251"/>
      <c r="GK120" s="1251"/>
      <c r="GL120" s="1251"/>
      <c r="GM120" s="1251"/>
      <c r="GN120" s="1251"/>
      <c r="GO120" s="1251"/>
      <c r="GP120" s="1251"/>
      <c r="GQ120" s="1251"/>
      <c r="GR120" s="1251"/>
      <c r="GS120" s="1251"/>
      <c r="GT120" s="1251"/>
      <c r="GU120" s="1251"/>
      <c r="GV120" s="1251"/>
      <c r="GW120" s="1251"/>
      <c r="GX120" s="1251"/>
      <c r="GY120" s="1251"/>
      <c r="GZ120" s="1251"/>
      <c r="HA120" s="1251"/>
      <c r="HB120" s="1251"/>
      <c r="HC120" s="1251"/>
      <c r="HD120" s="1251"/>
      <c r="HE120" s="1251"/>
      <c r="HF120" s="1251"/>
      <c r="HG120" s="1251"/>
      <c r="HH120" s="1251"/>
      <c r="HI120" s="1251"/>
      <c r="HJ120" s="1251"/>
      <c r="HK120" s="1251"/>
      <c r="HL120" s="1251"/>
      <c r="HM120" s="1251"/>
      <c r="HN120" s="1251"/>
      <c r="HO120" s="1251"/>
      <c r="HP120" s="1251"/>
      <c r="HQ120" s="1251"/>
      <c r="HR120" s="1251"/>
      <c r="HS120" s="1251"/>
      <c r="HT120" s="1251"/>
      <c r="HU120" s="1251"/>
      <c r="HV120" s="1251"/>
      <c r="HW120" s="1251"/>
      <c r="HX120" s="1251"/>
      <c r="HY120" s="1251"/>
      <c r="HZ120" s="1251"/>
      <c r="IA120" s="1251"/>
      <c r="IB120" s="1251"/>
      <c r="IC120" s="1251"/>
      <c r="ID120" s="1251"/>
      <c r="IE120" s="1251"/>
      <c r="IF120" s="1251"/>
      <c r="IG120" s="1251"/>
      <c r="IH120" s="1251"/>
      <c r="II120" s="1251"/>
      <c r="IJ120" s="1251"/>
      <c r="IK120" s="1251"/>
      <c r="IL120" s="1251"/>
      <c r="IM120" s="1251"/>
      <c r="IN120" s="1251"/>
      <c r="IO120" s="1251"/>
      <c r="IP120" s="1251"/>
      <c r="IQ120" s="1251"/>
      <c r="IR120" s="1251"/>
      <c r="IS120" s="1251"/>
      <c r="IT120" s="1251"/>
      <c r="IU120" s="1251"/>
      <c r="IV120" s="1251"/>
      <c r="IW120" s="1251"/>
      <c r="IX120" s="1251"/>
      <c r="IY120" s="1251"/>
      <c r="IZ120" s="1251"/>
      <c r="JA120" s="1251"/>
      <c r="JB120" s="1251"/>
      <c r="JC120" s="1251"/>
      <c r="JD120" s="1251"/>
      <c r="JE120" s="1251"/>
      <c r="JF120" s="1251"/>
      <c r="JG120" s="1251"/>
      <c r="JH120" s="1251"/>
      <c r="JI120" s="1251"/>
      <c r="JJ120" s="1251"/>
      <c r="JK120" s="1251"/>
      <c r="JL120" s="1251"/>
      <c r="JM120" s="1251"/>
      <c r="JN120" s="1251"/>
      <c r="JO120" s="1251"/>
      <c r="JP120" s="1251"/>
      <c r="JQ120" s="1251"/>
      <c r="JR120" s="1251"/>
      <c r="JS120" s="1251"/>
      <c r="JT120" s="1251"/>
      <c r="JU120" s="1251"/>
      <c r="JV120" s="1251"/>
      <c r="JW120" s="1251"/>
      <c r="JX120" s="1251"/>
      <c r="JY120" s="1251"/>
      <c r="JZ120" s="1251"/>
      <c r="KA120" s="1251"/>
      <c r="KB120" s="1251"/>
      <c r="KC120" s="1251"/>
      <c r="KD120" s="1251"/>
      <c r="KE120" s="1251"/>
      <c r="KF120" s="1251"/>
      <c r="KG120" s="1251"/>
      <c r="KH120" s="1251"/>
      <c r="KI120" s="1251"/>
      <c r="KJ120" s="1251"/>
      <c r="KK120" s="1251"/>
      <c r="KL120" s="1251"/>
      <c r="KM120" s="1251"/>
      <c r="KN120" s="1251"/>
      <c r="KO120" s="1251"/>
      <c r="KP120" s="1251"/>
      <c r="KQ120" s="1251"/>
      <c r="KR120" s="1251"/>
      <c r="KS120" s="1251"/>
      <c r="KT120" s="1251"/>
      <c r="KU120" s="1251"/>
      <c r="KV120" s="1251"/>
      <c r="KW120" s="1251"/>
      <c r="KX120" s="1251"/>
      <c r="KY120" s="1251"/>
      <c r="KZ120" s="1251"/>
      <c r="LA120" s="1251"/>
      <c r="LB120" s="1251"/>
      <c r="LC120" s="1251"/>
      <c r="LD120" s="1251"/>
      <c r="LE120" s="1251"/>
      <c r="LF120" s="1251"/>
      <c r="LG120" s="1251"/>
      <c r="LH120" s="1251"/>
      <c r="LI120" s="1251"/>
      <c r="LJ120" s="1251"/>
      <c r="LK120" s="1251"/>
      <c r="LL120" s="1251"/>
      <c r="LM120" s="1251"/>
      <c r="LN120" s="1251"/>
      <c r="LO120" s="1251"/>
      <c r="LP120" s="1251"/>
      <c r="LQ120" s="1251"/>
      <c r="LR120" s="1251"/>
      <c r="LS120" s="1251"/>
      <c r="LT120" s="1251"/>
      <c r="LU120" s="1251"/>
      <c r="LV120" s="1251"/>
      <c r="LW120" s="1251"/>
      <c r="LX120" s="1251"/>
      <c r="LY120" s="1251"/>
      <c r="LZ120" s="1251"/>
      <c r="MA120" s="1251"/>
      <c r="MB120" s="1251"/>
      <c r="MC120" s="1251"/>
      <c r="MD120" s="1251"/>
      <c r="ME120" s="1251"/>
      <c r="MF120" s="1251"/>
      <c r="MG120" s="1251"/>
      <c r="MH120" s="1251"/>
      <c r="MI120" s="1251"/>
      <c r="MJ120" s="1251"/>
      <c r="MK120" s="1251"/>
      <c r="ML120" s="1251"/>
      <c r="MM120" s="1251"/>
      <c r="MN120" s="1251"/>
      <c r="MO120" s="1251"/>
      <c r="MP120" s="1251"/>
      <c r="MQ120" s="1251"/>
      <c r="MR120" s="1251"/>
      <c r="MS120" s="1251"/>
      <c r="MT120" s="1251"/>
      <c r="MU120" s="1251"/>
      <c r="MV120" s="1251"/>
      <c r="MW120" s="1251"/>
      <c r="MX120" s="1251"/>
      <c r="MY120" s="1251"/>
      <c r="MZ120" s="1251"/>
      <c r="NA120" s="1251"/>
      <c r="NB120" s="1251"/>
      <c r="NC120" s="1251"/>
      <c r="ND120" s="1251"/>
      <c r="NE120" s="1251"/>
      <c r="NF120" s="1251"/>
      <c r="NG120" s="1251"/>
      <c r="NH120" s="1251"/>
      <c r="NI120" s="1251"/>
      <c r="NJ120" s="1251"/>
      <c r="NK120" s="1251"/>
      <c r="NL120" s="1251"/>
      <c r="NM120" s="1251"/>
      <c r="NN120" s="1251"/>
      <c r="NO120" s="1251"/>
      <c r="NP120" s="1251"/>
      <c r="NQ120" s="1251"/>
      <c r="NR120" s="1251"/>
      <c r="NS120" s="1251"/>
      <c r="NT120" s="1251"/>
      <c r="NU120" s="1251"/>
      <c r="NV120" s="1251"/>
      <c r="NW120" s="1251"/>
      <c r="NX120" s="1251"/>
      <c r="NY120" s="1251"/>
      <c r="NZ120" s="1251"/>
      <c r="OA120" s="1251"/>
      <c r="OB120" s="1251"/>
      <c r="OC120" s="1251"/>
      <c r="OD120" s="1251"/>
      <c r="OE120" s="1251"/>
      <c r="OF120" s="1251"/>
      <c r="OG120" s="1251"/>
      <c r="OH120" s="1251"/>
      <c r="OI120" s="1251"/>
      <c r="OJ120" s="1251"/>
      <c r="OK120" s="1251"/>
      <c r="OL120" s="1251"/>
      <c r="OM120" s="1251"/>
      <c r="ON120" s="1251"/>
      <c r="OO120" s="1251"/>
      <c r="OP120" s="1251"/>
      <c r="OQ120" s="1251"/>
      <c r="OR120" s="1251"/>
      <c r="OS120" s="1251"/>
      <c r="OT120" s="1251"/>
      <c r="OU120" s="1251"/>
      <c r="OV120" s="1251"/>
      <c r="OW120" s="1251"/>
      <c r="OX120" s="1251"/>
      <c r="OY120" s="1251"/>
      <c r="OZ120" s="1251"/>
      <c r="PA120" s="1251"/>
      <c r="PB120" s="1251"/>
      <c r="PC120" s="1251"/>
      <c r="PD120" s="1251"/>
      <c r="PE120" s="1251"/>
      <c r="PF120" s="1251"/>
      <c r="PG120" s="1251"/>
      <c r="PH120" s="1251"/>
      <c r="PI120" s="1251"/>
      <c r="PJ120" s="1251"/>
      <c r="PK120" s="1251"/>
      <c r="PL120" s="1251"/>
      <c r="PM120" s="1251"/>
      <c r="PN120" s="1251"/>
      <c r="PO120" s="1251"/>
      <c r="PP120" s="1251"/>
      <c r="PQ120" s="1251"/>
      <c r="PR120" s="1251"/>
      <c r="PS120" s="1251"/>
      <c r="PT120" s="1251"/>
      <c r="PU120" s="1251"/>
      <c r="PV120" s="1251"/>
      <c r="PW120" s="1251"/>
      <c r="PX120" s="1251"/>
      <c r="PY120" s="1251"/>
      <c r="PZ120" s="1251"/>
      <c r="QA120" s="1251"/>
      <c r="QB120" s="1251"/>
      <c r="QC120" s="1251"/>
      <c r="QD120" s="1251"/>
      <c r="QE120" s="1251"/>
      <c r="QF120" s="1251"/>
      <c r="QG120" s="1251"/>
      <c r="QH120" s="1251"/>
      <c r="QI120" s="1251"/>
      <c r="QJ120" s="1251"/>
      <c r="QK120" s="1251"/>
      <c r="QL120" s="1251"/>
      <c r="QM120" s="1251"/>
      <c r="QN120" s="1251"/>
      <c r="QO120" s="1251"/>
      <c r="QP120" s="1251"/>
      <c r="QQ120" s="1251"/>
      <c r="QR120" s="1251"/>
      <c r="QS120" s="1251"/>
      <c r="QT120" s="1251"/>
      <c r="QU120" s="1251"/>
      <c r="QV120" s="1251"/>
      <c r="QW120" s="1251"/>
      <c r="QX120" s="1251"/>
      <c r="QY120" s="1251"/>
      <c r="QZ120" s="1251"/>
      <c r="RA120" s="1251"/>
      <c r="RB120" s="1251"/>
      <c r="RC120" s="1251"/>
      <c r="RD120" s="1251"/>
      <c r="RE120" s="1251"/>
      <c r="RF120" s="1251"/>
      <c r="RG120" s="1251"/>
      <c r="RH120" s="1251"/>
      <c r="RI120" s="1251"/>
      <c r="RJ120" s="1251"/>
      <c r="RK120" s="1251"/>
      <c r="RL120" s="1251"/>
      <c r="RM120" s="1251"/>
      <c r="RN120" s="1251"/>
      <c r="RO120" s="1251"/>
      <c r="RP120" s="1251"/>
      <c r="RQ120" s="1251"/>
      <c r="RR120" s="1251"/>
      <c r="RS120" s="1251"/>
      <c r="RT120" s="1251"/>
      <c r="RU120" s="1251"/>
      <c r="RV120" s="1251"/>
      <c r="RW120" s="1251"/>
      <c r="RX120" s="1251"/>
      <c r="RY120" s="1251"/>
      <c r="RZ120" s="1251"/>
      <c r="SA120" s="1251"/>
      <c r="SB120" s="1251"/>
      <c r="SC120" s="1251"/>
      <c r="SD120" s="1251"/>
      <c r="SE120" s="1251"/>
      <c r="SF120" s="1251"/>
      <c r="SG120" s="1251"/>
      <c r="SH120" s="1251"/>
      <c r="SI120" s="1251"/>
      <c r="SJ120" s="1251"/>
      <c r="SK120" s="1251"/>
      <c r="SL120" s="1251"/>
      <c r="SM120" s="1251"/>
      <c r="SN120" s="1251"/>
      <c r="SO120" s="1251"/>
      <c r="SP120" s="1251"/>
      <c r="SQ120" s="1251"/>
      <c r="SR120" s="1251"/>
      <c r="SS120" s="1251"/>
      <c r="ST120" s="1251"/>
      <c r="SU120" s="1251"/>
      <c r="SV120" s="1251"/>
      <c r="SW120" s="1251"/>
      <c r="SX120" s="1251"/>
      <c r="SY120" s="1251"/>
      <c r="SZ120" s="1251"/>
      <c r="TA120" s="1251"/>
      <c r="TB120" s="1251"/>
      <c r="TC120" s="1251"/>
      <c r="TD120" s="1251"/>
      <c r="TE120" s="1251"/>
      <c r="TF120" s="1251"/>
      <c r="TG120" s="1251"/>
      <c r="TH120" s="1251"/>
      <c r="TI120" s="1251"/>
      <c r="TJ120" s="1251"/>
      <c r="TK120" s="1251"/>
      <c r="TL120" s="1251"/>
      <c r="TM120" s="1251"/>
      <c r="TN120" s="1251"/>
      <c r="TO120" s="1251"/>
      <c r="TP120" s="1251"/>
      <c r="TQ120" s="1251"/>
      <c r="TR120" s="1251"/>
      <c r="TS120" s="1251"/>
      <c r="TT120" s="1251"/>
      <c r="TU120" s="1251"/>
      <c r="TV120" s="1251"/>
      <c r="TW120" s="1251"/>
      <c r="TX120" s="1251"/>
      <c r="TY120" s="1251"/>
      <c r="TZ120" s="1251"/>
      <c r="UA120" s="1251"/>
      <c r="UB120" s="1251"/>
      <c r="UC120" s="1251"/>
      <c r="UD120" s="1251"/>
      <c r="UE120" s="1251"/>
      <c r="UF120" s="1251"/>
      <c r="UG120" s="1251"/>
      <c r="UH120" s="1251"/>
      <c r="UI120" s="1251"/>
      <c r="UJ120" s="1251"/>
      <c r="UK120" s="1251"/>
      <c r="UL120" s="1251"/>
      <c r="UM120" s="1251"/>
      <c r="UN120" s="1251"/>
      <c r="UO120" s="1251"/>
      <c r="UP120" s="1251"/>
      <c r="UQ120" s="1251"/>
      <c r="UR120" s="1251"/>
      <c r="US120" s="1251"/>
      <c r="UT120" s="1251"/>
      <c r="UU120" s="1251"/>
      <c r="UV120" s="1251"/>
      <c r="UW120" s="1251"/>
      <c r="UX120" s="1251"/>
      <c r="UY120" s="1251"/>
      <c r="UZ120" s="1251"/>
      <c r="VA120" s="1251"/>
      <c r="VB120" s="1251"/>
      <c r="VC120" s="1251"/>
      <c r="VD120" s="1251"/>
      <c r="VE120" s="1251"/>
      <c r="VF120" s="1251"/>
      <c r="VG120" s="1251"/>
      <c r="VH120" s="1251"/>
      <c r="VI120" s="1251"/>
      <c r="VJ120" s="1251"/>
      <c r="VK120" s="1251"/>
      <c r="VL120" s="1251"/>
      <c r="VM120" s="1251"/>
      <c r="VN120" s="1251"/>
      <c r="VO120" s="1251"/>
      <c r="VP120" s="1251"/>
      <c r="VQ120" s="1251"/>
      <c r="VR120" s="1251"/>
      <c r="VS120" s="1251"/>
      <c r="VT120" s="1251"/>
      <c r="VU120" s="1251"/>
      <c r="VV120" s="1251"/>
      <c r="VW120" s="1251"/>
      <c r="VX120" s="1251"/>
      <c r="VY120" s="1251"/>
      <c r="VZ120" s="1251"/>
      <c r="WA120" s="1251"/>
      <c r="WB120" s="1251"/>
      <c r="WC120" s="1251"/>
      <c r="WD120" s="1251"/>
      <c r="WE120" s="1251"/>
      <c r="WF120" s="1251"/>
      <c r="WG120" s="1251"/>
      <c r="WH120" s="1251"/>
      <c r="WI120" s="1251"/>
      <c r="WJ120" s="1251"/>
      <c r="WK120" s="1251"/>
      <c r="WL120" s="1251"/>
      <c r="WM120" s="1251"/>
      <c r="WN120" s="1251"/>
      <c r="WO120" s="1251"/>
      <c r="WP120" s="1251"/>
      <c r="WQ120" s="1251"/>
      <c r="WR120" s="1251"/>
      <c r="WS120" s="1251"/>
      <c r="WT120" s="1251"/>
      <c r="WU120" s="1251"/>
      <c r="WV120" s="1251"/>
      <c r="WW120" s="1251"/>
      <c r="WX120" s="1251"/>
      <c r="WY120" s="1251"/>
      <c r="WZ120" s="1251"/>
      <c r="XA120" s="1251"/>
      <c r="XB120" s="1251"/>
      <c r="XC120" s="1251"/>
      <c r="XD120" s="1251"/>
      <c r="XE120" s="1251"/>
      <c r="XF120" s="1251"/>
      <c r="XG120" s="1251"/>
      <c r="XH120" s="1251"/>
      <c r="XI120" s="1251"/>
      <c r="XJ120" s="1251"/>
      <c r="XK120" s="1251"/>
      <c r="XL120" s="1251"/>
      <c r="XM120" s="1251"/>
      <c r="XN120" s="1251"/>
      <c r="XO120" s="1251"/>
      <c r="XP120" s="1251"/>
      <c r="XQ120" s="1251"/>
      <c r="XR120" s="1251"/>
      <c r="XS120" s="1251"/>
      <c r="XT120" s="1251"/>
      <c r="XU120" s="1251"/>
      <c r="XV120" s="1251"/>
      <c r="XW120" s="1251"/>
      <c r="XX120" s="1251"/>
      <c r="XY120" s="1251"/>
      <c r="XZ120" s="1251"/>
      <c r="YA120" s="1251"/>
      <c r="YB120" s="1251"/>
      <c r="YC120" s="1251"/>
      <c r="YD120" s="1251"/>
      <c r="YE120" s="1251"/>
      <c r="YF120" s="1251"/>
      <c r="YG120" s="1251"/>
      <c r="YH120" s="1251"/>
      <c r="YI120" s="1251"/>
      <c r="YJ120" s="1251"/>
      <c r="YK120" s="1251"/>
      <c r="YL120" s="1251"/>
      <c r="YM120" s="1251"/>
      <c r="YN120" s="1251"/>
      <c r="YO120" s="1251"/>
      <c r="YP120" s="1251"/>
      <c r="YQ120" s="1251"/>
      <c r="YR120" s="1251"/>
      <c r="YS120" s="1251"/>
      <c r="YT120" s="1251"/>
      <c r="YU120" s="1251"/>
      <c r="YV120" s="1251"/>
      <c r="YW120" s="1251"/>
      <c r="YX120" s="1251"/>
      <c r="YY120" s="1251"/>
      <c r="YZ120" s="1251"/>
      <c r="ZA120" s="1251"/>
      <c r="ZB120" s="1251"/>
      <c r="ZC120" s="1251"/>
      <c r="ZD120" s="1251"/>
      <c r="ZE120" s="1251"/>
      <c r="ZF120" s="1251"/>
      <c r="ZG120" s="1251"/>
      <c r="ZH120" s="1251"/>
      <c r="ZI120" s="1251"/>
      <c r="ZJ120" s="1251"/>
      <c r="ZK120" s="1251"/>
      <c r="ZL120" s="1251"/>
      <c r="ZM120" s="1251"/>
      <c r="ZN120" s="1251"/>
      <c r="ZO120" s="1251"/>
      <c r="ZP120" s="1251"/>
      <c r="ZQ120" s="1251"/>
      <c r="ZR120" s="1251"/>
      <c r="ZS120" s="1251"/>
      <c r="ZT120" s="1251"/>
      <c r="ZU120" s="1251"/>
      <c r="ZV120" s="1251"/>
      <c r="ZW120" s="1251"/>
      <c r="ZX120" s="1251"/>
      <c r="ZY120" s="1251"/>
      <c r="ZZ120" s="1251"/>
      <c r="AAA120" s="1251"/>
      <c r="AAB120" s="1251"/>
      <c r="AAC120" s="1251"/>
      <c r="AAD120" s="1251"/>
      <c r="AAE120" s="1251"/>
      <c r="AAF120" s="1251"/>
      <c r="AAG120" s="1251"/>
      <c r="AAH120" s="1251"/>
      <c r="AAI120" s="1251"/>
      <c r="AAJ120" s="1251"/>
      <c r="AAK120" s="1251"/>
      <c r="AAL120" s="1251"/>
      <c r="AAM120" s="1251"/>
      <c r="AAN120" s="1251"/>
      <c r="AAO120" s="1251"/>
      <c r="AAP120" s="1251"/>
      <c r="AAQ120" s="1251"/>
      <c r="AAR120" s="1251"/>
      <c r="AAS120" s="1251"/>
      <c r="AAT120" s="1251"/>
      <c r="AAU120" s="1251"/>
      <c r="AAV120" s="1251"/>
      <c r="AAW120" s="1251"/>
      <c r="AAX120" s="1251"/>
      <c r="AAY120" s="1251"/>
      <c r="AAZ120" s="1251"/>
      <c r="ABA120" s="1251"/>
      <c r="ABB120" s="1251"/>
      <c r="ABC120" s="1251"/>
      <c r="ABD120" s="1251"/>
      <c r="ABE120" s="1251"/>
      <c r="ABF120" s="1251"/>
      <c r="ABG120" s="1251"/>
      <c r="ABH120" s="1251"/>
      <c r="ABI120" s="1251"/>
      <c r="ABJ120" s="1251"/>
      <c r="ABK120" s="1251"/>
      <c r="ABL120" s="1251"/>
      <c r="ABM120" s="1251"/>
      <c r="ABN120" s="1251"/>
      <c r="ABO120" s="1251"/>
      <c r="ABP120" s="1251"/>
      <c r="ABQ120" s="1251"/>
      <c r="ABR120" s="1251"/>
      <c r="ABS120" s="1251"/>
      <c r="ABT120" s="1251"/>
      <c r="ABU120" s="1251"/>
      <c r="ABV120" s="1251"/>
      <c r="ABW120" s="1251"/>
      <c r="ABX120" s="1251"/>
      <c r="ABY120" s="1251"/>
      <c r="ABZ120" s="1251"/>
      <c r="ACA120" s="1251"/>
      <c r="ACB120" s="1251"/>
      <c r="ACC120" s="1251"/>
      <c r="ACD120" s="1251"/>
      <c r="ACE120" s="1251"/>
      <c r="ACF120" s="1251"/>
      <c r="ACG120" s="1251"/>
      <c r="ACH120" s="1251"/>
      <c r="ACI120" s="1251"/>
      <c r="ACJ120" s="1251"/>
      <c r="ACK120" s="1251"/>
      <c r="ACL120" s="1251"/>
      <c r="ACM120" s="1251"/>
      <c r="ACN120" s="1251"/>
      <c r="ACO120" s="1251"/>
      <c r="ACP120" s="1251"/>
      <c r="ACQ120" s="1251"/>
      <c r="ACR120" s="1251"/>
      <c r="ACS120" s="1251"/>
      <c r="ACT120" s="1251"/>
      <c r="ACU120" s="1251"/>
      <c r="ACV120" s="1251"/>
      <c r="ACW120" s="1251"/>
      <c r="ACX120" s="1251"/>
      <c r="ACY120" s="1251"/>
      <c r="ACZ120" s="1251"/>
      <c r="ADA120" s="1251"/>
      <c r="ADB120" s="1251"/>
      <c r="ADC120" s="1251"/>
      <c r="ADD120" s="1251"/>
      <c r="ADE120" s="1251"/>
      <c r="ADF120" s="1251"/>
      <c r="ADG120" s="1251"/>
      <c r="ADH120" s="1251"/>
      <c r="ADI120" s="1251"/>
      <c r="ADJ120" s="1251"/>
      <c r="ADK120" s="1251"/>
      <c r="ADL120" s="1251"/>
      <c r="ADM120" s="1251"/>
      <c r="ADN120" s="1251"/>
      <c r="ADO120" s="1251"/>
      <c r="ADP120" s="1251"/>
      <c r="ADQ120" s="1251"/>
      <c r="ADR120" s="1251"/>
      <c r="ADS120" s="1251"/>
      <c r="ADT120" s="1251"/>
      <c r="ADU120" s="1251"/>
      <c r="ADV120" s="1251"/>
      <c r="ADW120" s="1251"/>
      <c r="ADX120" s="1251"/>
      <c r="ADY120" s="1251"/>
      <c r="ADZ120" s="1251"/>
      <c r="AEA120" s="1251"/>
      <c r="AEB120" s="1251"/>
      <c r="AEC120" s="1251"/>
      <c r="AED120" s="1251"/>
      <c r="AEE120" s="1251"/>
      <c r="AEF120" s="1251"/>
      <c r="AEG120" s="1251"/>
      <c r="AEH120" s="1251"/>
      <c r="AEI120" s="1251"/>
      <c r="AEJ120" s="1251"/>
      <c r="AEK120" s="1251"/>
      <c r="AEL120" s="1251"/>
      <c r="AEM120" s="1251"/>
      <c r="AEN120" s="1251"/>
      <c r="AEO120" s="1251"/>
      <c r="AEP120" s="1251"/>
      <c r="AEQ120" s="1251"/>
      <c r="AER120" s="1251"/>
      <c r="AES120" s="1251"/>
      <c r="AET120" s="1251"/>
      <c r="AEU120" s="1251"/>
      <c r="AEV120" s="1251"/>
      <c r="AEW120" s="1251"/>
      <c r="AEX120" s="1251"/>
      <c r="AEY120" s="1251"/>
      <c r="AEZ120" s="1251"/>
      <c r="AFA120" s="1251"/>
      <c r="AFB120" s="1251"/>
      <c r="AFC120" s="1251"/>
      <c r="AFD120" s="1251"/>
      <c r="AFE120" s="1251"/>
      <c r="AFF120" s="1251"/>
      <c r="AFG120" s="1251"/>
      <c r="AFH120" s="1251"/>
      <c r="AFI120" s="1251"/>
      <c r="AFJ120" s="1251"/>
      <c r="AFK120" s="1251"/>
      <c r="AFL120" s="1251"/>
      <c r="AFM120" s="1251"/>
      <c r="AFN120" s="1251"/>
      <c r="AFO120" s="1251"/>
      <c r="AFP120" s="1251"/>
      <c r="AFQ120" s="1251"/>
      <c r="AFR120" s="1251"/>
      <c r="AFS120" s="1251"/>
      <c r="AFT120" s="1251"/>
      <c r="AFU120" s="1251"/>
      <c r="AFV120" s="1251"/>
      <c r="AFW120" s="1251"/>
      <c r="AFX120" s="1251"/>
      <c r="AFY120" s="1251"/>
      <c r="AFZ120" s="1251"/>
      <c r="AGA120" s="1251"/>
      <c r="AGB120" s="1251"/>
      <c r="AGC120" s="1251"/>
      <c r="AGD120" s="1251"/>
      <c r="AGE120" s="1251"/>
      <c r="AGF120" s="1251"/>
      <c r="AGG120" s="1251"/>
      <c r="AGH120" s="1251"/>
      <c r="AGI120" s="1251"/>
      <c r="AGJ120" s="1251"/>
      <c r="AGK120" s="1251"/>
      <c r="AGL120" s="1251"/>
      <c r="AGM120" s="1251"/>
      <c r="AGN120" s="1251"/>
      <c r="AGO120" s="1251"/>
      <c r="AGP120" s="1251"/>
      <c r="AGQ120" s="1251"/>
      <c r="AGR120" s="1251"/>
      <c r="AGS120" s="1251"/>
      <c r="AGT120" s="1251"/>
      <c r="AGU120" s="1251"/>
      <c r="AGV120" s="1251"/>
      <c r="AGW120" s="1251"/>
      <c r="AGX120" s="1251"/>
      <c r="AGY120" s="1251"/>
      <c r="AGZ120" s="1251"/>
      <c r="AHA120" s="1251"/>
      <c r="AHB120" s="1251"/>
      <c r="AHC120" s="1251"/>
      <c r="AHD120" s="1251"/>
      <c r="AHE120" s="1251"/>
      <c r="AHF120" s="1251"/>
      <c r="AHG120" s="1251"/>
      <c r="AHH120" s="1251"/>
      <c r="AHI120" s="1251"/>
      <c r="AHJ120" s="1251"/>
      <c r="AHK120" s="1251"/>
      <c r="AHL120" s="1251"/>
      <c r="AHM120" s="1251"/>
      <c r="AHN120" s="1251"/>
      <c r="AHO120" s="1251"/>
      <c r="AHP120" s="1251"/>
      <c r="AHQ120" s="1251"/>
      <c r="AHR120" s="1251"/>
      <c r="AHS120" s="1251"/>
      <c r="AHT120" s="1251"/>
      <c r="AHU120" s="1251"/>
      <c r="AHV120" s="1251"/>
      <c r="AHW120" s="1251"/>
      <c r="AHX120" s="1251"/>
      <c r="AHY120" s="1251"/>
      <c r="AHZ120" s="1251"/>
      <c r="AIA120" s="1251"/>
      <c r="AIB120" s="1251"/>
      <c r="AIC120" s="1251"/>
      <c r="AID120" s="1251"/>
      <c r="AIE120" s="1251"/>
      <c r="AIF120" s="1251"/>
      <c r="AIG120" s="1251"/>
      <c r="AIH120" s="1251"/>
      <c r="AII120" s="1251"/>
      <c r="AIJ120" s="1251"/>
      <c r="AIK120" s="1251"/>
      <c r="AIL120" s="1251"/>
      <c r="AIM120" s="1251"/>
      <c r="AIN120" s="1251"/>
      <c r="AIO120" s="1251"/>
      <c r="AIP120" s="1251"/>
      <c r="AIQ120" s="1251"/>
      <c r="AIR120" s="1251"/>
      <c r="AIS120" s="1251"/>
      <c r="AIT120" s="1251"/>
      <c r="AIU120" s="1251"/>
      <c r="AIV120" s="1251"/>
      <c r="AIW120" s="1251"/>
      <c r="AIX120" s="1251"/>
      <c r="AIY120" s="1251"/>
      <c r="AIZ120" s="1251"/>
      <c r="AJA120" s="1251"/>
      <c r="AJB120" s="1251"/>
      <c r="AJC120" s="1251"/>
      <c r="AJD120" s="1251"/>
      <c r="AJE120" s="1251"/>
      <c r="AJF120" s="1251"/>
      <c r="AJG120" s="1251"/>
      <c r="AJH120" s="1251"/>
      <c r="AJI120" s="1251"/>
      <c r="AJJ120" s="1251"/>
      <c r="AJK120" s="1251"/>
      <c r="AJL120" s="1251"/>
      <c r="AJM120" s="1251"/>
      <c r="AJN120" s="1251"/>
      <c r="AJO120" s="1251"/>
      <c r="AJP120" s="1251"/>
      <c r="AJQ120" s="1251"/>
      <c r="AJR120" s="1251"/>
      <c r="AJS120" s="1251"/>
      <c r="AJT120" s="1251"/>
      <c r="AJU120" s="1251"/>
      <c r="AJV120" s="1251"/>
      <c r="AJW120" s="1251"/>
      <c r="AJX120" s="1251"/>
      <c r="AJY120" s="1251"/>
      <c r="AJZ120" s="1251"/>
      <c r="AKA120" s="1251"/>
      <c r="AKB120" s="1251"/>
      <c r="AKC120" s="1251"/>
      <c r="AKD120" s="1251"/>
      <c r="AKE120" s="1251"/>
      <c r="AKF120" s="1251"/>
      <c r="AKG120" s="1251"/>
      <c r="AKH120" s="1251"/>
      <c r="AKI120" s="1251"/>
      <c r="AKJ120" s="1251"/>
      <c r="AKK120" s="1251"/>
      <c r="AKL120" s="1251"/>
      <c r="AKM120" s="1251"/>
      <c r="AKN120" s="1251"/>
      <c r="AKO120" s="1251"/>
      <c r="AKP120" s="1251"/>
      <c r="AKQ120" s="1251"/>
      <c r="AKR120" s="1251"/>
      <c r="AKS120" s="1251"/>
      <c r="AKT120" s="1251"/>
      <c r="AKU120" s="1251"/>
      <c r="AKV120" s="1251"/>
      <c r="AKW120" s="1251"/>
      <c r="AKX120" s="1251"/>
      <c r="AKY120" s="1251"/>
      <c r="AKZ120" s="1251"/>
      <c r="ALA120" s="1251"/>
      <c r="ALB120" s="1251"/>
      <c r="ALC120" s="1251"/>
      <c r="ALD120" s="1251"/>
      <c r="ALE120" s="1251"/>
      <c r="ALF120" s="1251"/>
      <c r="ALG120" s="1251"/>
      <c r="ALH120" s="1251"/>
      <c r="ALI120" s="1251"/>
      <c r="ALJ120" s="1251"/>
      <c r="ALK120" s="1251"/>
      <c r="ALL120" s="1251"/>
      <c r="ALM120" s="1251"/>
      <c r="ALN120" s="1251"/>
      <c r="ALO120" s="1251"/>
      <c r="ALP120" s="1251"/>
      <c r="ALQ120" s="1251"/>
      <c r="ALR120" s="1251"/>
      <c r="ALS120" s="1251"/>
      <c r="ALT120" s="1251"/>
      <c r="ALU120" s="1251"/>
      <c r="ALV120" s="1251"/>
      <c r="ALW120" s="1251"/>
      <c r="ALX120" s="1251"/>
      <c r="ALY120" s="1251"/>
      <c r="ALZ120" s="1251"/>
      <c r="AMA120" s="1251"/>
      <c r="AMB120" s="1251"/>
      <c r="AMC120" s="1251"/>
      <c r="AMD120" s="1251"/>
      <c r="AME120" s="1251"/>
      <c r="AMF120" s="1251"/>
      <c r="AMG120" s="1251"/>
      <c r="AMH120" s="1251"/>
      <c r="AMI120" s="1251"/>
      <c r="AMJ120" s="1251"/>
      <c r="AMK120" s="1251"/>
      <c r="AML120" s="1251"/>
      <c r="AMM120" s="1251"/>
      <c r="AMN120" s="1251"/>
      <c r="AMO120" s="1251"/>
      <c r="AMP120" s="1251"/>
      <c r="AMQ120" s="1251"/>
      <c r="AMR120" s="1251"/>
      <c r="AMS120" s="1251"/>
      <c r="AMT120" s="1251"/>
      <c r="AMU120" s="1251"/>
      <c r="AMV120" s="1251"/>
      <c r="AMW120" s="1251"/>
      <c r="AMX120" s="1251"/>
      <c r="AMY120" s="1251"/>
      <c r="AMZ120" s="1251"/>
      <c r="ANA120" s="1251"/>
      <c r="ANB120" s="1251"/>
      <c r="ANC120" s="1251"/>
      <c r="AND120" s="1251"/>
      <c r="ANE120" s="1251"/>
      <c r="ANF120" s="1251"/>
      <c r="ANG120" s="1251"/>
      <c r="ANH120" s="1251"/>
      <c r="ANI120" s="1251"/>
      <c r="ANJ120" s="1251"/>
      <c r="ANK120" s="1251"/>
      <c r="ANL120" s="1251"/>
      <c r="ANM120" s="1251"/>
      <c r="ANN120" s="1251"/>
      <c r="ANO120" s="1251"/>
      <c r="ANP120" s="1251"/>
      <c r="ANQ120" s="1251"/>
      <c r="ANR120" s="1251"/>
      <c r="ANS120" s="1251"/>
      <c r="ANT120" s="1251"/>
      <c r="ANU120" s="1251"/>
      <c r="ANV120" s="1251"/>
      <c r="ANW120" s="1251"/>
      <c r="ANX120" s="1251"/>
      <c r="ANY120" s="1251"/>
      <c r="ANZ120" s="1251"/>
      <c r="AOA120" s="1251"/>
      <c r="AOB120" s="1251"/>
      <c r="AOC120" s="1251"/>
      <c r="AOD120" s="1251"/>
      <c r="AOE120" s="1251"/>
      <c r="AOF120" s="1251"/>
      <c r="AOG120" s="1251"/>
      <c r="AOH120" s="1251"/>
      <c r="AOI120" s="1251"/>
      <c r="AOJ120" s="1251"/>
      <c r="AOK120" s="1251"/>
      <c r="AOL120" s="1251"/>
      <c r="AOM120" s="1251"/>
      <c r="AON120" s="1251"/>
      <c r="AOO120" s="1251"/>
      <c r="AOP120" s="1251"/>
      <c r="AOQ120" s="1251"/>
      <c r="AOR120" s="1251"/>
      <c r="AOS120" s="1251"/>
      <c r="AOT120" s="1251"/>
      <c r="AOU120" s="1251"/>
      <c r="AOV120" s="1251"/>
      <c r="AOW120" s="1251"/>
      <c r="AOX120" s="1251"/>
      <c r="AOY120" s="1251"/>
      <c r="AOZ120" s="1251"/>
      <c r="APA120" s="1251"/>
      <c r="APB120" s="1251"/>
      <c r="APC120" s="1251"/>
      <c r="APD120" s="1251"/>
      <c r="APE120" s="1251"/>
      <c r="APF120" s="1251"/>
      <c r="APG120" s="1251"/>
      <c r="APH120" s="1251"/>
      <c r="API120" s="1251"/>
      <c r="APJ120" s="1251"/>
      <c r="APK120" s="1251"/>
      <c r="APL120" s="1251"/>
      <c r="APM120" s="1251"/>
      <c r="APN120" s="1251"/>
      <c r="APO120" s="1251"/>
      <c r="APP120" s="1251"/>
      <c r="APQ120" s="1251"/>
      <c r="APR120" s="1251"/>
      <c r="APS120" s="1251"/>
      <c r="APT120" s="1251"/>
      <c r="APU120" s="1251"/>
      <c r="APV120" s="1251"/>
      <c r="APW120" s="1251"/>
      <c r="APX120" s="1251"/>
      <c r="APY120" s="1251"/>
      <c r="APZ120" s="1251"/>
      <c r="AQA120" s="1251"/>
      <c r="AQB120" s="1251"/>
      <c r="AQC120" s="1251"/>
      <c r="AQD120" s="1251"/>
      <c r="AQE120" s="1251"/>
      <c r="AQF120" s="1251"/>
      <c r="AQG120" s="1251"/>
      <c r="AQH120" s="1251"/>
      <c r="AQI120" s="1251"/>
      <c r="AQJ120" s="1251"/>
      <c r="AQK120" s="1251"/>
      <c r="AQL120" s="1251"/>
      <c r="AQM120" s="1251"/>
      <c r="AQN120" s="1251"/>
      <c r="AQO120" s="1251"/>
      <c r="AQP120" s="1251"/>
      <c r="AQQ120" s="1251"/>
      <c r="AQR120" s="1251"/>
      <c r="AQS120" s="1251"/>
      <c r="AQT120" s="1251"/>
      <c r="AQU120" s="1251"/>
      <c r="AQV120" s="1251"/>
      <c r="AQW120" s="1251"/>
      <c r="AQX120" s="1251"/>
      <c r="AQY120" s="1251"/>
      <c r="AQZ120" s="1251"/>
      <c r="ARA120" s="1251"/>
      <c r="ARB120" s="1251"/>
      <c r="ARC120" s="1251"/>
      <c r="ARD120" s="1251"/>
      <c r="ARE120" s="1251"/>
      <c r="ARF120" s="1251"/>
      <c r="ARG120" s="1251"/>
      <c r="ARH120" s="1251"/>
      <c r="ARI120" s="1251"/>
      <c r="ARJ120" s="1251"/>
      <c r="ARK120" s="1251"/>
      <c r="ARL120" s="1251"/>
      <c r="ARM120" s="1251"/>
      <c r="ARN120" s="1251"/>
      <c r="ARO120" s="1251"/>
      <c r="ARP120" s="1251"/>
      <c r="ARQ120" s="1251"/>
      <c r="ARR120" s="1251"/>
      <c r="ARS120" s="1251"/>
      <c r="ART120" s="1251"/>
      <c r="ARU120" s="1251"/>
      <c r="ARV120" s="1251"/>
      <c r="ARW120" s="1251"/>
      <c r="ARX120" s="1251"/>
      <c r="ARY120" s="1251"/>
      <c r="ARZ120" s="1251"/>
      <c r="ASA120" s="1251"/>
      <c r="ASB120" s="1251"/>
      <c r="ASC120" s="1251"/>
      <c r="ASD120" s="1251"/>
      <c r="ASE120" s="1251"/>
      <c r="ASF120" s="1251"/>
      <c r="ASG120" s="1251"/>
      <c r="ASH120" s="1251"/>
      <c r="ASI120" s="1251"/>
      <c r="ASJ120" s="1251"/>
      <c r="ASK120" s="1251"/>
      <c r="ASL120" s="1251"/>
      <c r="ASM120" s="1251"/>
      <c r="ASN120" s="1251"/>
      <c r="ASO120" s="1251"/>
      <c r="ASP120" s="1251"/>
      <c r="ASQ120" s="1251"/>
      <c r="ASR120" s="1251"/>
      <c r="ASS120" s="1251"/>
      <c r="AST120" s="1251"/>
      <c r="ASU120" s="1251"/>
      <c r="ASV120" s="1251"/>
      <c r="ASW120" s="1251"/>
      <c r="ASX120" s="1251"/>
      <c r="ASY120" s="1251"/>
      <c r="ASZ120" s="1251"/>
      <c r="ATA120" s="1251"/>
      <c r="ATB120" s="1251"/>
      <c r="ATC120" s="1251"/>
      <c r="ATD120" s="1251"/>
      <c r="ATE120" s="1251"/>
      <c r="ATF120" s="1251"/>
      <c r="ATG120" s="1251"/>
      <c r="ATH120" s="1251"/>
      <c r="ATI120" s="1251"/>
      <c r="ATJ120" s="1251"/>
      <c r="ATK120" s="1251"/>
      <c r="ATL120" s="1251"/>
      <c r="ATM120" s="1251"/>
      <c r="ATN120" s="1251"/>
      <c r="ATO120" s="1251"/>
      <c r="ATP120" s="1251"/>
      <c r="ATQ120" s="1251"/>
      <c r="ATR120" s="1251"/>
      <c r="ATS120" s="1251"/>
      <c r="ATT120" s="1251"/>
      <c r="ATU120" s="1251"/>
      <c r="ATV120" s="1251"/>
      <c r="ATW120" s="1251"/>
      <c r="ATX120" s="1251"/>
      <c r="ATY120" s="1251"/>
      <c r="ATZ120" s="1251"/>
      <c r="AUA120" s="1251"/>
      <c r="AUB120" s="1251"/>
      <c r="AUC120" s="1251"/>
      <c r="AUD120" s="1251"/>
      <c r="AUE120" s="1251"/>
      <c r="AUF120" s="1251"/>
      <c r="AUG120" s="1251"/>
      <c r="AUH120" s="1251"/>
      <c r="AUI120" s="1251"/>
      <c r="AUJ120" s="1251"/>
      <c r="AUK120" s="1251"/>
      <c r="AUL120" s="1251"/>
      <c r="AUM120" s="1251"/>
      <c r="AUN120" s="1251"/>
      <c r="AUO120" s="1251"/>
      <c r="AUP120" s="1251"/>
      <c r="AUQ120" s="1251"/>
      <c r="AUR120" s="1251"/>
      <c r="AUS120" s="1251"/>
      <c r="AUT120" s="1251"/>
      <c r="AUU120" s="1251"/>
      <c r="AUV120" s="1251"/>
      <c r="AUW120" s="1251"/>
      <c r="AUX120" s="1251"/>
      <c r="AUY120" s="1251"/>
      <c r="AUZ120" s="1251"/>
      <c r="AVA120" s="1251"/>
      <c r="AVB120" s="1251"/>
      <c r="AVC120" s="1251"/>
      <c r="AVD120" s="1251"/>
      <c r="AVE120" s="1251"/>
      <c r="AVF120" s="1251"/>
      <c r="AVG120" s="1251"/>
      <c r="AVH120" s="1251"/>
      <c r="AVI120" s="1251"/>
      <c r="AVJ120" s="1251"/>
      <c r="AVK120" s="1251"/>
      <c r="AVL120" s="1251"/>
      <c r="AVM120" s="1251"/>
      <c r="AVN120" s="1251"/>
      <c r="AVO120" s="1251"/>
      <c r="AVP120" s="1251"/>
      <c r="AVQ120" s="1251"/>
      <c r="AVR120" s="1251"/>
      <c r="AVS120" s="1251"/>
      <c r="AVT120" s="1251"/>
      <c r="AVU120" s="1251"/>
      <c r="AVV120" s="1251"/>
      <c r="AVW120" s="1251"/>
      <c r="AVX120" s="1251"/>
      <c r="AVY120" s="1251"/>
      <c r="AVZ120" s="1251"/>
      <c r="AWA120" s="1251"/>
      <c r="AWB120" s="1251"/>
      <c r="AWC120" s="1251"/>
      <c r="AWD120" s="1251"/>
      <c r="AWE120" s="1251"/>
      <c r="AWF120" s="1251"/>
      <c r="AWG120" s="1251"/>
      <c r="AWH120" s="1251"/>
      <c r="AWI120" s="1251"/>
      <c r="AWJ120" s="1251"/>
      <c r="AWK120" s="1251"/>
      <c r="AWL120" s="1251"/>
      <c r="AWM120" s="1251"/>
      <c r="AWN120" s="1251"/>
      <c r="AWO120" s="1251"/>
      <c r="AWP120" s="1251"/>
      <c r="AWQ120" s="1251"/>
      <c r="AWR120" s="1251"/>
      <c r="AWS120" s="1251"/>
      <c r="AWT120" s="1251"/>
      <c r="AWU120" s="1251"/>
      <c r="AWV120" s="1251"/>
      <c r="AWW120" s="1251"/>
      <c r="AWX120" s="1251"/>
      <c r="AWY120" s="1251"/>
      <c r="AWZ120" s="1251"/>
      <c r="AXA120" s="1251"/>
      <c r="AXB120" s="1251"/>
      <c r="AXC120" s="1251"/>
      <c r="AXD120" s="1251"/>
      <c r="AXE120" s="1251"/>
      <c r="AXF120" s="1251"/>
      <c r="AXG120" s="1251"/>
      <c r="AXH120" s="1251"/>
      <c r="AXI120" s="1251"/>
      <c r="AXJ120" s="1251"/>
      <c r="AXK120" s="1251"/>
      <c r="AXL120" s="1251"/>
      <c r="AXM120" s="1251"/>
      <c r="AXN120" s="1251"/>
      <c r="AXO120" s="1251"/>
      <c r="AXP120" s="1251"/>
      <c r="AXQ120" s="1251"/>
      <c r="AXR120" s="1251"/>
      <c r="AXS120" s="1251"/>
      <c r="AXT120" s="1251"/>
      <c r="AXU120" s="1251"/>
      <c r="AXV120" s="1251"/>
      <c r="AXW120" s="1251"/>
      <c r="AXX120" s="1251"/>
      <c r="AXY120" s="1251"/>
      <c r="AXZ120" s="1251"/>
      <c r="AYA120" s="1251"/>
      <c r="AYB120" s="1251"/>
      <c r="AYC120" s="1251"/>
      <c r="AYD120" s="1251"/>
      <c r="AYE120" s="1251"/>
      <c r="AYF120" s="1251"/>
      <c r="AYG120" s="1251"/>
      <c r="AYH120" s="1251"/>
      <c r="AYI120" s="1251"/>
      <c r="AYJ120" s="1251"/>
      <c r="AYK120" s="1251"/>
      <c r="AYL120" s="1251"/>
      <c r="AYM120" s="1251"/>
      <c r="AYN120" s="1251"/>
      <c r="AYO120" s="1251"/>
      <c r="AYP120" s="1251"/>
      <c r="AYQ120" s="1251"/>
      <c r="AYR120" s="1251"/>
      <c r="AYS120" s="1251"/>
      <c r="AYT120" s="1251"/>
      <c r="AYU120" s="1251"/>
      <c r="AYV120" s="1251"/>
      <c r="AYW120" s="1251"/>
      <c r="AYX120" s="1251"/>
      <c r="AYY120" s="1251"/>
      <c r="AYZ120" s="1251"/>
      <c r="AZA120" s="1251"/>
      <c r="AZB120" s="1251"/>
      <c r="AZC120" s="1251"/>
      <c r="AZD120" s="1251"/>
      <c r="AZE120" s="1251"/>
      <c r="AZF120" s="1251"/>
      <c r="AZG120" s="1251"/>
      <c r="AZH120" s="1251"/>
      <c r="AZI120" s="1251"/>
      <c r="AZJ120" s="1251"/>
      <c r="AZK120" s="1251"/>
      <c r="AZL120" s="1251"/>
      <c r="AZM120" s="1251"/>
      <c r="AZN120" s="1251"/>
      <c r="AZO120" s="1251"/>
      <c r="AZP120" s="1251"/>
      <c r="AZQ120" s="1251"/>
      <c r="AZR120" s="1251"/>
      <c r="AZS120" s="1251"/>
      <c r="AZT120" s="1251"/>
      <c r="AZU120" s="1251"/>
      <c r="AZV120" s="1251"/>
      <c r="AZW120" s="1251"/>
      <c r="AZX120" s="1251"/>
      <c r="AZY120" s="1251"/>
      <c r="AZZ120" s="1251"/>
      <c r="BAA120" s="1251"/>
      <c r="BAB120" s="1251"/>
      <c r="BAC120" s="1251"/>
      <c r="BAD120" s="1251"/>
      <c r="BAE120" s="1251"/>
      <c r="BAF120" s="1251"/>
      <c r="BAG120" s="1251"/>
      <c r="BAH120" s="1251"/>
      <c r="BAI120" s="1251"/>
      <c r="BAJ120" s="1251"/>
      <c r="BAK120" s="1251"/>
      <c r="BAL120" s="1251"/>
      <c r="BAM120" s="1251"/>
      <c r="BAN120" s="1251"/>
      <c r="BAO120" s="1251"/>
      <c r="BAP120" s="1251"/>
      <c r="BAQ120" s="1251"/>
      <c r="BAR120" s="1251"/>
      <c r="BAS120" s="1251"/>
      <c r="BAT120" s="1251"/>
      <c r="BAU120" s="1251"/>
      <c r="BAV120" s="1251"/>
      <c r="BAW120" s="1251"/>
      <c r="BAX120" s="1251"/>
      <c r="BAY120" s="1251"/>
      <c r="BAZ120" s="1251"/>
      <c r="BBA120" s="1251"/>
      <c r="BBB120" s="1251"/>
      <c r="BBC120" s="1251"/>
      <c r="BBD120" s="1251"/>
      <c r="BBE120" s="1251"/>
      <c r="BBF120" s="1251"/>
      <c r="BBG120" s="1251"/>
      <c r="BBH120" s="1251"/>
      <c r="BBI120" s="1251"/>
      <c r="BBJ120" s="1251"/>
      <c r="BBK120" s="1251"/>
      <c r="BBL120" s="1251"/>
      <c r="BBM120" s="1251"/>
      <c r="BBN120" s="1251"/>
      <c r="BBO120" s="1251"/>
      <c r="BBP120" s="1251"/>
      <c r="BBQ120" s="1251"/>
      <c r="BBR120" s="1251"/>
      <c r="BBS120" s="1251"/>
      <c r="BBT120" s="1251"/>
      <c r="BBU120" s="1251"/>
      <c r="BBV120" s="1251"/>
      <c r="BBW120" s="1251"/>
      <c r="BBX120" s="1251"/>
      <c r="BBY120" s="1251"/>
      <c r="BBZ120" s="1251"/>
      <c r="BCA120" s="1251"/>
      <c r="BCB120" s="1251"/>
      <c r="BCC120" s="1251"/>
      <c r="BCD120" s="1251"/>
      <c r="BCE120" s="1251"/>
      <c r="BCF120" s="1251"/>
      <c r="BCG120" s="1251"/>
      <c r="BCH120" s="1251"/>
      <c r="BCI120" s="1251"/>
      <c r="BCJ120" s="1251"/>
      <c r="BCK120" s="1251"/>
      <c r="BCL120" s="1251"/>
      <c r="BCM120" s="1251"/>
      <c r="BCN120" s="1251"/>
      <c r="BCO120" s="1251"/>
      <c r="BCP120" s="1251"/>
      <c r="BCQ120" s="1251"/>
      <c r="BCR120" s="1251"/>
      <c r="BCS120" s="1251"/>
      <c r="BCT120" s="1251"/>
      <c r="BCU120" s="1251"/>
      <c r="BCV120" s="1251"/>
      <c r="BCW120" s="1251"/>
      <c r="BCX120" s="1251"/>
      <c r="BCY120" s="1251"/>
      <c r="BCZ120" s="1251"/>
      <c r="BDA120" s="1251"/>
      <c r="BDB120" s="1251"/>
      <c r="BDC120" s="1251"/>
      <c r="BDD120" s="1251"/>
      <c r="BDE120" s="1251"/>
      <c r="BDF120" s="1251"/>
      <c r="BDG120" s="1251"/>
      <c r="BDH120" s="1251"/>
      <c r="BDI120" s="1251"/>
      <c r="BDJ120" s="1251"/>
      <c r="BDK120" s="1251"/>
      <c r="BDL120" s="1251"/>
      <c r="BDM120" s="1251"/>
      <c r="BDN120" s="1251"/>
      <c r="BDO120" s="1251"/>
      <c r="BDP120" s="1251"/>
      <c r="BDQ120" s="1251"/>
      <c r="BDR120" s="1251"/>
      <c r="BDS120" s="1251"/>
      <c r="BDT120" s="1251"/>
      <c r="BDU120" s="1251"/>
      <c r="BDV120" s="1251"/>
      <c r="BDW120" s="1251"/>
      <c r="BDX120" s="1251"/>
      <c r="BDY120" s="1251"/>
      <c r="BDZ120" s="1251"/>
      <c r="BEA120" s="1251"/>
      <c r="BEB120" s="1251"/>
      <c r="BEC120" s="1251"/>
      <c r="BED120" s="1251"/>
      <c r="BEE120" s="1251"/>
      <c r="BEF120" s="1251"/>
      <c r="BEG120" s="1251"/>
      <c r="BEH120" s="1251"/>
      <c r="BEI120" s="1251"/>
      <c r="BEJ120" s="1251"/>
      <c r="BEK120" s="1251"/>
      <c r="BEL120" s="1251"/>
      <c r="BEM120" s="1251"/>
      <c r="BEN120" s="1251"/>
      <c r="BEO120" s="1251"/>
      <c r="BEP120" s="1251"/>
      <c r="BEQ120" s="1251"/>
      <c r="BER120" s="1251"/>
      <c r="BES120" s="1251"/>
      <c r="BET120" s="1251"/>
      <c r="BEU120" s="1251"/>
      <c r="BEV120" s="1251"/>
      <c r="BEW120" s="1251"/>
      <c r="BEX120" s="1251"/>
      <c r="BEY120" s="1251"/>
      <c r="BEZ120" s="1251"/>
      <c r="BFA120" s="1251"/>
      <c r="BFB120" s="1251"/>
      <c r="BFC120" s="1251"/>
      <c r="BFD120" s="1251"/>
      <c r="BFE120" s="1251"/>
      <c r="BFF120" s="1251"/>
      <c r="BFG120" s="1251"/>
      <c r="BFH120" s="1251"/>
      <c r="BFI120" s="1251"/>
      <c r="BFJ120" s="1251"/>
      <c r="BFK120" s="1251"/>
      <c r="BFL120" s="1251"/>
      <c r="BFM120" s="1251"/>
      <c r="BFN120" s="1251"/>
      <c r="BFO120" s="1251"/>
      <c r="BFP120" s="1251"/>
      <c r="BFQ120" s="1251"/>
      <c r="BFR120" s="1251"/>
      <c r="BFS120" s="1251"/>
      <c r="BFT120" s="1251"/>
      <c r="BFU120" s="1251"/>
      <c r="BFV120" s="1251"/>
      <c r="BFW120" s="1251"/>
      <c r="BFX120" s="1251"/>
      <c r="BFY120" s="1251"/>
      <c r="BFZ120" s="1251"/>
      <c r="BGA120" s="1251"/>
      <c r="BGB120" s="1251"/>
      <c r="BGC120" s="1251"/>
      <c r="BGD120" s="1251"/>
      <c r="BGE120" s="1251"/>
      <c r="BGF120" s="1251"/>
      <c r="BGG120" s="1251"/>
      <c r="BGH120" s="1251"/>
      <c r="BGI120" s="1251"/>
      <c r="BGJ120" s="1251"/>
      <c r="BGK120" s="1251"/>
      <c r="BGL120" s="1251"/>
      <c r="BGM120" s="1251"/>
      <c r="BGN120" s="1251"/>
      <c r="BGO120" s="1251"/>
      <c r="BGP120" s="1251"/>
      <c r="BGQ120" s="1251"/>
      <c r="BGR120" s="1251"/>
      <c r="BGS120" s="1251"/>
      <c r="BGT120" s="1251"/>
      <c r="BGU120" s="1251"/>
      <c r="BGV120" s="1251"/>
      <c r="BGW120" s="1251"/>
      <c r="BGX120" s="1251"/>
      <c r="BGY120" s="1251"/>
      <c r="BGZ120" s="1251"/>
      <c r="BHA120" s="1251"/>
      <c r="BHB120" s="1251"/>
      <c r="BHC120" s="1251"/>
      <c r="BHD120" s="1251"/>
      <c r="BHE120" s="1251"/>
      <c r="BHF120" s="1251"/>
      <c r="BHG120" s="1251"/>
      <c r="BHH120" s="1251"/>
      <c r="BHI120" s="1251"/>
      <c r="BHJ120" s="1251"/>
      <c r="BHK120" s="1251"/>
      <c r="BHL120" s="1251"/>
      <c r="BHM120" s="1251"/>
      <c r="BHN120" s="1251"/>
      <c r="BHO120" s="1251"/>
      <c r="BHP120" s="1251"/>
      <c r="BHQ120" s="1251"/>
      <c r="BHR120" s="1251"/>
      <c r="BHS120" s="1251"/>
      <c r="BHT120" s="1251"/>
      <c r="BHU120" s="1251"/>
      <c r="BHV120" s="1251"/>
      <c r="BHW120" s="1251"/>
      <c r="BHX120" s="1251"/>
      <c r="BHY120" s="1251"/>
      <c r="BHZ120" s="1251"/>
      <c r="BIA120" s="1251"/>
      <c r="BIB120" s="1251"/>
      <c r="BIC120" s="1251"/>
      <c r="BID120" s="1251"/>
      <c r="BIE120" s="1251"/>
      <c r="BIF120" s="1251"/>
      <c r="BIG120" s="1251"/>
      <c r="BIH120" s="1251"/>
      <c r="BII120" s="1251"/>
      <c r="BIJ120" s="1251"/>
      <c r="BIK120" s="1251"/>
      <c r="BIL120" s="1251"/>
      <c r="BIM120" s="1251"/>
      <c r="BIN120" s="1251"/>
      <c r="BIO120" s="1251"/>
      <c r="BIP120" s="1251"/>
      <c r="BIQ120" s="1251"/>
      <c r="BIR120" s="1251"/>
      <c r="BIS120" s="1251"/>
      <c r="BIT120" s="1251"/>
      <c r="BIU120" s="1251"/>
      <c r="BIV120" s="1251"/>
      <c r="BIW120" s="1251"/>
      <c r="BIX120" s="1251"/>
      <c r="BIY120" s="1251"/>
      <c r="BIZ120" s="1251"/>
      <c r="BJA120" s="1251"/>
      <c r="BJB120" s="1251"/>
      <c r="BJC120" s="1251"/>
      <c r="BJD120" s="1251"/>
      <c r="BJE120" s="1251"/>
      <c r="BJF120" s="1251"/>
      <c r="BJG120" s="1251"/>
      <c r="BJH120" s="1251"/>
      <c r="BJI120" s="1251"/>
      <c r="BJJ120" s="1251"/>
      <c r="BJK120" s="1251"/>
      <c r="BJL120" s="1251"/>
      <c r="BJM120" s="1251"/>
      <c r="BJN120" s="1251"/>
      <c r="BJO120" s="1251"/>
      <c r="BJP120" s="1251"/>
      <c r="BJQ120" s="1251"/>
      <c r="BJR120" s="1251"/>
      <c r="BJS120" s="1251"/>
      <c r="BJT120" s="1251"/>
      <c r="BJU120" s="1251"/>
      <c r="BJV120" s="1251"/>
      <c r="BJW120" s="1251"/>
      <c r="BJX120" s="1251"/>
      <c r="BJY120" s="1251"/>
      <c r="BJZ120" s="1251"/>
      <c r="BKA120" s="1251"/>
      <c r="BKB120" s="1251"/>
      <c r="BKC120" s="1251"/>
      <c r="BKD120" s="1251"/>
      <c r="BKE120" s="1251"/>
      <c r="BKF120" s="1251"/>
      <c r="BKG120" s="1251"/>
      <c r="BKH120" s="1251"/>
      <c r="BKI120" s="1251"/>
      <c r="BKJ120" s="1251"/>
      <c r="BKK120" s="1251"/>
      <c r="BKL120" s="1251"/>
      <c r="BKM120" s="1251"/>
      <c r="BKN120" s="1251"/>
      <c r="BKO120" s="1251"/>
      <c r="BKP120" s="1251"/>
      <c r="BKQ120" s="1251"/>
      <c r="BKR120" s="1251"/>
      <c r="BKS120" s="1251"/>
      <c r="BKT120" s="1251"/>
      <c r="BKU120" s="1251"/>
      <c r="BKV120" s="1251"/>
      <c r="BKW120" s="1251"/>
      <c r="BKX120" s="1251"/>
      <c r="BKY120" s="1251"/>
      <c r="BKZ120" s="1251"/>
      <c r="BLA120" s="1251"/>
      <c r="BLB120" s="1251"/>
      <c r="BLC120" s="1251"/>
      <c r="BLD120" s="1251"/>
      <c r="BLE120" s="1251"/>
      <c r="BLF120" s="1251"/>
      <c r="BLG120" s="1251"/>
      <c r="BLH120" s="1251"/>
      <c r="BLI120" s="1251"/>
      <c r="BLJ120" s="1251"/>
      <c r="BLK120" s="1251"/>
      <c r="BLL120" s="1251"/>
      <c r="BLM120" s="1251"/>
      <c r="BLN120" s="1251"/>
      <c r="BLO120" s="1251"/>
      <c r="BLP120" s="1251"/>
      <c r="BLQ120" s="1251"/>
      <c r="BLR120" s="1251"/>
      <c r="BLS120" s="1251"/>
      <c r="BLT120" s="1251"/>
      <c r="BLU120" s="1251"/>
      <c r="BLV120" s="1251"/>
      <c r="BLW120" s="1251"/>
      <c r="BLX120" s="1251"/>
      <c r="BLY120" s="1251"/>
      <c r="BLZ120" s="1251"/>
      <c r="BMA120" s="1251"/>
      <c r="BMB120" s="1251"/>
      <c r="BMC120" s="1251"/>
      <c r="BMD120" s="1251"/>
      <c r="BME120" s="1251"/>
      <c r="BMF120" s="1251"/>
      <c r="BMG120" s="1251"/>
      <c r="BMH120" s="1251"/>
      <c r="BMI120" s="1251"/>
      <c r="BMJ120" s="1251"/>
      <c r="BMK120" s="1251"/>
      <c r="BML120" s="1251"/>
      <c r="BMM120" s="1251"/>
      <c r="BMN120" s="1251"/>
      <c r="BMO120" s="1251"/>
      <c r="BMP120" s="1251"/>
      <c r="BMQ120" s="1251"/>
      <c r="BMR120" s="1251"/>
      <c r="BMS120" s="1251"/>
      <c r="BMT120" s="1251"/>
      <c r="BMU120" s="1251"/>
      <c r="BMV120" s="1251"/>
      <c r="BMW120" s="1251"/>
      <c r="BMX120" s="1251"/>
      <c r="BMY120" s="1251"/>
      <c r="BMZ120" s="1251"/>
      <c r="BNA120" s="1251"/>
      <c r="BNB120" s="1251"/>
      <c r="BNC120" s="1251"/>
      <c r="BND120" s="1251"/>
      <c r="BNE120" s="1251"/>
      <c r="BNF120" s="1251"/>
      <c r="BNG120" s="1251"/>
      <c r="BNH120" s="1251"/>
      <c r="BNI120" s="1251"/>
      <c r="BNJ120" s="1251"/>
      <c r="BNK120" s="1251"/>
      <c r="BNL120" s="1251"/>
      <c r="BNM120" s="1251"/>
      <c r="BNN120" s="1251"/>
      <c r="BNO120" s="1251"/>
      <c r="BNP120" s="1251"/>
      <c r="BNQ120" s="1251"/>
      <c r="BNR120" s="1251"/>
      <c r="BNS120" s="1251"/>
      <c r="BNT120" s="1251"/>
      <c r="BNU120" s="1251"/>
      <c r="BNV120" s="1251"/>
      <c r="BNW120" s="1251"/>
      <c r="BNX120" s="1251"/>
      <c r="BNY120" s="1251"/>
      <c r="BNZ120" s="1251"/>
      <c r="BOA120" s="1251"/>
      <c r="BOB120" s="1251"/>
      <c r="BOC120" s="1251"/>
      <c r="BOD120" s="1251"/>
      <c r="BOE120" s="1251"/>
      <c r="BOF120" s="1251"/>
      <c r="BOG120" s="1251"/>
      <c r="BOH120" s="1251"/>
      <c r="BOI120" s="1251"/>
      <c r="BOJ120" s="1251"/>
      <c r="BOK120" s="1251"/>
      <c r="BOL120" s="1251"/>
      <c r="BOM120" s="1251"/>
      <c r="BON120" s="1251"/>
      <c r="BOO120" s="1251"/>
      <c r="BOP120" s="1251"/>
      <c r="BOQ120" s="1251"/>
      <c r="BOR120" s="1251"/>
      <c r="BOS120" s="1251"/>
      <c r="BOT120" s="1251"/>
      <c r="BOU120" s="1251"/>
      <c r="BOV120" s="1251"/>
      <c r="BOW120" s="1251"/>
      <c r="BOX120" s="1251"/>
      <c r="BOY120" s="1251"/>
      <c r="BOZ120" s="1251"/>
      <c r="BPA120" s="1251"/>
      <c r="BPB120" s="1251"/>
      <c r="BPC120" s="1251"/>
      <c r="BPD120" s="1251"/>
      <c r="BPE120" s="1251"/>
      <c r="BPF120" s="1251"/>
      <c r="BPG120" s="1251"/>
      <c r="BPH120" s="1251"/>
      <c r="BPI120" s="1251"/>
      <c r="BPJ120" s="1251"/>
      <c r="BPK120" s="1251"/>
      <c r="BPL120" s="1251"/>
      <c r="BPM120" s="1251"/>
      <c r="BPN120" s="1251"/>
      <c r="BPO120" s="1251"/>
      <c r="BPP120" s="1251"/>
      <c r="BPQ120" s="1251"/>
      <c r="BPR120" s="1251"/>
      <c r="BPS120" s="1251"/>
      <c r="BPT120" s="1251"/>
      <c r="BPU120" s="1251"/>
      <c r="BPV120" s="1251"/>
      <c r="BPW120" s="1251"/>
      <c r="BPX120" s="1251"/>
      <c r="BPY120" s="1251"/>
      <c r="BPZ120" s="1251"/>
      <c r="BQA120" s="1251"/>
      <c r="BQB120" s="1251"/>
      <c r="BQC120" s="1251"/>
      <c r="BQD120" s="1251"/>
      <c r="BQE120" s="1251"/>
      <c r="BQF120" s="1251"/>
      <c r="BQG120" s="1251"/>
      <c r="BQH120" s="1251"/>
      <c r="BQI120" s="1251"/>
      <c r="BQJ120" s="1251"/>
      <c r="BQK120" s="1251"/>
      <c r="BQL120" s="1251"/>
      <c r="BQM120" s="1251"/>
      <c r="BQN120" s="1251"/>
      <c r="BQO120" s="1251"/>
      <c r="BQP120" s="1251"/>
      <c r="BQQ120" s="1251"/>
      <c r="BQR120" s="1251"/>
      <c r="BQS120" s="1251"/>
      <c r="BQT120" s="1251"/>
      <c r="BQU120" s="1251"/>
      <c r="BQV120" s="1251"/>
      <c r="BQW120" s="1251"/>
      <c r="BQX120" s="1251"/>
      <c r="BQY120" s="1251"/>
      <c r="BQZ120" s="1251"/>
      <c r="BRA120" s="1251"/>
      <c r="BRB120" s="1251"/>
      <c r="BRC120" s="1251"/>
      <c r="BRD120" s="1251"/>
      <c r="BRE120" s="1251"/>
      <c r="BRF120" s="1251"/>
      <c r="BRG120" s="1251"/>
      <c r="BRH120" s="1251"/>
      <c r="BRI120" s="1251"/>
      <c r="BRJ120" s="1251"/>
      <c r="BRK120" s="1251"/>
      <c r="BRL120" s="1251"/>
      <c r="BRM120" s="1251"/>
      <c r="BRN120" s="1251"/>
      <c r="BRO120" s="1251"/>
      <c r="BRP120" s="1251"/>
      <c r="BRQ120" s="1251"/>
      <c r="BRR120" s="1251"/>
      <c r="BRS120" s="1251"/>
      <c r="BRT120" s="1251"/>
      <c r="BRU120" s="1251"/>
      <c r="BRV120" s="1251"/>
      <c r="BRW120" s="1251"/>
      <c r="BRX120" s="1251"/>
      <c r="BRY120" s="1251"/>
      <c r="BRZ120" s="1251"/>
      <c r="BSA120" s="1251"/>
      <c r="BSB120" s="1251"/>
      <c r="BSC120" s="1251"/>
      <c r="BSD120" s="1251"/>
      <c r="BSE120" s="1251"/>
      <c r="BSF120" s="1251"/>
      <c r="BSG120" s="1251"/>
      <c r="BSH120" s="1251"/>
      <c r="BSI120" s="1251"/>
      <c r="BSJ120" s="1251"/>
      <c r="BSK120" s="1251"/>
      <c r="BSL120" s="1251"/>
      <c r="BSM120" s="1251"/>
      <c r="BSN120" s="1251"/>
      <c r="BSO120" s="1251"/>
      <c r="BSP120" s="1251"/>
      <c r="BSQ120" s="1251"/>
      <c r="BSR120" s="1251"/>
      <c r="BSS120" s="1251"/>
      <c r="BST120" s="1251"/>
      <c r="BSU120" s="1251"/>
      <c r="BSV120" s="1251"/>
      <c r="BSW120" s="1251"/>
      <c r="BSX120" s="1251"/>
      <c r="BSY120" s="1251"/>
      <c r="BSZ120" s="1251"/>
      <c r="BTA120" s="1251"/>
      <c r="BTB120" s="1251"/>
      <c r="BTC120" s="1251"/>
      <c r="BTD120" s="1251"/>
      <c r="BTE120" s="1251"/>
      <c r="BTF120" s="1251"/>
      <c r="BTG120" s="1251"/>
      <c r="BTH120" s="1251"/>
      <c r="BTI120" s="1251"/>
    </row>
    <row r="121" spans="1:1881" s="1261" customFormat="1" hidden="1" x14ac:dyDescent="0.3">
      <c r="A121" s="1251"/>
      <c r="B121" s="661"/>
      <c r="C121" s="661"/>
      <c r="E121" s="1249"/>
      <c r="G121" s="795"/>
      <c r="H121" s="593"/>
      <c r="J121" s="1251"/>
      <c r="K121" s="1251"/>
      <c r="L121" s="1251"/>
      <c r="M121" s="1251"/>
      <c r="N121" s="1253"/>
      <c r="O121" s="1251"/>
      <c r="P121" s="1251"/>
      <c r="Q121" s="1251"/>
      <c r="R121" s="1251"/>
      <c r="S121" s="1251"/>
      <c r="T121" s="1251"/>
      <c r="U121" s="1251"/>
      <c r="V121" s="1251"/>
      <c r="W121" s="1251"/>
      <c r="X121" s="1251"/>
      <c r="Y121" s="1251"/>
      <c r="Z121" s="1251"/>
      <c r="AA121" s="1251"/>
      <c r="AB121" s="1251"/>
      <c r="AC121" s="1251"/>
      <c r="AD121" s="1251"/>
      <c r="AE121" s="1251"/>
      <c r="AF121" s="1251"/>
      <c r="AG121" s="1251"/>
      <c r="AH121" s="1251"/>
      <c r="AI121" s="1251"/>
      <c r="AJ121" s="1251"/>
      <c r="AK121" s="1251"/>
      <c r="AL121" s="1251"/>
      <c r="AM121" s="1251"/>
      <c r="AN121" s="1251"/>
      <c r="AO121" s="1251"/>
      <c r="AP121" s="1251"/>
      <c r="AQ121" s="1251"/>
      <c r="AR121" s="1251"/>
      <c r="AS121" s="1251"/>
      <c r="AT121" s="1251"/>
      <c r="AU121" s="1251"/>
      <c r="AV121" s="1251"/>
      <c r="AW121" s="1251"/>
      <c r="AX121" s="1251"/>
      <c r="AY121" s="1251"/>
      <c r="AZ121" s="1251"/>
      <c r="BA121" s="1251"/>
      <c r="BB121" s="1251"/>
      <c r="BC121" s="1251"/>
      <c r="BD121" s="1251"/>
      <c r="BE121" s="1251"/>
      <c r="BF121" s="1251"/>
      <c r="BG121" s="1251"/>
      <c r="BH121" s="1251"/>
      <c r="BI121" s="1251"/>
      <c r="BJ121" s="1251"/>
      <c r="BK121" s="1251"/>
      <c r="BL121" s="1251"/>
      <c r="BM121" s="1251"/>
      <c r="BN121" s="1251"/>
      <c r="BO121" s="1251"/>
      <c r="BP121" s="1251"/>
      <c r="BQ121" s="1251"/>
      <c r="BR121" s="1251"/>
      <c r="BS121" s="1251"/>
      <c r="BT121" s="1251"/>
      <c r="BU121" s="1251"/>
      <c r="BV121" s="1251"/>
      <c r="BW121" s="1251"/>
      <c r="BX121" s="1251"/>
      <c r="BY121" s="1251"/>
      <c r="BZ121" s="1251"/>
      <c r="CA121" s="1251"/>
      <c r="CB121" s="1251"/>
      <c r="CC121" s="1251"/>
      <c r="CD121" s="1251"/>
      <c r="CE121" s="1251"/>
      <c r="CF121" s="1251"/>
      <c r="CG121" s="1251"/>
      <c r="CH121" s="1251"/>
      <c r="CI121" s="1251"/>
      <c r="CJ121" s="1251"/>
      <c r="CK121" s="1251"/>
      <c r="CL121" s="1251"/>
      <c r="CM121" s="1251"/>
      <c r="CN121" s="1251"/>
      <c r="CO121" s="1251"/>
      <c r="CP121" s="1251"/>
      <c r="CQ121" s="1251"/>
      <c r="CR121" s="1251"/>
      <c r="CS121" s="1251"/>
      <c r="CT121" s="1251"/>
      <c r="CU121" s="1251"/>
      <c r="CV121" s="1251"/>
      <c r="CW121" s="1251"/>
      <c r="CX121" s="1251"/>
      <c r="CY121" s="1251"/>
      <c r="CZ121" s="1251"/>
      <c r="DA121" s="1251"/>
      <c r="DB121" s="1251"/>
      <c r="DC121" s="1251"/>
      <c r="DD121" s="1251"/>
      <c r="DE121" s="1251"/>
      <c r="DF121" s="1251"/>
      <c r="DG121" s="1251"/>
      <c r="DH121" s="1251"/>
      <c r="DI121" s="1251"/>
      <c r="DJ121" s="1251"/>
      <c r="DK121" s="1251"/>
      <c r="DL121" s="1251"/>
      <c r="DM121" s="1251"/>
      <c r="DN121" s="1251"/>
      <c r="DO121" s="1251"/>
      <c r="DP121" s="1251"/>
      <c r="DQ121" s="1251"/>
      <c r="DR121" s="1251"/>
      <c r="DS121" s="1251"/>
      <c r="DT121" s="1251"/>
      <c r="DU121" s="1251"/>
      <c r="DV121" s="1251"/>
      <c r="DW121" s="1251"/>
      <c r="DX121" s="1251"/>
      <c r="DY121" s="1251"/>
      <c r="DZ121" s="1251"/>
      <c r="EA121" s="1251"/>
      <c r="EB121" s="1251"/>
      <c r="EC121" s="1251"/>
      <c r="ED121" s="1251"/>
      <c r="EE121" s="1251"/>
      <c r="EF121" s="1251"/>
      <c r="EG121" s="1251"/>
      <c r="EH121" s="1251"/>
      <c r="EI121" s="1251"/>
      <c r="EJ121" s="1251"/>
      <c r="EK121" s="1251"/>
      <c r="EL121" s="1251"/>
      <c r="EM121" s="1251"/>
      <c r="EN121" s="1251"/>
      <c r="EO121" s="1251"/>
      <c r="EP121" s="1251"/>
      <c r="EQ121" s="1251"/>
      <c r="ER121" s="1251"/>
      <c r="ES121" s="1251"/>
      <c r="ET121" s="1251"/>
      <c r="EU121" s="1251"/>
      <c r="EV121" s="1251"/>
      <c r="EW121" s="1251"/>
      <c r="EX121" s="1251"/>
      <c r="EY121" s="1251"/>
      <c r="EZ121" s="1251"/>
      <c r="FA121" s="1251"/>
      <c r="FB121" s="1251"/>
      <c r="FC121" s="1251"/>
      <c r="FD121" s="1251"/>
      <c r="FE121" s="1251"/>
      <c r="FF121" s="1251"/>
      <c r="FG121" s="1251"/>
      <c r="FH121" s="1251"/>
      <c r="FI121" s="1251"/>
      <c r="FJ121" s="1251"/>
      <c r="FK121" s="1251"/>
      <c r="FL121" s="1251"/>
      <c r="FM121" s="1251"/>
      <c r="FN121" s="1251"/>
      <c r="FO121" s="1251"/>
      <c r="FP121" s="1251"/>
      <c r="FQ121" s="1251"/>
      <c r="FR121" s="1251"/>
      <c r="FS121" s="1251"/>
      <c r="FT121" s="1251"/>
      <c r="FU121" s="1251"/>
      <c r="FV121" s="1251"/>
      <c r="FW121" s="1251"/>
      <c r="FX121" s="1251"/>
      <c r="FY121" s="1251"/>
      <c r="FZ121" s="1251"/>
      <c r="GA121" s="1251"/>
      <c r="GB121" s="1251"/>
      <c r="GC121" s="1251"/>
      <c r="GD121" s="1251"/>
      <c r="GE121" s="1251"/>
      <c r="GF121" s="1251"/>
      <c r="GG121" s="1251"/>
      <c r="GH121" s="1251"/>
      <c r="GI121" s="1251"/>
      <c r="GJ121" s="1251"/>
      <c r="GK121" s="1251"/>
      <c r="GL121" s="1251"/>
      <c r="GM121" s="1251"/>
      <c r="GN121" s="1251"/>
      <c r="GO121" s="1251"/>
      <c r="GP121" s="1251"/>
      <c r="GQ121" s="1251"/>
      <c r="GR121" s="1251"/>
      <c r="GS121" s="1251"/>
      <c r="GT121" s="1251"/>
      <c r="GU121" s="1251"/>
      <c r="GV121" s="1251"/>
      <c r="GW121" s="1251"/>
      <c r="GX121" s="1251"/>
      <c r="GY121" s="1251"/>
      <c r="GZ121" s="1251"/>
      <c r="HA121" s="1251"/>
      <c r="HB121" s="1251"/>
      <c r="HC121" s="1251"/>
      <c r="HD121" s="1251"/>
      <c r="HE121" s="1251"/>
      <c r="HF121" s="1251"/>
      <c r="HG121" s="1251"/>
      <c r="HH121" s="1251"/>
      <c r="HI121" s="1251"/>
      <c r="HJ121" s="1251"/>
      <c r="HK121" s="1251"/>
      <c r="HL121" s="1251"/>
      <c r="HM121" s="1251"/>
      <c r="HN121" s="1251"/>
      <c r="HO121" s="1251"/>
      <c r="HP121" s="1251"/>
      <c r="HQ121" s="1251"/>
      <c r="HR121" s="1251"/>
      <c r="HS121" s="1251"/>
      <c r="HT121" s="1251"/>
      <c r="HU121" s="1251"/>
      <c r="HV121" s="1251"/>
      <c r="HW121" s="1251"/>
      <c r="HX121" s="1251"/>
      <c r="HY121" s="1251"/>
      <c r="HZ121" s="1251"/>
      <c r="IA121" s="1251"/>
      <c r="IB121" s="1251"/>
      <c r="IC121" s="1251"/>
      <c r="ID121" s="1251"/>
      <c r="IE121" s="1251"/>
      <c r="IF121" s="1251"/>
      <c r="IG121" s="1251"/>
      <c r="IH121" s="1251"/>
      <c r="II121" s="1251"/>
      <c r="IJ121" s="1251"/>
      <c r="IK121" s="1251"/>
      <c r="IL121" s="1251"/>
      <c r="IM121" s="1251"/>
      <c r="IN121" s="1251"/>
      <c r="IO121" s="1251"/>
      <c r="IP121" s="1251"/>
      <c r="IQ121" s="1251"/>
      <c r="IR121" s="1251"/>
      <c r="IS121" s="1251"/>
      <c r="IT121" s="1251"/>
      <c r="IU121" s="1251"/>
      <c r="IV121" s="1251"/>
      <c r="IW121" s="1251"/>
      <c r="IX121" s="1251"/>
      <c r="IY121" s="1251"/>
      <c r="IZ121" s="1251"/>
      <c r="JA121" s="1251"/>
      <c r="JB121" s="1251"/>
      <c r="JC121" s="1251"/>
      <c r="JD121" s="1251"/>
      <c r="JE121" s="1251"/>
      <c r="JF121" s="1251"/>
      <c r="JG121" s="1251"/>
      <c r="JH121" s="1251"/>
      <c r="JI121" s="1251"/>
      <c r="JJ121" s="1251"/>
      <c r="JK121" s="1251"/>
      <c r="JL121" s="1251"/>
      <c r="JM121" s="1251"/>
      <c r="JN121" s="1251"/>
      <c r="JO121" s="1251"/>
      <c r="JP121" s="1251"/>
      <c r="JQ121" s="1251"/>
      <c r="JR121" s="1251"/>
      <c r="JS121" s="1251"/>
      <c r="JT121" s="1251"/>
      <c r="JU121" s="1251"/>
      <c r="JV121" s="1251"/>
      <c r="JW121" s="1251"/>
      <c r="JX121" s="1251"/>
      <c r="JY121" s="1251"/>
      <c r="JZ121" s="1251"/>
      <c r="KA121" s="1251"/>
      <c r="KB121" s="1251"/>
      <c r="KC121" s="1251"/>
      <c r="KD121" s="1251"/>
      <c r="KE121" s="1251"/>
      <c r="KF121" s="1251"/>
      <c r="KG121" s="1251"/>
      <c r="KH121" s="1251"/>
      <c r="KI121" s="1251"/>
      <c r="KJ121" s="1251"/>
      <c r="KK121" s="1251"/>
      <c r="KL121" s="1251"/>
      <c r="KM121" s="1251"/>
      <c r="KN121" s="1251"/>
      <c r="KO121" s="1251"/>
      <c r="KP121" s="1251"/>
      <c r="KQ121" s="1251"/>
      <c r="KR121" s="1251"/>
      <c r="KS121" s="1251"/>
      <c r="KT121" s="1251"/>
      <c r="KU121" s="1251"/>
      <c r="KV121" s="1251"/>
      <c r="KW121" s="1251"/>
      <c r="KX121" s="1251"/>
      <c r="KY121" s="1251"/>
      <c r="KZ121" s="1251"/>
      <c r="LA121" s="1251"/>
      <c r="LB121" s="1251"/>
      <c r="LC121" s="1251"/>
      <c r="LD121" s="1251"/>
      <c r="LE121" s="1251"/>
      <c r="LF121" s="1251"/>
      <c r="LG121" s="1251"/>
      <c r="LH121" s="1251"/>
      <c r="LI121" s="1251"/>
      <c r="LJ121" s="1251"/>
      <c r="LK121" s="1251"/>
      <c r="LL121" s="1251"/>
      <c r="LM121" s="1251"/>
      <c r="LN121" s="1251"/>
      <c r="LO121" s="1251"/>
      <c r="LP121" s="1251"/>
      <c r="LQ121" s="1251"/>
      <c r="LR121" s="1251"/>
      <c r="LS121" s="1251"/>
      <c r="LT121" s="1251"/>
      <c r="LU121" s="1251"/>
      <c r="LV121" s="1251"/>
      <c r="LW121" s="1251"/>
      <c r="LX121" s="1251"/>
      <c r="LY121" s="1251"/>
      <c r="LZ121" s="1251"/>
      <c r="MA121" s="1251"/>
      <c r="MB121" s="1251"/>
      <c r="MC121" s="1251"/>
      <c r="MD121" s="1251"/>
      <c r="ME121" s="1251"/>
      <c r="MF121" s="1251"/>
      <c r="MG121" s="1251"/>
      <c r="MH121" s="1251"/>
      <c r="MI121" s="1251"/>
      <c r="MJ121" s="1251"/>
      <c r="MK121" s="1251"/>
      <c r="ML121" s="1251"/>
      <c r="MM121" s="1251"/>
      <c r="MN121" s="1251"/>
      <c r="MO121" s="1251"/>
      <c r="MP121" s="1251"/>
      <c r="MQ121" s="1251"/>
      <c r="MR121" s="1251"/>
      <c r="MS121" s="1251"/>
      <c r="MT121" s="1251"/>
      <c r="MU121" s="1251"/>
      <c r="MV121" s="1251"/>
      <c r="MW121" s="1251"/>
      <c r="MX121" s="1251"/>
      <c r="MY121" s="1251"/>
      <c r="MZ121" s="1251"/>
      <c r="NA121" s="1251"/>
      <c r="NB121" s="1251"/>
      <c r="NC121" s="1251"/>
      <c r="ND121" s="1251"/>
      <c r="NE121" s="1251"/>
      <c r="NF121" s="1251"/>
      <c r="NG121" s="1251"/>
      <c r="NH121" s="1251"/>
      <c r="NI121" s="1251"/>
      <c r="NJ121" s="1251"/>
      <c r="NK121" s="1251"/>
      <c r="NL121" s="1251"/>
      <c r="NM121" s="1251"/>
      <c r="NN121" s="1251"/>
      <c r="NO121" s="1251"/>
      <c r="NP121" s="1251"/>
      <c r="NQ121" s="1251"/>
      <c r="NR121" s="1251"/>
      <c r="NS121" s="1251"/>
      <c r="NT121" s="1251"/>
      <c r="NU121" s="1251"/>
      <c r="NV121" s="1251"/>
      <c r="NW121" s="1251"/>
      <c r="NX121" s="1251"/>
      <c r="NY121" s="1251"/>
      <c r="NZ121" s="1251"/>
      <c r="OA121" s="1251"/>
      <c r="OB121" s="1251"/>
      <c r="OC121" s="1251"/>
      <c r="OD121" s="1251"/>
      <c r="OE121" s="1251"/>
      <c r="OF121" s="1251"/>
      <c r="OG121" s="1251"/>
      <c r="OH121" s="1251"/>
      <c r="OI121" s="1251"/>
      <c r="OJ121" s="1251"/>
      <c r="OK121" s="1251"/>
      <c r="OL121" s="1251"/>
      <c r="OM121" s="1251"/>
      <c r="ON121" s="1251"/>
      <c r="OO121" s="1251"/>
      <c r="OP121" s="1251"/>
      <c r="OQ121" s="1251"/>
      <c r="OR121" s="1251"/>
      <c r="OS121" s="1251"/>
      <c r="OT121" s="1251"/>
      <c r="OU121" s="1251"/>
      <c r="OV121" s="1251"/>
      <c r="OW121" s="1251"/>
      <c r="OX121" s="1251"/>
      <c r="OY121" s="1251"/>
      <c r="OZ121" s="1251"/>
      <c r="PA121" s="1251"/>
      <c r="PB121" s="1251"/>
      <c r="PC121" s="1251"/>
      <c r="PD121" s="1251"/>
      <c r="PE121" s="1251"/>
      <c r="PF121" s="1251"/>
      <c r="PG121" s="1251"/>
      <c r="PH121" s="1251"/>
      <c r="PI121" s="1251"/>
      <c r="PJ121" s="1251"/>
      <c r="PK121" s="1251"/>
      <c r="PL121" s="1251"/>
      <c r="PM121" s="1251"/>
      <c r="PN121" s="1251"/>
      <c r="PO121" s="1251"/>
      <c r="PP121" s="1251"/>
      <c r="PQ121" s="1251"/>
      <c r="PR121" s="1251"/>
      <c r="PS121" s="1251"/>
      <c r="PT121" s="1251"/>
      <c r="PU121" s="1251"/>
      <c r="PV121" s="1251"/>
      <c r="PW121" s="1251"/>
      <c r="PX121" s="1251"/>
      <c r="PY121" s="1251"/>
      <c r="PZ121" s="1251"/>
      <c r="QA121" s="1251"/>
      <c r="QB121" s="1251"/>
      <c r="QC121" s="1251"/>
      <c r="QD121" s="1251"/>
      <c r="QE121" s="1251"/>
      <c r="QF121" s="1251"/>
      <c r="QG121" s="1251"/>
      <c r="QH121" s="1251"/>
      <c r="QI121" s="1251"/>
      <c r="QJ121" s="1251"/>
      <c r="QK121" s="1251"/>
      <c r="QL121" s="1251"/>
      <c r="QM121" s="1251"/>
      <c r="QN121" s="1251"/>
      <c r="QO121" s="1251"/>
      <c r="QP121" s="1251"/>
      <c r="QQ121" s="1251"/>
      <c r="QR121" s="1251"/>
      <c r="QS121" s="1251"/>
      <c r="QT121" s="1251"/>
      <c r="QU121" s="1251"/>
      <c r="QV121" s="1251"/>
      <c r="QW121" s="1251"/>
      <c r="QX121" s="1251"/>
      <c r="QY121" s="1251"/>
      <c r="QZ121" s="1251"/>
      <c r="RA121" s="1251"/>
      <c r="RB121" s="1251"/>
      <c r="RC121" s="1251"/>
      <c r="RD121" s="1251"/>
      <c r="RE121" s="1251"/>
      <c r="RF121" s="1251"/>
      <c r="RG121" s="1251"/>
      <c r="RH121" s="1251"/>
      <c r="RI121" s="1251"/>
      <c r="RJ121" s="1251"/>
      <c r="RK121" s="1251"/>
      <c r="RL121" s="1251"/>
      <c r="RM121" s="1251"/>
      <c r="RN121" s="1251"/>
      <c r="RO121" s="1251"/>
      <c r="RP121" s="1251"/>
      <c r="RQ121" s="1251"/>
      <c r="RR121" s="1251"/>
      <c r="RS121" s="1251"/>
      <c r="RT121" s="1251"/>
      <c r="RU121" s="1251"/>
      <c r="RV121" s="1251"/>
      <c r="RW121" s="1251"/>
      <c r="RX121" s="1251"/>
      <c r="RY121" s="1251"/>
      <c r="RZ121" s="1251"/>
      <c r="SA121" s="1251"/>
      <c r="SB121" s="1251"/>
      <c r="SC121" s="1251"/>
      <c r="SD121" s="1251"/>
      <c r="SE121" s="1251"/>
      <c r="SF121" s="1251"/>
      <c r="SG121" s="1251"/>
      <c r="SH121" s="1251"/>
      <c r="SI121" s="1251"/>
      <c r="SJ121" s="1251"/>
      <c r="SK121" s="1251"/>
      <c r="SL121" s="1251"/>
      <c r="SM121" s="1251"/>
      <c r="SN121" s="1251"/>
      <c r="SO121" s="1251"/>
      <c r="SP121" s="1251"/>
      <c r="SQ121" s="1251"/>
      <c r="SR121" s="1251"/>
      <c r="SS121" s="1251"/>
      <c r="ST121" s="1251"/>
      <c r="SU121" s="1251"/>
      <c r="SV121" s="1251"/>
      <c r="SW121" s="1251"/>
      <c r="SX121" s="1251"/>
      <c r="SY121" s="1251"/>
      <c r="SZ121" s="1251"/>
      <c r="TA121" s="1251"/>
      <c r="TB121" s="1251"/>
      <c r="TC121" s="1251"/>
      <c r="TD121" s="1251"/>
      <c r="TE121" s="1251"/>
      <c r="TF121" s="1251"/>
      <c r="TG121" s="1251"/>
      <c r="TH121" s="1251"/>
      <c r="TI121" s="1251"/>
      <c r="TJ121" s="1251"/>
      <c r="TK121" s="1251"/>
      <c r="TL121" s="1251"/>
      <c r="TM121" s="1251"/>
      <c r="TN121" s="1251"/>
      <c r="TO121" s="1251"/>
      <c r="TP121" s="1251"/>
      <c r="TQ121" s="1251"/>
      <c r="TR121" s="1251"/>
      <c r="TS121" s="1251"/>
      <c r="TT121" s="1251"/>
      <c r="TU121" s="1251"/>
      <c r="TV121" s="1251"/>
      <c r="TW121" s="1251"/>
      <c r="TX121" s="1251"/>
      <c r="TY121" s="1251"/>
      <c r="TZ121" s="1251"/>
      <c r="UA121" s="1251"/>
      <c r="UB121" s="1251"/>
      <c r="UC121" s="1251"/>
      <c r="UD121" s="1251"/>
      <c r="UE121" s="1251"/>
      <c r="UF121" s="1251"/>
      <c r="UG121" s="1251"/>
      <c r="UH121" s="1251"/>
      <c r="UI121" s="1251"/>
      <c r="UJ121" s="1251"/>
      <c r="UK121" s="1251"/>
      <c r="UL121" s="1251"/>
      <c r="UM121" s="1251"/>
      <c r="UN121" s="1251"/>
      <c r="UO121" s="1251"/>
      <c r="UP121" s="1251"/>
      <c r="UQ121" s="1251"/>
      <c r="UR121" s="1251"/>
      <c r="US121" s="1251"/>
      <c r="UT121" s="1251"/>
      <c r="UU121" s="1251"/>
      <c r="UV121" s="1251"/>
      <c r="UW121" s="1251"/>
      <c r="UX121" s="1251"/>
      <c r="UY121" s="1251"/>
      <c r="UZ121" s="1251"/>
      <c r="VA121" s="1251"/>
      <c r="VB121" s="1251"/>
      <c r="VC121" s="1251"/>
      <c r="VD121" s="1251"/>
      <c r="VE121" s="1251"/>
      <c r="VF121" s="1251"/>
      <c r="VG121" s="1251"/>
      <c r="VH121" s="1251"/>
      <c r="VI121" s="1251"/>
      <c r="VJ121" s="1251"/>
      <c r="VK121" s="1251"/>
      <c r="VL121" s="1251"/>
      <c r="VM121" s="1251"/>
      <c r="VN121" s="1251"/>
      <c r="VO121" s="1251"/>
      <c r="VP121" s="1251"/>
      <c r="VQ121" s="1251"/>
      <c r="VR121" s="1251"/>
      <c r="VS121" s="1251"/>
      <c r="VT121" s="1251"/>
      <c r="VU121" s="1251"/>
      <c r="VV121" s="1251"/>
      <c r="VW121" s="1251"/>
      <c r="VX121" s="1251"/>
      <c r="VY121" s="1251"/>
      <c r="VZ121" s="1251"/>
      <c r="WA121" s="1251"/>
      <c r="WB121" s="1251"/>
      <c r="WC121" s="1251"/>
      <c r="WD121" s="1251"/>
      <c r="WE121" s="1251"/>
      <c r="WF121" s="1251"/>
      <c r="WG121" s="1251"/>
      <c r="WH121" s="1251"/>
      <c r="WI121" s="1251"/>
      <c r="WJ121" s="1251"/>
      <c r="WK121" s="1251"/>
      <c r="WL121" s="1251"/>
      <c r="WM121" s="1251"/>
      <c r="WN121" s="1251"/>
      <c r="WO121" s="1251"/>
      <c r="WP121" s="1251"/>
      <c r="WQ121" s="1251"/>
      <c r="WR121" s="1251"/>
      <c r="WS121" s="1251"/>
      <c r="WT121" s="1251"/>
      <c r="WU121" s="1251"/>
      <c r="WV121" s="1251"/>
      <c r="WW121" s="1251"/>
      <c r="WX121" s="1251"/>
      <c r="WY121" s="1251"/>
      <c r="WZ121" s="1251"/>
      <c r="XA121" s="1251"/>
      <c r="XB121" s="1251"/>
      <c r="XC121" s="1251"/>
      <c r="XD121" s="1251"/>
      <c r="XE121" s="1251"/>
      <c r="XF121" s="1251"/>
      <c r="XG121" s="1251"/>
      <c r="XH121" s="1251"/>
      <c r="XI121" s="1251"/>
      <c r="XJ121" s="1251"/>
      <c r="XK121" s="1251"/>
      <c r="XL121" s="1251"/>
      <c r="XM121" s="1251"/>
      <c r="XN121" s="1251"/>
      <c r="XO121" s="1251"/>
      <c r="XP121" s="1251"/>
      <c r="XQ121" s="1251"/>
      <c r="XR121" s="1251"/>
      <c r="XS121" s="1251"/>
      <c r="XT121" s="1251"/>
      <c r="XU121" s="1251"/>
      <c r="XV121" s="1251"/>
      <c r="XW121" s="1251"/>
      <c r="XX121" s="1251"/>
      <c r="XY121" s="1251"/>
      <c r="XZ121" s="1251"/>
      <c r="YA121" s="1251"/>
      <c r="YB121" s="1251"/>
      <c r="YC121" s="1251"/>
      <c r="YD121" s="1251"/>
      <c r="YE121" s="1251"/>
      <c r="YF121" s="1251"/>
      <c r="YG121" s="1251"/>
      <c r="YH121" s="1251"/>
      <c r="YI121" s="1251"/>
      <c r="YJ121" s="1251"/>
      <c r="YK121" s="1251"/>
      <c r="YL121" s="1251"/>
      <c r="YM121" s="1251"/>
      <c r="YN121" s="1251"/>
      <c r="YO121" s="1251"/>
      <c r="YP121" s="1251"/>
      <c r="YQ121" s="1251"/>
      <c r="YR121" s="1251"/>
      <c r="YS121" s="1251"/>
      <c r="YT121" s="1251"/>
      <c r="YU121" s="1251"/>
      <c r="YV121" s="1251"/>
      <c r="YW121" s="1251"/>
      <c r="YX121" s="1251"/>
      <c r="YY121" s="1251"/>
      <c r="YZ121" s="1251"/>
      <c r="ZA121" s="1251"/>
      <c r="ZB121" s="1251"/>
      <c r="ZC121" s="1251"/>
      <c r="ZD121" s="1251"/>
      <c r="ZE121" s="1251"/>
      <c r="ZF121" s="1251"/>
      <c r="ZG121" s="1251"/>
      <c r="ZH121" s="1251"/>
      <c r="ZI121" s="1251"/>
      <c r="ZJ121" s="1251"/>
      <c r="ZK121" s="1251"/>
      <c r="ZL121" s="1251"/>
      <c r="ZM121" s="1251"/>
      <c r="ZN121" s="1251"/>
      <c r="ZO121" s="1251"/>
      <c r="ZP121" s="1251"/>
      <c r="ZQ121" s="1251"/>
      <c r="ZR121" s="1251"/>
      <c r="ZS121" s="1251"/>
      <c r="ZT121" s="1251"/>
      <c r="ZU121" s="1251"/>
      <c r="ZV121" s="1251"/>
      <c r="ZW121" s="1251"/>
      <c r="ZX121" s="1251"/>
      <c r="ZY121" s="1251"/>
      <c r="ZZ121" s="1251"/>
      <c r="AAA121" s="1251"/>
      <c r="AAB121" s="1251"/>
      <c r="AAC121" s="1251"/>
      <c r="AAD121" s="1251"/>
      <c r="AAE121" s="1251"/>
      <c r="AAF121" s="1251"/>
      <c r="AAG121" s="1251"/>
      <c r="AAH121" s="1251"/>
      <c r="AAI121" s="1251"/>
      <c r="AAJ121" s="1251"/>
      <c r="AAK121" s="1251"/>
      <c r="AAL121" s="1251"/>
      <c r="AAM121" s="1251"/>
      <c r="AAN121" s="1251"/>
      <c r="AAO121" s="1251"/>
      <c r="AAP121" s="1251"/>
      <c r="AAQ121" s="1251"/>
      <c r="AAR121" s="1251"/>
      <c r="AAS121" s="1251"/>
      <c r="AAT121" s="1251"/>
      <c r="AAU121" s="1251"/>
      <c r="AAV121" s="1251"/>
      <c r="AAW121" s="1251"/>
      <c r="AAX121" s="1251"/>
      <c r="AAY121" s="1251"/>
      <c r="AAZ121" s="1251"/>
      <c r="ABA121" s="1251"/>
      <c r="ABB121" s="1251"/>
      <c r="ABC121" s="1251"/>
      <c r="ABD121" s="1251"/>
      <c r="ABE121" s="1251"/>
      <c r="ABF121" s="1251"/>
      <c r="ABG121" s="1251"/>
      <c r="ABH121" s="1251"/>
      <c r="ABI121" s="1251"/>
      <c r="ABJ121" s="1251"/>
      <c r="ABK121" s="1251"/>
      <c r="ABL121" s="1251"/>
      <c r="ABM121" s="1251"/>
      <c r="ABN121" s="1251"/>
      <c r="ABO121" s="1251"/>
      <c r="ABP121" s="1251"/>
      <c r="ABQ121" s="1251"/>
      <c r="ABR121" s="1251"/>
      <c r="ABS121" s="1251"/>
      <c r="ABT121" s="1251"/>
      <c r="ABU121" s="1251"/>
      <c r="ABV121" s="1251"/>
      <c r="ABW121" s="1251"/>
      <c r="ABX121" s="1251"/>
      <c r="ABY121" s="1251"/>
      <c r="ABZ121" s="1251"/>
      <c r="ACA121" s="1251"/>
      <c r="ACB121" s="1251"/>
      <c r="ACC121" s="1251"/>
      <c r="ACD121" s="1251"/>
      <c r="ACE121" s="1251"/>
      <c r="ACF121" s="1251"/>
      <c r="ACG121" s="1251"/>
      <c r="ACH121" s="1251"/>
      <c r="ACI121" s="1251"/>
      <c r="ACJ121" s="1251"/>
      <c r="ACK121" s="1251"/>
      <c r="ACL121" s="1251"/>
      <c r="ACM121" s="1251"/>
      <c r="ACN121" s="1251"/>
      <c r="ACO121" s="1251"/>
      <c r="ACP121" s="1251"/>
      <c r="ACQ121" s="1251"/>
      <c r="ACR121" s="1251"/>
      <c r="ACS121" s="1251"/>
      <c r="ACT121" s="1251"/>
      <c r="ACU121" s="1251"/>
      <c r="ACV121" s="1251"/>
      <c r="ACW121" s="1251"/>
      <c r="ACX121" s="1251"/>
      <c r="ACY121" s="1251"/>
      <c r="ACZ121" s="1251"/>
      <c r="ADA121" s="1251"/>
      <c r="ADB121" s="1251"/>
      <c r="ADC121" s="1251"/>
      <c r="ADD121" s="1251"/>
      <c r="ADE121" s="1251"/>
      <c r="ADF121" s="1251"/>
      <c r="ADG121" s="1251"/>
      <c r="ADH121" s="1251"/>
      <c r="ADI121" s="1251"/>
      <c r="ADJ121" s="1251"/>
      <c r="ADK121" s="1251"/>
      <c r="ADL121" s="1251"/>
      <c r="ADM121" s="1251"/>
      <c r="ADN121" s="1251"/>
      <c r="ADO121" s="1251"/>
      <c r="ADP121" s="1251"/>
      <c r="ADQ121" s="1251"/>
      <c r="ADR121" s="1251"/>
      <c r="ADS121" s="1251"/>
      <c r="ADT121" s="1251"/>
      <c r="ADU121" s="1251"/>
      <c r="ADV121" s="1251"/>
      <c r="ADW121" s="1251"/>
      <c r="ADX121" s="1251"/>
      <c r="ADY121" s="1251"/>
      <c r="ADZ121" s="1251"/>
      <c r="AEA121" s="1251"/>
      <c r="AEB121" s="1251"/>
      <c r="AEC121" s="1251"/>
      <c r="AED121" s="1251"/>
      <c r="AEE121" s="1251"/>
      <c r="AEF121" s="1251"/>
      <c r="AEG121" s="1251"/>
      <c r="AEH121" s="1251"/>
      <c r="AEI121" s="1251"/>
      <c r="AEJ121" s="1251"/>
      <c r="AEK121" s="1251"/>
      <c r="AEL121" s="1251"/>
      <c r="AEM121" s="1251"/>
      <c r="AEN121" s="1251"/>
      <c r="AEO121" s="1251"/>
      <c r="AEP121" s="1251"/>
      <c r="AEQ121" s="1251"/>
      <c r="AER121" s="1251"/>
      <c r="AES121" s="1251"/>
      <c r="AET121" s="1251"/>
      <c r="AEU121" s="1251"/>
      <c r="AEV121" s="1251"/>
      <c r="AEW121" s="1251"/>
      <c r="AEX121" s="1251"/>
      <c r="AEY121" s="1251"/>
      <c r="AEZ121" s="1251"/>
      <c r="AFA121" s="1251"/>
      <c r="AFB121" s="1251"/>
      <c r="AFC121" s="1251"/>
      <c r="AFD121" s="1251"/>
      <c r="AFE121" s="1251"/>
      <c r="AFF121" s="1251"/>
      <c r="AFG121" s="1251"/>
      <c r="AFH121" s="1251"/>
      <c r="AFI121" s="1251"/>
      <c r="AFJ121" s="1251"/>
      <c r="AFK121" s="1251"/>
      <c r="AFL121" s="1251"/>
      <c r="AFM121" s="1251"/>
      <c r="AFN121" s="1251"/>
      <c r="AFO121" s="1251"/>
      <c r="AFP121" s="1251"/>
      <c r="AFQ121" s="1251"/>
      <c r="AFR121" s="1251"/>
      <c r="AFS121" s="1251"/>
      <c r="AFT121" s="1251"/>
      <c r="AFU121" s="1251"/>
      <c r="AFV121" s="1251"/>
      <c r="AFW121" s="1251"/>
      <c r="AFX121" s="1251"/>
      <c r="AFY121" s="1251"/>
      <c r="AFZ121" s="1251"/>
      <c r="AGA121" s="1251"/>
      <c r="AGB121" s="1251"/>
      <c r="AGC121" s="1251"/>
      <c r="AGD121" s="1251"/>
      <c r="AGE121" s="1251"/>
      <c r="AGF121" s="1251"/>
      <c r="AGG121" s="1251"/>
      <c r="AGH121" s="1251"/>
      <c r="AGI121" s="1251"/>
      <c r="AGJ121" s="1251"/>
      <c r="AGK121" s="1251"/>
      <c r="AGL121" s="1251"/>
      <c r="AGM121" s="1251"/>
      <c r="AGN121" s="1251"/>
      <c r="AGO121" s="1251"/>
      <c r="AGP121" s="1251"/>
      <c r="AGQ121" s="1251"/>
      <c r="AGR121" s="1251"/>
      <c r="AGS121" s="1251"/>
      <c r="AGT121" s="1251"/>
      <c r="AGU121" s="1251"/>
      <c r="AGV121" s="1251"/>
      <c r="AGW121" s="1251"/>
      <c r="AGX121" s="1251"/>
      <c r="AGY121" s="1251"/>
      <c r="AGZ121" s="1251"/>
      <c r="AHA121" s="1251"/>
      <c r="AHB121" s="1251"/>
      <c r="AHC121" s="1251"/>
      <c r="AHD121" s="1251"/>
      <c r="AHE121" s="1251"/>
      <c r="AHF121" s="1251"/>
      <c r="AHG121" s="1251"/>
      <c r="AHH121" s="1251"/>
      <c r="AHI121" s="1251"/>
      <c r="AHJ121" s="1251"/>
      <c r="AHK121" s="1251"/>
      <c r="AHL121" s="1251"/>
      <c r="AHM121" s="1251"/>
      <c r="AHN121" s="1251"/>
      <c r="AHO121" s="1251"/>
      <c r="AHP121" s="1251"/>
      <c r="AHQ121" s="1251"/>
      <c r="AHR121" s="1251"/>
      <c r="AHS121" s="1251"/>
      <c r="AHT121" s="1251"/>
      <c r="AHU121" s="1251"/>
      <c r="AHV121" s="1251"/>
      <c r="AHW121" s="1251"/>
      <c r="AHX121" s="1251"/>
      <c r="AHY121" s="1251"/>
      <c r="AHZ121" s="1251"/>
      <c r="AIA121" s="1251"/>
      <c r="AIB121" s="1251"/>
      <c r="AIC121" s="1251"/>
      <c r="AID121" s="1251"/>
      <c r="AIE121" s="1251"/>
      <c r="AIF121" s="1251"/>
      <c r="AIG121" s="1251"/>
      <c r="AIH121" s="1251"/>
      <c r="AII121" s="1251"/>
      <c r="AIJ121" s="1251"/>
      <c r="AIK121" s="1251"/>
      <c r="AIL121" s="1251"/>
      <c r="AIM121" s="1251"/>
      <c r="AIN121" s="1251"/>
      <c r="AIO121" s="1251"/>
      <c r="AIP121" s="1251"/>
      <c r="AIQ121" s="1251"/>
      <c r="AIR121" s="1251"/>
      <c r="AIS121" s="1251"/>
      <c r="AIT121" s="1251"/>
      <c r="AIU121" s="1251"/>
      <c r="AIV121" s="1251"/>
      <c r="AIW121" s="1251"/>
      <c r="AIX121" s="1251"/>
      <c r="AIY121" s="1251"/>
      <c r="AIZ121" s="1251"/>
      <c r="AJA121" s="1251"/>
      <c r="AJB121" s="1251"/>
      <c r="AJC121" s="1251"/>
      <c r="AJD121" s="1251"/>
      <c r="AJE121" s="1251"/>
      <c r="AJF121" s="1251"/>
      <c r="AJG121" s="1251"/>
      <c r="AJH121" s="1251"/>
      <c r="AJI121" s="1251"/>
      <c r="AJJ121" s="1251"/>
      <c r="AJK121" s="1251"/>
      <c r="AJL121" s="1251"/>
      <c r="AJM121" s="1251"/>
      <c r="AJN121" s="1251"/>
      <c r="AJO121" s="1251"/>
      <c r="AJP121" s="1251"/>
      <c r="AJQ121" s="1251"/>
      <c r="AJR121" s="1251"/>
      <c r="AJS121" s="1251"/>
      <c r="AJT121" s="1251"/>
      <c r="AJU121" s="1251"/>
      <c r="AJV121" s="1251"/>
      <c r="AJW121" s="1251"/>
      <c r="AJX121" s="1251"/>
      <c r="AJY121" s="1251"/>
      <c r="AJZ121" s="1251"/>
      <c r="AKA121" s="1251"/>
      <c r="AKB121" s="1251"/>
      <c r="AKC121" s="1251"/>
      <c r="AKD121" s="1251"/>
      <c r="AKE121" s="1251"/>
      <c r="AKF121" s="1251"/>
      <c r="AKG121" s="1251"/>
      <c r="AKH121" s="1251"/>
      <c r="AKI121" s="1251"/>
      <c r="AKJ121" s="1251"/>
      <c r="AKK121" s="1251"/>
      <c r="AKL121" s="1251"/>
      <c r="AKM121" s="1251"/>
      <c r="AKN121" s="1251"/>
      <c r="AKO121" s="1251"/>
      <c r="AKP121" s="1251"/>
      <c r="AKQ121" s="1251"/>
      <c r="AKR121" s="1251"/>
      <c r="AKS121" s="1251"/>
      <c r="AKT121" s="1251"/>
      <c r="AKU121" s="1251"/>
      <c r="AKV121" s="1251"/>
      <c r="AKW121" s="1251"/>
      <c r="AKX121" s="1251"/>
      <c r="AKY121" s="1251"/>
      <c r="AKZ121" s="1251"/>
      <c r="ALA121" s="1251"/>
      <c r="ALB121" s="1251"/>
      <c r="ALC121" s="1251"/>
      <c r="ALD121" s="1251"/>
      <c r="ALE121" s="1251"/>
      <c r="ALF121" s="1251"/>
      <c r="ALG121" s="1251"/>
      <c r="ALH121" s="1251"/>
      <c r="ALI121" s="1251"/>
      <c r="ALJ121" s="1251"/>
      <c r="ALK121" s="1251"/>
      <c r="ALL121" s="1251"/>
      <c r="ALM121" s="1251"/>
      <c r="ALN121" s="1251"/>
      <c r="ALO121" s="1251"/>
      <c r="ALP121" s="1251"/>
      <c r="ALQ121" s="1251"/>
      <c r="ALR121" s="1251"/>
      <c r="ALS121" s="1251"/>
      <c r="ALT121" s="1251"/>
      <c r="ALU121" s="1251"/>
      <c r="ALV121" s="1251"/>
      <c r="ALW121" s="1251"/>
      <c r="ALX121" s="1251"/>
      <c r="ALY121" s="1251"/>
      <c r="ALZ121" s="1251"/>
      <c r="AMA121" s="1251"/>
      <c r="AMB121" s="1251"/>
      <c r="AMC121" s="1251"/>
      <c r="AMD121" s="1251"/>
      <c r="AME121" s="1251"/>
      <c r="AMF121" s="1251"/>
      <c r="AMG121" s="1251"/>
      <c r="AMH121" s="1251"/>
      <c r="AMI121" s="1251"/>
      <c r="AMJ121" s="1251"/>
      <c r="AMK121" s="1251"/>
      <c r="AML121" s="1251"/>
      <c r="AMM121" s="1251"/>
      <c r="AMN121" s="1251"/>
      <c r="AMO121" s="1251"/>
      <c r="AMP121" s="1251"/>
      <c r="AMQ121" s="1251"/>
      <c r="AMR121" s="1251"/>
      <c r="AMS121" s="1251"/>
      <c r="AMT121" s="1251"/>
      <c r="AMU121" s="1251"/>
      <c r="AMV121" s="1251"/>
      <c r="AMW121" s="1251"/>
      <c r="AMX121" s="1251"/>
      <c r="AMY121" s="1251"/>
      <c r="AMZ121" s="1251"/>
      <c r="ANA121" s="1251"/>
      <c r="ANB121" s="1251"/>
      <c r="ANC121" s="1251"/>
      <c r="AND121" s="1251"/>
      <c r="ANE121" s="1251"/>
      <c r="ANF121" s="1251"/>
      <c r="ANG121" s="1251"/>
      <c r="ANH121" s="1251"/>
      <c r="ANI121" s="1251"/>
      <c r="ANJ121" s="1251"/>
      <c r="ANK121" s="1251"/>
      <c r="ANL121" s="1251"/>
      <c r="ANM121" s="1251"/>
      <c r="ANN121" s="1251"/>
      <c r="ANO121" s="1251"/>
      <c r="ANP121" s="1251"/>
      <c r="ANQ121" s="1251"/>
      <c r="ANR121" s="1251"/>
      <c r="ANS121" s="1251"/>
      <c r="ANT121" s="1251"/>
      <c r="ANU121" s="1251"/>
      <c r="ANV121" s="1251"/>
      <c r="ANW121" s="1251"/>
      <c r="ANX121" s="1251"/>
      <c r="ANY121" s="1251"/>
      <c r="ANZ121" s="1251"/>
      <c r="AOA121" s="1251"/>
      <c r="AOB121" s="1251"/>
      <c r="AOC121" s="1251"/>
      <c r="AOD121" s="1251"/>
      <c r="AOE121" s="1251"/>
      <c r="AOF121" s="1251"/>
      <c r="AOG121" s="1251"/>
      <c r="AOH121" s="1251"/>
      <c r="AOI121" s="1251"/>
      <c r="AOJ121" s="1251"/>
      <c r="AOK121" s="1251"/>
      <c r="AOL121" s="1251"/>
      <c r="AOM121" s="1251"/>
      <c r="AON121" s="1251"/>
      <c r="AOO121" s="1251"/>
      <c r="AOP121" s="1251"/>
      <c r="AOQ121" s="1251"/>
      <c r="AOR121" s="1251"/>
      <c r="AOS121" s="1251"/>
      <c r="AOT121" s="1251"/>
      <c r="AOU121" s="1251"/>
      <c r="AOV121" s="1251"/>
      <c r="AOW121" s="1251"/>
      <c r="AOX121" s="1251"/>
      <c r="AOY121" s="1251"/>
      <c r="AOZ121" s="1251"/>
      <c r="APA121" s="1251"/>
      <c r="APB121" s="1251"/>
      <c r="APC121" s="1251"/>
      <c r="APD121" s="1251"/>
      <c r="APE121" s="1251"/>
      <c r="APF121" s="1251"/>
      <c r="APG121" s="1251"/>
      <c r="APH121" s="1251"/>
      <c r="API121" s="1251"/>
      <c r="APJ121" s="1251"/>
      <c r="APK121" s="1251"/>
      <c r="APL121" s="1251"/>
      <c r="APM121" s="1251"/>
      <c r="APN121" s="1251"/>
      <c r="APO121" s="1251"/>
      <c r="APP121" s="1251"/>
      <c r="APQ121" s="1251"/>
      <c r="APR121" s="1251"/>
      <c r="APS121" s="1251"/>
      <c r="APT121" s="1251"/>
      <c r="APU121" s="1251"/>
      <c r="APV121" s="1251"/>
      <c r="APW121" s="1251"/>
      <c r="APX121" s="1251"/>
      <c r="APY121" s="1251"/>
      <c r="APZ121" s="1251"/>
      <c r="AQA121" s="1251"/>
      <c r="AQB121" s="1251"/>
      <c r="AQC121" s="1251"/>
      <c r="AQD121" s="1251"/>
      <c r="AQE121" s="1251"/>
      <c r="AQF121" s="1251"/>
      <c r="AQG121" s="1251"/>
      <c r="AQH121" s="1251"/>
      <c r="AQI121" s="1251"/>
      <c r="AQJ121" s="1251"/>
      <c r="AQK121" s="1251"/>
      <c r="AQL121" s="1251"/>
      <c r="AQM121" s="1251"/>
      <c r="AQN121" s="1251"/>
      <c r="AQO121" s="1251"/>
      <c r="AQP121" s="1251"/>
      <c r="AQQ121" s="1251"/>
      <c r="AQR121" s="1251"/>
      <c r="AQS121" s="1251"/>
      <c r="AQT121" s="1251"/>
      <c r="AQU121" s="1251"/>
      <c r="AQV121" s="1251"/>
      <c r="AQW121" s="1251"/>
      <c r="AQX121" s="1251"/>
      <c r="AQY121" s="1251"/>
      <c r="AQZ121" s="1251"/>
      <c r="ARA121" s="1251"/>
      <c r="ARB121" s="1251"/>
      <c r="ARC121" s="1251"/>
      <c r="ARD121" s="1251"/>
      <c r="ARE121" s="1251"/>
      <c r="ARF121" s="1251"/>
      <c r="ARG121" s="1251"/>
      <c r="ARH121" s="1251"/>
      <c r="ARI121" s="1251"/>
      <c r="ARJ121" s="1251"/>
      <c r="ARK121" s="1251"/>
      <c r="ARL121" s="1251"/>
      <c r="ARM121" s="1251"/>
      <c r="ARN121" s="1251"/>
      <c r="ARO121" s="1251"/>
      <c r="ARP121" s="1251"/>
      <c r="ARQ121" s="1251"/>
      <c r="ARR121" s="1251"/>
      <c r="ARS121" s="1251"/>
      <c r="ART121" s="1251"/>
      <c r="ARU121" s="1251"/>
      <c r="ARV121" s="1251"/>
      <c r="ARW121" s="1251"/>
      <c r="ARX121" s="1251"/>
      <c r="ARY121" s="1251"/>
      <c r="ARZ121" s="1251"/>
      <c r="ASA121" s="1251"/>
      <c r="ASB121" s="1251"/>
      <c r="ASC121" s="1251"/>
      <c r="ASD121" s="1251"/>
      <c r="ASE121" s="1251"/>
      <c r="ASF121" s="1251"/>
      <c r="ASG121" s="1251"/>
      <c r="ASH121" s="1251"/>
      <c r="ASI121" s="1251"/>
      <c r="ASJ121" s="1251"/>
      <c r="ASK121" s="1251"/>
      <c r="ASL121" s="1251"/>
      <c r="ASM121" s="1251"/>
      <c r="ASN121" s="1251"/>
      <c r="ASO121" s="1251"/>
      <c r="ASP121" s="1251"/>
      <c r="ASQ121" s="1251"/>
      <c r="ASR121" s="1251"/>
      <c r="ASS121" s="1251"/>
      <c r="AST121" s="1251"/>
      <c r="ASU121" s="1251"/>
      <c r="ASV121" s="1251"/>
      <c r="ASW121" s="1251"/>
      <c r="ASX121" s="1251"/>
      <c r="ASY121" s="1251"/>
      <c r="ASZ121" s="1251"/>
      <c r="ATA121" s="1251"/>
      <c r="ATB121" s="1251"/>
      <c r="ATC121" s="1251"/>
      <c r="ATD121" s="1251"/>
      <c r="ATE121" s="1251"/>
      <c r="ATF121" s="1251"/>
      <c r="ATG121" s="1251"/>
      <c r="ATH121" s="1251"/>
      <c r="ATI121" s="1251"/>
      <c r="ATJ121" s="1251"/>
      <c r="ATK121" s="1251"/>
      <c r="ATL121" s="1251"/>
      <c r="ATM121" s="1251"/>
      <c r="ATN121" s="1251"/>
      <c r="ATO121" s="1251"/>
      <c r="ATP121" s="1251"/>
      <c r="ATQ121" s="1251"/>
      <c r="ATR121" s="1251"/>
      <c r="ATS121" s="1251"/>
      <c r="ATT121" s="1251"/>
      <c r="ATU121" s="1251"/>
      <c r="ATV121" s="1251"/>
      <c r="ATW121" s="1251"/>
      <c r="ATX121" s="1251"/>
      <c r="ATY121" s="1251"/>
      <c r="ATZ121" s="1251"/>
      <c r="AUA121" s="1251"/>
      <c r="AUB121" s="1251"/>
      <c r="AUC121" s="1251"/>
      <c r="AUD121" s="1251"/>
      <c r="AUE121" s="1251"/>
      <c r="AUF121" s="1251"/>
      <c r="AUG121" s="1251"/>
      <c r="AUH121" s="1251"/>
      <c r="AUI121" s="1251"/>
      <c r="AUJ121" s="1251"/>
      <c r="AUK121" s="1251"/>
      <c r="AUL121" s="1251"/>
      <c r="AUM121" s="1251"/>
      <c r="AUN121" s="1251"/>
      <c r="AUO121" s="1251"/>
      <c r="AUP121" s="1251"/>
      <c r="AUQ121" s="1251"/>
      <c r="AUR121" s="1251"/>
      <c r="AUS121" s="1251"/>
      <c r="AUT121" s="1251"/>
      <c r="AUU121" s="1251"/>
      <c r="AUV121" s="1251"/>
      <c r="AUW121" s="1251"/>
      <c r="AUX121" s="1251"/>
      <c r="AUY121" s="1251"/>
      <c r="AUZ121" s="1251"/>
      <c r="AVA121" s="1251"/>
      <c r="AVB121" s="1251"/>
      <c r="AVC121" s="1251"/>
      <c r="AVD121" s="1251"/>
      <c r="AVE121" s="1251"/>
      <c r="AVF121" s="1251"/>
      <c r="AVG121" s="1251"/>
      <c r="AVH121" s="1251"/>
      <c r="AVI121" s="1251"/>
      <c r="AVJ121" s="1251"/>
      <c r="AVK121" s="1251"/>
      <c r="AVL121" s="1251"/>
      <c r="AVM121" s="1251"/>
      <c r="AVN121" s="1251"/>
      <c r="AVO121" s="1251"/>
      <c r="AVP121" s="1251"/>
      <c r="AVQ121" s="1251"/>
      <c r="AVR121" s="1251"/>
      <c r="AVS121" s="1251"/>
      <c r="AVT121" s="1251"/>
      <c r="AVU121" s="1251"/>
      <c r="AVV121" s="1251"/>
      <c r="AVW121" s="1251"/>
      <c r="AVX121" s="1251"/>
      <c r="AVY121" s="1251"/>
      <c r="AVZ121" s="1251"/>
      <c r="AWA121" s="1251"/>
      <c r="AWB121" s="1251"/>
      <c r="AWC121" s="1251"/>
      <c r="AWD121" s="1251"/>
      <c r="AWE121" s="1251"/>
      <c r="AWF121" s="1251"/>
      <c r="AWG121" s="1251"/>
      <c r="AWH121" s="1251"/>
      <c r="AWI121" s="1251"/>
      <c r="AWJ121" s="1251"/>
      <c r="AWK121" s="1251"/>
      <c r="AWL121" s="1251"/>
      <c r="AWM121" s="1251"/>
      <c r="AWN121" s="1251"/>
      <c r="AWO121" s="1251"/>
      <c r="AWP121" s="1251"/>
      <c r="AWQ121" s="1251"/>
      <c r="AWR121" s="1251"/>
      <c r="AWS121" s="1251"/>
      <c r="AWT121" s="1251"/>
      <c r="AWU121" s="1251"/>
      <c r="AWV121" s="1251"/>
      <c r="AWW121" s="1251"/>
      <c r="AWX121" s="1251"/>
      <c r="AWY121" s="1251"/>
      <c r="AWZ121" s="1251"/>
      <c r="AXA121" s="1251"/>
      <c r="AXB121" s="1251"/>
      <c r="AXC121" s="1251"/>
      <c r="AXD121" s="1251"/>
      <c r="AXE121" s="1251"/>
      <c r="AXF121" s="1251"/>
      <c r="AXG121" s="1251"/>
      <c r="AXH121" s="1251"/>
      <c r="AXI121" s="1251"/>
      <c r="AXJ121" s="1251"/>
      <c r="AXK121" s="1251"/>
      <c r="AXL121" s="1251"/>
      <c r="AXM121" s="1251"/>
      <c r="AXN121" s="1251"/>
      <c r="AXO121" s="1251"/>
      <c r="AXP121" s="1251"/>
      <c r="AXQ121" s="1251"/>
      <c r="AXR121" s="1251"/>
      <c r="AXS121" s="1251"/>
      <c r="AXT121" s="1251"/>
      <c r="AXU121" s="1251"/>
      <c r="AXV121" s="1251"/>
      <c r="AXW121" s="1251"/>
      <c r="AXX121" s="1251"/>
      <c r="AXY121" s="1251"/>
      <c r="AXZ121" s="1251"/>
      <c r="AYA121" s="1251"/>
      <c r="AYB121" s="1251"/>
      <c r="AYC121" s="1251"/>
      <c r="AYD121" s="1251"/>
      <c r="AYE121" s="1251"/>
      <c r="AYF121" s="1251"/>
      <c r="AYG121" s="1251"/>
      <c r="AYH121" s="1251"/>
      <c r="AYI121" s="1251"/>
      <c r="AYJ121" s="1251"/>
      <c r="AYK121" s="1251"/>
      <c r="AYL121" s="1251"/>
      <c r="AYM121" s="1251"/>
      <c r="AYN121" s="1251"/>
      <c r="AYO121" s="1251"/>
      <c r="AYP121" s="1251"/>
      <c r="AYQ121" s="1251"/>
      <c r="AYR121" s="1251"/>
      <c r="AYS121" s="1251"/>
      <c r="AYT121" s="1251"/>
      <c r="AYU121" s="1251"/>
      <c r="AYV121" s="1251"/>
      <c r="AYW121" s="1251"/>
      <c r="AYX121" s="1251"/>
      <c r="AYY121" s="1251"/>
      <c r="AYZ121" s="1251"/>
      <c r="AZA121" s="1251"/>
      <c r="AZB121" s="1251"/>
      <c r="AZC121" s="1251"/>
      <c r="AZD121" s="1251"/>
      <c r="AZE121" s="1251"/>
      <c r="AZF121" s="1251"/>
      <c r="AZG121" s="1251"/>
      <c r="AZH121" s="1251"/>
      <c r="AZI121" s="1251"/>
      <c r="AZJ121" s="1251"/>
      <c r="AZK121" s="1251"/>
      <c r="AZL121" s="1251"/>
      <c r="AZM121" s="1251"/>
      <c r="AZN121" s="1251"/>
      <c r="AZO121" s="1251"/>
      <c r="AZP121" s="1251"/>
      <c r="AZQ121" s="1251"/>
      <c r="AZR121" s="1251"/>
      <c r="AZS121" s="1251"/>
      <c r="AZT121" s="1251"/>
      <c r="AZU121" s="1251"/>
      <c r="AZV121" s="1251"/>
      <c r="AZW121" s="1251"/>
      <c r="AZX121" s="1251"/>
      <c r="AZY121" s="1251"/>
      <c r="AZZ121" s="1251"/>
      <c r="BAA121" s="1251"/>
      <c r="BAB121" s="1251"/>
      <c r="BAC121" s="1251"/>
      <c r="BAD121" s="1251"/>
      <c r="BAE121" s="1251"/>
      <c r="BAF121" s="1251"/>
      <c r="BAG121" s="1251"/>
      <c r="BAH121" s="1251"/>
      <c r="BAI121" s="1251"/>
      <c r="BAJ121" s="1251"/>
      <c r="BAK121" s="1251"/>
      <c r="BAL121" s="1251"/>
      <c r="BAM121" s="1251"/>
      <c r="BAN121" s="1251"/>
      <c r="BAO121" s="1251"/>
      <c r="BAP121" s="1251"/>
      <c r="BAQ121" s="1251"/>
      <c r="BAR121" s="1251"/>
      <c r="BAS121" s="1251"/>
      <c r="BAT121" s="1251"/>
      <c r="BAU121" s="1251"/>
      <c r="BAV121" s="1251"/>
      <c r="BAW121" s="1251"/>
      <c r="BAX121" s="1251"/>
      <c r="BAY121" s="1251"/>
      <c r="BAZ121" s="1251"/>
      <c r="BBA121" s="1251"/>
      <c r="BBB121" s="1251"/>
      <c r="BBC121" s="1251"/>
      <c r="BBD121" s="1251"/>
      <c r="BBE121" s="1251"/>
      <c r="BBF121" s="1251"/>
      <c r="BBG121" s="1251"/>
      <c r="BBH121" s="1251"/>
      <c r="BBI121" s="1251"/>
      <c r="BBJ121" s="1251"/>
      <c r="BBK121" s="1251"/>
      <c r="BBL121" s="1251"/>
      <c r="BBM121" s="1251"/>
      <c r="BBN121" s="1251"/>
      <c r="BBO121" s="1251"/>
      <c r="BBP121" s="1251"/>
      <c r="BBQ121" s="1251"/>
      <c r="BBR121" s="1251"/>
      <c r="BBS121" s="1251"/>
      <c r="BBT121" s="1251"/>
      <c r="BBU121" s="1251"/>
      <c r="BBV121" s="1251"/>
      <c r="BBW121" s="1251"/>
      <c r="BBX121" s="1251"/>
      <c r="BBY121" s="1251"/>
      <c r="BBZ121" s="1251"/>
      <c r="BCA121" s="1251"/>
      <c r="BCB121" s="1251"/>
      <c r="BCC121" s="1251"/>
      <c r="BCD121" s="1251"/>
      <c r="BCE121" s="1251"/>
      <c r="BCF121" s="1251"/>
      <c r="BCG121" s="1251"/>
      <c r="BCH121" s="1251"/>
      <c r="BCI121" s="1251"/>
      <c r="BCJ121" s="1251"/>
      <c r="BCK121" s="1251"/>
      <c r="BCL121" s="1251"/>
      <c r="BCM121" s="1251"/>
      <c r="BCN121" s="1251"/>
      <c r="BCO121" s="1251"/>
      <c r="BCP121" s="1251"/>
      <c r="BCQ121" s="1251"/>
      <c r="BCR121" s="1251"/>
      <c r="BCS121" s="1251"/>
      <c r="BCT121" s="1251"/>
      <c r="BCU121" s="1251"/>
      <c r="BCV121" s="1251"/>
      <c r="BCW121" s="1251"/>
      <c r="BCX121" s="1251"/>
      <c r="BCY121" s="1251"/>
      <c r="BCZ121" s="1251"/>
      <c r="BDA121" s="1251"/>
      <c r="BDB121" s="1251"/>
      <c r="BDC121" s="1251"/>
      <c r="BDD121" s="1251"/>
      <c r="BDE121" s="1251"/>
      <c r="BDF121" s="1251"/>
      <c r="BDG121" s="1251"/>
      <c r="BDH121" s="1251"/>
      <c r="BDI121" s="1251"/>
      <c r="BDJ121" s="1251"/>
      <c r="BDK121" s="1251"/>
      <c r="BDL121" s="1251"/>
      <c r="BDM121" s="1251"/>
      <c r="BDN121" s="1251"/>
      <c r="BDO121" s="1251"/>
      <c r="BDP121" s="1251"/>
      <c r="BDQ121" s="1251"/>
      <c r="BDR121" s="1251"/>
      <c r="BDS121" s="1251"/>
      <c r="BDT121" s="1251"/>
      <c r="BDU121" s="1251"/>
      <c r="BDV121" s="1251"/>
      <c r="BDW121" s="1251"/>
      <c r="BDX121" s="1251"/>
      <c r="BDY121" s="1251"/>
      <c r="BDZ121" s="1251"/>
      <c r="BEA121" s="1251"/>
      <c r="BEB121" s="1251"/>
      <c r="BEC121" s="1251"/>
      <c r="BED121" s="1251"/>
      <c r="BEE121" s="1251"/>
      <c r="BEF121" s="1251"/>
      <c r="BEG121" s="1251"/>
      <c r="BEH121" s="1251"/>
      <c r="BEI121" s="1251"/>
      <c r="BEJ121" s="1251"/>
      <c r="BEK121" s="1251"/>
      <c r="BEL121" s="1251"/>
      <c r="BEM121" s="1251"/>
      <c r="BEN121" s="1251"/>
      <c r="BEO121" s="1251"/>
      <c r="BEP121" s="1251"/>
      <c r="BEQ121" s="1251"/>
      <c r="BER121" s="1251"/>
      <c r="BES121" s="1251"/>
      <c r="BET121" s="1251"/>
      <c r="BEU121" s="1251"/>
      <c r="BEV121" s="1251"/>
      <c r="BEW121" s="1251"/>
      <c r="BEX121" s="1251"/>
      <c r="BEY121" s="1251"/>
      <c r="BEZ121" s="1251"/>
      <c r="BFA121" s="1251"/>
      <c r="BFB121" s="1251"/>
      <c r="BFC121" s="1251"/>
      <c r="BFD121" s="1251"/>
      <c r="BFE121" s="1251"/>
      <c r="BFF121" s="1251"/>
      <c r="BFG121" s="1251"/>
      <c r="BFH121" s="1251"/>
      <c r="BFI121" s="1251"/>
      <c r="BFJ121" s="1251"/>
      <c r="BFK121" s="1251"/>
      <c r="BFL121" s="1251"/>
      <c r="BFM121" s="1251"/>
      <c r="BFN121" s="1251"/>
      <c r="BFO121" s="1251"/>
      <c r="BFP121" s="1251"/>
      <c r="BFQ121" s="1251"/>
      <c r="BFR121" s="1251"/>
      <c r="BFS121" s="1251"/>
      <c r="BFT121" s="1251"/>
      <c r="BFU121" s="1251"/>
      <c r="BFV121" s="1251"/>
      <c r="BFW121" s="1251"/>
      <c r="BFX121" s="1251"/>
      <c r="BFY121" s="1251"/>
      <c r="BFZ121" s="1251"/>
      <c r="BGA121" s="1251"/>
      <c r="BGB121" s="1251"/>
      <c r="BGC121" s="1251"/>
      <c r="BGD121" s="1251"/>
      <c r="BGE121" s="1251"/>
      <c r="BGF121" s="1251"/>
      <c r="BGG121" s="1251"/>
      <c r="BGH121" s="1251"/>
      <c r="BGI121" s="1251"/>
      <c r="BGJ121" s="1251"/>
      <c r="BGK121" s="1251"/>
      <c r="BGL121" s="1251"/>
      <c r="BGM121" s="1251"/>
      <c r="BGN121" s="1251"/>
      <c r="BGO121" s="1251"/>
      <c r="BGP121" s="1251"/>
      <c r="BGQ121" s="1251"/>
      <c r="BGR121" s="1251"/>
      <c r="BGS121" s="1251"/>
      <c r="BGT121" s="1251"/>
      <c r="BGU121" s="1251"/>
      <c r="BGV121" s="1251"/>
      <c r="BGW121" s="1251"/>
      <c r="BGX121" s="1251"/>
      <c r="BGY121" s="1251"/>
      <c r="BGZ121" s="1251"/>
      <c r="BHA121" s="1251"/>
      <c r="BHB121" s="1251"/>
      <c r="BHC121" s="1251"/>
      <c r="BHD121" s="1251"/>
      <c r="BHE121" s="1251"/>
      <c r="BHF121" s="1251"/>
      <c r="BHG121" s="1251"/>
      <c r="BHH121" s="1251"/>
      <c r="BHI121" s="1251"/>
      <c r="BHJ121" s="1251"/>
      <c r="BHK121" s="1251"/>
      <c r="BHL121" s="1251"/>
      <c r="BHM121" s="1251"/>
      <c r="BHN121" s="1251"/>
      <c r="BHO121" s="1251"/>
      <c r="BHP121" s="1251"/>
      <c r="BHQ121" s="1251"/>
      <c r="BHR121" s="1251"/>
      <c r="BHS121" s="1251"/>
      <c r="BHT121" s="1251"/>
      <c r="BHU121" s="1251"/>
      <c r="BHV121" s="1251"/>
      <c r="BHW121" s="1251"/>
      <c r="BHX121" s="1251"/>
      <c r="BHY121" s="1251"/>
      <c r="BHZ121" s="1251"/>
      <c r="BIA121" s="1251"/>
      <c r="BIB121" s="1251"/>
      <c r="BIC121" s="1251"/>
      <c r="BID121" s="1251"/>
      <c r="BIE121" s="1251"/>
      <c r="BIF121" s="1251"/>
      <c r="BIG121" s="1251"/>
      <c r="BIH121" s="1251"/>
      <c r="BII121" s="1251"/>
      <c r="BIJ121" s="1251"/>
      <c r="BIK121" s="1251"/>
      <c r="BIL121" s="1251"/>
      <c r="BIM121" s="1251"/>
      <c r="BIN121" s="1251"/>
      <c r="BIO121" s="1251"/>
      <c r="BIP121" s="1251"/>
      <c r="BIQ121" s="1251"/>
      <c r="BIR121" s="1251"/>
      <c r="BIS121" s="1251"/>
      <c r="BIT121" s="1251"/>
      <c r="BIU121" s="1251"/>
      <c r="BIV121" s="1251"/>
      <c r="BIW121" s="1251"/>
      <c r="BIX121" s="1251"/>
      <c r="BIY121" s="1251"/>
      <c r="BIZ121" s="1251"/>
      <c r="BJA121" s="1251"/>
      <c r="BJB121" s="1251"/>
      <c r="BJC121" s="1251"/>
      <c r="BJD121" s="1251"/>
      <c r="BJE121" s="1251"/>
      <c r="BJF121" s="1251"/>
      <c r="BJG121" s="1251"/>
      <c r="BJH121" s="1251"/>
      <c r="BJI121" s="1251"/>
      <c r="BJJ121" s="1251"/>
      <c r="BJK121" s="1251"/>
      <c r="BJL121" s="1251"/>
      <c r="BJM121" s="1251"/>
      <c r="BJN121" s="1251"/>
      <c r="BJO121" s="1251"/>
      <c r="BJP121" s="1251"/>
      <c r="BJQ121" s="1251"/>
      <c r="BJR121" s="1251"/>
      <c r="BJS121" s="1251"/>
      <c r="BJT121" s="1251"/>
      <c r="BJU121" s="1251"/>
      <c r="BJV121" s="1251"/>
      <c r="BJW121" s="1251"/>
      <c r="BJX121" s="1251"/>
      <c r="BJY121" s="1251"/>
      <c r="BJZ121" s="1251"/>
      <c r="BKA121" s="1251"/>
      <c r="BKB121" s="1251"/>
      <c r="BKC121" s="1251"/>
      <c r="BKD121" s="1251"/>
      <c r="BKE121" s="1251"/>
      <c r="BKF121" s="1251"/>
      <c r="BKG121" s="1251"/>
      <c r="BKH121" s="1251"/>
      <c r="BKI121" s="1251"/>
      <c r="BKJ121" s="1251"/>
      <c r="BKK121" s="1251"/>
      <c r="BKL121" s="1251"/>
      <c r="BKM121" s="1251"/>
      <c r="BKN121" s="1251"/>
      <c r="BKO121" s="1251"/>
      <c r="BKP121" s="1251"/>
      <c r="BKQ121" s="1251"/>
      <c r="BKR121" s="1251"/>
      <c r="BKS121" s="1251"/>
      <c r="BKT121" s="1251"/>
      <c r="BKU121" s="1251"/>
      <c r="BKV121" s="1251"/>
      <c r="BKW121" s="1251"/>
      <c r="BKX121" s="1251"/>
      <c r="BKY121" s="1251"/>
      <c r="BKZ121" s="1251"/>
      <c r="BLA121" s="1251"/>
      <c r="BLB121" s="1251"/>
      <c r="BLC121" s="1251"/>
      <c r="BLD121" s="1251"/>
      <c r="BLE121" s="1251"/>
      <c r="BLF121" s="1251"/>
      <c r="BLG121" s="1251"/>
      <c r="BLH121" s="1251"/>
      <c r="BLI121" s="1251"/>
      <c r="BLJ121" s="1251"/>
      <c r="BLK121" s="1251"/>
      <c r="BLL121" s="1251"/>
      <c r="BLM121" s="1251"/>
      <c r="BLN121" s="1251"/>
      <c r="BLO121" s="1251"/>
      <c r="BLP121" s="1251"/>
      <c r="BLQ121" s="1251"/>
      <c r="BLR121" s="1251"/>
      <c r="BLS121" s="1251"/>
      <c r="BLT121" s="1251"/>
      <c r="BLU121" s="1251"/>
      <c r="BLV121" s="1251"/>
      <c r="BLW121" s="1251"/>
      <c r="BLX121" s="1251"/>
      <c r="BLY121" s="1251"/>
      <c r="BLZ121" s="1251"/>
      <c r="BMA121" s="1251"/>
      <c r="BMB121" s="1251"/>
      <c r="BMC121" s="1251"/>
      <c r="BMD121" s="1251"/>
      <c r="BME121" s="1251"/>
      <c r="BMF121" s="1251"/>
      <c r="BMG121" s="1251"/>
      <c r="BMH121" s="1251"/>
      <c r="BMI121" s="1251"/>
      <c r="BMJ121" s="1251"/>
      <c r="BMK121" s="1251"/>
      <c r="BML121" s="1251"/>
      <c r="BMM121" s="1251"/>
      <c r="BMN121" s="1251"/>
      <c r="BMO121" s="1251"/>
      <c r="BMP121" s="1251"/>
      <c r="BMQ121" s="1251"/>
      <c r="BMR121" s="1251"/>
      <c r="BMS121" s="1251"/>
      <c r="BMT121" s="1251"/>
      <c r="BMU121" s="1251"/>
      <c r="BMV121" s="1251"/>
      <c r="BMW121" s="1251"/>
      <c r="BMX121" s="1251"/>
      <c r="BMY121" s="1251"/>
      <c r="BMZ121" s="1251"/>
      <c r="BNA121" s="1251"/>
      <c r="BNB121" s="1251"/>
      <c r="BNC121" s="1251"/>
      <c r="BND121" s="1251"/>
      <c r="BNE121" s="1251"/>
      <c r="BNF121" s="1251"/>
      <c r="BNG121" s="1251"/>
      <c r="BNH121" s="1251"/>
      <c r="BNI121" s="1251"/>
      <c r="BNJ121" s="1251"/>
      <c r="BNK121" s="1251"/>
      <c r="BNL121" s="1251"/>
      <c r="BNM121" s="1251"/>
      <c r="BNN121" s="1251"/>
      <c r="BNO121" s="1251"/>
      <c r="BNP121" s="1251"/>
      <c r="BNQ121" s="1251"/>
      <c r="BNR121" s="1251"/>
      <c r="BNS121" s="1251"/>
      <c r="BNT121" s="1251"/>
      <c r="BNU121" s="1251"/>
      <c r="BNV121" s="1251"/>
      <c r="BNW121" s="1251"/>
      <c r="BNX121" s="1251"/>
      <c r="BNY121" s="1251"/>
      <c r="BNZ121" s="1251"/>
      <c r="BOA121" s="1251"/>
      <c r="BOB121" s="1251"/>
      <c r="BOC121" s="1251"/>
      <c r="BOD121" s="1251"/>
      <c r="BOE121" s="1251"/>
      <c r="BOF121" s="1251"/>
      <c r="BOG121" s="1251"/>
      <c r="BOH121" s="1251"/>
      <c r="BOI121" s="1251"/>
      <c r="BOJ121" s="1251"/>
      <c r="BOK121" s="1251"/>
      <c r="BOL121" s="1251"/>
      <c r="BOM121" s="1251"/>
      <c r="BON121" s="1251"/>
      <c r="BOO121" s="1251"/>
      <c r="BOP121" s="1251"/>
      <c r="BOQ121" s="1251"/>
      <c r="BOR121" s="1251"/>
      <c r="BOS121" s="1251"/>
      <c r="BOT121" s="1251"/>
      <c r="BOU121" s="1251"/>
      <c r="BOV121" s="1251"/>
      <c r="BOW121" s="1251"/>
      <c r="BOX121" s="1251"/>
      <c r="BOY121" s="1251"/>
      <c r="BOZ121" s="1251"/>
      <c r="BPA121" s="1251"/>
      <c r="BPB121" s="1251"/>
      <c r="BPC121" s="1251"/>
      <c r="BPD121" s="1251"/>
      <c r="BPE121" s="1251"/>
      <c r="BPF121" s="1251"/>
      <c r="BPG121" s="1251"/>
      <c r="BPH121" s="1251"/>
      <c r="BPI121" s="1251"/>
      <c r="BPJ121" s="1251"/>
      <c r="BPK121" s="1251"/>
      <c r="BPL121" s="1251"/>
      <c r="BPM121" s="1251"/>
      <c r="BPN121" s="1251"/>
      <c r="BPO121" s="1251"/>
      <c r="BPP121" s="1251"/>
      <c r="BPQ121" s="1251"/>
      <c r="BPR121" s="1251"/>
      <c r="BPS121" s="1251"/>
      <c r="BPT121" s="1251"/>
      <c r="BPU121" s="1251"/>
      <c r="BPV121" s="1251"/>
      <c r="BPW121" s="1251"/>
      <c r="BPX121" s="1251"/>
      <c r="BPY121" s="1251"/>
      <c r="BPZ121" s="1251"/>
      <c r="BQA121" s="1251"/>
      <c r="BQB121" s="1251"/>
      <c r="BQC121" s="1251"/>
      <c r="BQD121" s="1251"/>
      <c r="BQE121" s="1251"/>
      <c r="BQF121" s="1251"/>
      <c r="BQG121" s="1251"/>
      <c r="BQH121" s="1251"/>
      <c r="BQI121" s="1251"/>
      <c r="BQJ121" s="1251"/>
      <c r="BQK121" s="1251"/>
      <c r="BQL121" s="1251"/>
      <c r="BQM121" s="1251"/>
      <c r="BQN121" s="1251"/>
      <c r="BQO121" s="1251"/>
      <c r="BQP121" s="1251"/>
      <c r="BQQ121" s="1251"/>
      <c r="BQR121" s="1251"/>
      <c r="BQS121" s="1251"/>
      <c r="BQT121" s="1251"/>
      <c r="BQU121" s="1251"/>
      <c r="BQV121" s="1251"/>
      <c r="BQW121" s="1251"/>
      <c r="BQX121" s="1251"/>
      <c r="BQY121" s="1251"/>
      <c r="BQZ121" s="1251"/>
      <c r="BRA121" s="1251"/>
      <c r="BRB121" s="1251"/>
      <c r="BRC121" s="1251"/>
      <c r="BRD121" s="1251"/>
      <c r="BRE121" s="1251"/>
      <c r="BRF121" s="1251"/>
      <c r="BRG121" s="1251"/>
      <c r="BRH121" s="1251"/>
      <c r="BRI121" s="1251"/>
      <c r="BRJ121" s="1251"/>
      <c r="BRK121" s="1251"/>
      <c r="BRL121" s="1251"/>
      <c r="BRM121" s="1251"/>
      <c r="BRN121" s="1251"/>
      <c r="BRO121" s="1251"/>
      <c r="BRP121" s="1251"/>
      <c r="BRQ121" s="1251"/>
      <c r="BRR121" s="1251"/>
      <c r="BRS121" s="1251"/>
      <c r="BRT121" s="1251"/>
      <c r="BRU121" s="1251"/>
      <c r="BRV121" s="1251"/>
      <c r="BRW121" s="1251"/>
      <c r="BRX121" s="1251"/>
      <c r="BRY121" s="1251"/>
      <c r="BRZ121" s="1251"/>
      <c r="BSA121" s="1251"/>
      <c r="BSB121" s="1251"/>
      <c r="BSC121" s="1251"/>
      <c r="BSD121" s="1251"/>
      <c r="BSE121" s="1251"/>
      <c r="BSF121" s="1251"/>
      <c r="BSG121" s="1251"/>
      <c r="BSH121" s="1251"/>
      <c r="BSI121" s="1251"/>
      <c r="BSJ121" s="1251"/>
      <c r="BSK121" s="1251"/>
      <c r="BSL121" s="1251"/>
      <c r="BSM121" s="1251"/>
      <c r="BSN121" s="1251"/>
      <c r="BSO121" s="1251"/>
      <c r="BSP121" s="1251"/>
      <c r="BSQ121" s="1251"/>
      <c r="BSR121" s="1251"/>
      <c r="BSS121" s="1251"/>
      <c r="BST121" s="1251"/>
      <c r="BSU121" s="1251"/>
      <c r="BSV121" s="1251"/>
      <c r="BSW121" s="1251"/>
      <c r="BSX121" s="1251"/>
      <c r="BSY121" s="1251"/>
      <c r="BSZ121" s="1251"/>
      <c r="BTA121" s="1251"/>
      <c r="BTB121" s="1251"/>
      <c r="BTC121" s="1251"/>
      <c r="BTD121" s="1251"/>
      <c r="BTE121" s="1251"/>
      <c r="BTF121" s="1251"/>
      <c r="BTG121" s="1251"/>
      <c r="BTH121" s="1251"/>
      <c r="BTI121" s="1251"/>
    </row>
    <row r="122" spans="1:1881" s="1261" customFormat="1" hidden="1" x14ac:dyDescent="0.3">
      <c r="A122" s="1251"/>
      <c r="B122" s="661"/>
      <c r="C122" s="661"/>
      <c r="E122" s="1249"/>
      <c r="G122" s="795"/>
      <c r="H122" s="593"/>
      <c r="J122" s="1251"/>
      <c r="K122" s="1251"/>
      <c r="L122" s="1251"/>
      <c r="M122" s="1251"/>
      <c r="N122" s="1253"/>
      <c r="O122" s="1251"/>
      <c r="P122" s="1251"/>
      <c r="Q122" s="1251"/>
      <c r="R122" s="1251"/>
      <c r="S122" s="1251"/>
      <c r="T122" s="1251"/>
      <c r="U122" s="1251"/>
      <c r="V122" s="1251"/>
      <c r="W122" s="1251"/>
      <c r="X122" s="1251"/>
      <c r="Y122" s="1251"/>
      <c r="Z122" s="1251"/>
      <c r="AA122" s="1251"/>
      <c r="AB122" s="1251"/>
      <c r="AC122" s="1251"/>
      <c r="AD122" s="1251"/>
      <c r="AE122" s="1251"/>
      <c r="AF122" s="1251"/>
      <c r="AG122" s="1251"/>
      <c r="AH122" s="1251"/>
      <c r="AI122" s="1251"/>
      <c r="AJ122" s="1251"/>
      <c r="AK122" s="1251"/>
      <c r="AL122" s="1251"/>
      <c r="AM122" s="1251"/>
      <c r="AN122" s="1251"/>
      <c r="AO122" s="1251"/>
      <c r="AP122" s="1251"/>
      <c r="AQ122" s="1251"/>
      <c r="AR122" s="1251"/>
      <c r="AS122" s="1251"/>
      <c r="AT122" s="1251"/>
      <c r="AU122" s="1251"/>
      <c r="AV122" s="1251"/>
      <c r="AW122" s="1251"/>
      <c r="AX122" s="1251"/>
      <c r="AY122" s="1251"/>
      <c r="AZ122" s="1251"/>
      <c r="BA122" s="1251"/>
      <c r="BB122" s="1251"/>
      <c r="BC122" s="1251"/>
      <c r="BD122" s="1251"/>
      <c r="BE122" s="1251"/>
      <c r="BF122" s="1251"/>
      <c r="BG122" s="1251"/>
      <c r="BH122" s="1251"/>
      <c r="BI122" s="1251"/>
      <c r="BJ122" s="1251"/>
      <c r="BK122" s="1251"/>
      <c r="BL122" s="1251"/>
      <c r="BM122" s="1251"/>
      <c r="BN122" s="1251"/>
      <c r="BO122" s="1251"/>
      <c r="BP122" s="1251"/>
      <c r="BQ122" s="1251"/>
      <c r="BR122" s="1251"/>
      <c r="BS122" s="1251"/>
      <c r="BT122" s="1251"/>
      <c r="BU122" s="1251"/>
      <c r="BV122" s="1251"/>
      <c r="BW122" s="1251"/>
      <c r="BX122" s="1251"/>
      <c r="BY122" s="1251"/>
      <c r="BZ122" s="1251"/>
      <c r="CA122" s="1251"/>
      <c r="CB122" s="1251"/>
      <c r="CC122" s="1251"/>
      <c r="CD122" s="1251"/>
      <c r="CE122" s="1251"/>
      <c r="CF122" s="1251"/>
      <c r="CG122" s="1251"/>
      <c r="CH122" s="1251"/>
      <c r="CI122" s="1251"/>
      <c r="CJ122" s="1251"/>
      <c r="CK122" s="1251"/>
      <c r="CL122" s="1251"/>
      <c r="CM122" s="1251"/>
      <c r="CN122" s="1251"/>
      <c r="CO122" s="1251"/>
      <c r="CP122" s="1251"/>
      <c r="CQ122" s="1251"/>
      <c r="CR122" s="1251"/>
      <c r="CS122" s="1251"/>
      <c r="CT122" s="1251"/>
      <c r="CU122" s="1251"/>
      <c r="CV122" s="1251"/>
      <c r="CW122" s="1251"/>
      <c r="CX122" s="1251"/>
      <c r="CY122" s="1251"/>
      <c r="CZ122" s="1251"/>
      <c r="DA122" s="1251"/>
      <c r="DB122" s="1251"/>
      <c r="DC122" s="1251"/>
      <c r="DD122" s="1251"/>
      <c r="DE122" s="1251"/>
      <c r="DF122" s="1251"/>
      <c r="DG122" s="1251"/>
      <c r="DH122" s="1251"/>
      <c r="DI122" s="1251"/>
      <c r="DJ122" s="1251"/>
      <c r="DK122" s="1251"/>
      <c r="DL122" s="1251"/>
      <c r="DM122" s="1251"/>
      <c r="DN122" s="1251"/>
      <c r="DO122" s="1251"/>
      <c r="DP122" s="1251"/>
      <c r="DQ122" s="1251"/>
      <c r="DR122" s="1251"/>
      <c r="DS122" s="1251"/>
      <c r="DT122" s="1251"/>
      <c r="DU122" s="1251"/>
      <c r="DV122" s="1251"/>
      <c r="DW122" s="1251"/>
      <c r="DX122" s="1251"/>
      <c r="DY122" s="1251"/>
      <c r="DZ122" s="1251"/>
      <c r="EA122" s="1251"/>
      <c r="EB122" s="1251"/>
      <c r="EC122" s="1251"/>
      <c r="ED122" s="1251"/>
      <c r="EE122" s="1251"/>
      <c r="EF122" s="1251"/>
      <c r="EG122" s="1251"/>
      <c r="EH122" s="1251"/>
      <c r="EI122" s="1251"/>
      <c r="EJ122" s="1251"/>
      <c r="EK122" s="1251"/>
      <c r="EL122" s="1251"/>
      <c r="EM122" s="1251"/>
      <c r="EN122" s="1251"/>
      <c r="EO122" s="1251"/>
      <c r="EP122" s="1251"/>
      <c r="EQ122" s="1251"/>
      <c r="ER122" s="1251"/>
      <c r="ES122" s="1251"/>
      <c r="ET122" s="1251"/>
      <c r="EU122" s="1251"/>
      <c r="EV122" s="1251"/>
      <c r="EW122" s="1251"/>
      <c r="EX122" s="1251"/>
      <c r="EY122" s="1251"/>
      <c r="EZ122" s="1251"/>
      <c r="FA122" s="1251"/>
      <c r="FB122" s="1251"/>
      <c r="FC122" s="1251"/>
      <c r="FD122" s="1251"/>
      <c r="FE122" s="1251"/>
      <c r="FF122" s="1251"/>
      <c r="FG122" s="1251"/>
      <c r="FH122" s="1251"/>
      <c r="FI122" s="1251"/>
      <c r="FJ122" s="1251"/>
      <c r="FK122" s="1251"/>
      <c r="FL122" s="1251"/>
      <c r="FM122" s="1251"/>
      <c r="FN122" s="1251"/>
      <c r="FO122" s="1251"/>
      <c r="FP122" s="1251"/>
      <c r="FQ122" s="1251"/>
      <c r="FR122" s="1251"/>
      <c r="FS122" s="1251"/>
      <c r="FT122" s="1251"/>
      <c r="FU122" s="1251"/>
      <c r="FV122" s="1251"/>
      <c r="FW122" s="1251"/>
      <c r="FX122" s="1251"/>
      <c r="FY122" s="1251"/>
      <c r="FZ122" s="1251"/>
      <c r="GA122" s="1251"/>
      <c r="GB122" s="1251"/>
      <c r="GC122" s="1251"/>
      <c r="GD122" s="1251"/>
      <c r="GE122" s="1251"/>
      <c r="GF122" s="1251"/>
      <c r="GG122" s="1251"/>
      <c r="GH122" s="1251"/>
      <c r="GI122" s="1251"/>
      <c r="GJ122" s="1251"/>
      <c r="GK122" s="1251"/>
      <c r="GL122" s="1251"/>
      <c r="GM122" s="1251"/>
      <c r="GN122" s="1251"/>
      <c r="GO122" s="1251"/>
      <c r="GP122" s="1251"/>
      <c r="GQ122" s="1251"/>
      <c r="GR122" s="1251"/>
      <c r="GS122" s="1251"/>
      <c r="GT122" s="1251"/>
      <c r="GU122" s="1251"/>
      <c r="GV122" s="1251"/>
      <c r="GW122" s="1251"/>
      <c r="GX122" s="1251"/>
      <c r="GY122" s="1251"/>
      <c r="GZ122" s="1251"/>
      <c r="HA122" s="1251"/>
      <c r="HB122" s="1251"/>
      <c r="HC122" s="1251"/>
      <c r="HD122" s="1251"/>
      <c r="HE122" s="1251"/>
      <c r="HF122" s="1251"/>
      <c r="HG122" s="1251"/>
      <c r="HH122" s="1251"/>
      <c r="HI122" s="1251"/>
      <c r="HJ122" s="1251"/>
      <c r="HK122" s="1251"/>
      <c r="HL122" s="1251"/>
      <c r="HM122" s="1251"/>
      <c r="HN122" s="1251"/>
      <c r="HO122" s="1251"/>
      <c r="HP122" s="1251"/>
      <c r="HQ122" s="1251"/>
      <c r="HR122" s="1251"/>
      <c r="HS122" s="1251"/>
      <c r="HT122" s="1251"/>
      <c r="HU122" s="1251"/>
      <c r="HV122" s="1251"/>
      <c r="HW122" s="1251"/>
      <c r="HX122" s="1251"/>
      <c r="HY122" s="1251"/>
      <c r="HZ122" s="1251"/>
      <c r="IA122" s="1251"/>
      <c r="IB122" s="1251"/>
      <c r="IC122" s="1251"/>
      <c r="ID122" s="1251"/>
      <c r="IE122" s="1251"/>
      <c r="IF122" s="1251"/>
      <c r="IG122" s="1251"/>
      <c r="IH122" s="1251"/>
      <c r="II122" s="1251"/>
      <c r="IJ122" s="1251"/>
      <c r="IK122" s="1251"/>
      <c r="IL122" s="1251"/>
      <c r="IM122" s="1251"/>
      <c r="IN122" s="1251"/>
      <c r="IO122" s="1251"/>
      <c r="IP122" s="1251"/>
      <c r="IQ122" s="1251"/>
      <c r="IR122" s="1251"/>
      <c r="IS122" s="1251"/>
      <c r="IT122" s="1251"/>
      <c r="IU122" s="1251"/>
      <c r="IV122" s="1251"/>
      <c r="IW122" s="1251"/>
      <c r="IX122" s="1251"/>
      <c r="IY122" s="1251"/>
      <c r="IZ122" s="1251"/>
      <c r="JA122" s="1251"/>
      <c r="JB122" s="1251"/>
      <c r="JC122" s="1251"/>
      <c r="JD122" s="1251"/>
      <c r="JE122" s="1251"/>
      <c r="JF122" s="1251"/>
      <c r="JG122" s="1251"/>
      <c r="JH122" s="1251"/>
      <c r="JI122" s="1251"/>
      <c r="JJ122" s="1251"/>
      <c r="JK122" s="1251"/>
      <c r="JL122" s="1251"/>
      <c r="JM122" s="1251"/>
      <c r="JN122" s="1251"/>
      <c r="JO122" s="1251"/>
      <c r="JP122" s="1251"/>
      <c r="JQ122" s="1251"/>
      <c r="JR122" s="1251"/>
      <c r="JS122" s="1251"/>
      <c r="JT122" s="1251"/>
      <c r="JU122" s="1251"/>
      <c r="JV122" s="1251"/>
      <c r="JW122" s="1251"/>
      <c r="JX122" s="1251"/>
      <c r="JY122" s="1251"/>
      <c r="JZ122" s="1251"/>
      <c r="KA122" s="1251"/>
      <c r="KB122" s="1251"/>
      <c r="KC122" s="1251"/>
      <c r="KD122" s="1251"/>
      <c r="KE122" s="1251"/>
      <c r="KF122" s="1251"/>
      <c r="KG122" s="1251"/>
      <c r="KH122" s="1251"/>
      <c r="KI122" s="1251"/>
      <c r="KJ122" s="1251"/>
      <c r="KK122" s="1251"/>
      <c r="KL122" s="1251"/>
      <c r="KM122" s="1251"/>
      <c r="KN122" s="1251"/>
      <c r="KO122" s="1251"/>
      <c r="KP122" s="1251"/>
      <c r="KQ122" s="1251"/>
      <c r="KR122" s="1251"/>
      <c r="KS122" s="1251"/>
      <c r="KT122" s="1251"/>
      <c r="KU122" s="1251"/>
      <c r="KV122" s="1251"/>
      <c r="KW122" s="1251"/>
      <c r="KX122" s="1251"/>
      <c r="KY122" s="1251"/>
      <c r="KZ122" s="1251"/>
      <c r="LA122" s="1251"/>
      <c r="LB122" s="1251"/>
      <c r="LC122" s="1251"/>
      <c r="LD122" s="1251"/>
      <c r="LE122" s="1251"/>
      <c r="LF122" s="1251"/>
      <c r="LG122" s="1251"/>
      <c r="LH122" s="1251"/>
      <c r="LI122" s="1251"/>
      <c r="LJ122" s="1251"/>
      <c r="LK122" s="1251"/>
      <c r="LL122" s="1251"/>
      <c r="LM122" s="1251"/>
      <c r="LN122" s="1251"/>
      <c r="LO122" s="1251"/>
      <c r="LP122" s="1251"/>
      <c r="LQ122" s="1251"/>
      <c r="LR122" s="1251"/>
      <c r="LS122" s="1251"/>
      <c r="LT122" s="1251"/>
      <c r="LU122" s="1251"/>
      <c r="LV122" s="1251"/>
      <c r="LW122" s="1251"/>
      <c r="LX122" s="1251"/>
      <c r="LY122" s="1251"/>
      <c r="LZ122" s="1251"/>
      <c r="MA122" s="1251"/>
      <c r="MB122" s="1251"/>
      <c r="MC122" s="1251"/>
      <c r="MD122" s="1251"/>
      <c r="ME122" s="1251"/>
      <c r="MF122" s="1251"/>
      <c r="MG122" s="1251"/>
      <c r="MH122" s="1251"/>
      <c r="MI122" s="1251"/>
      <c r="MJ122" s="1251"/>
      <c r="MK122" s="1251"/>
      <c r="ML122" s="1251"/>
      <c r="MM122" s="1251"/>
      <c r="MN122" s="1251"/>
      <c r="MO122" s="1251"/>
      <c r="MP122" s="1251"/>
      <c r="MQ122" s="1251"/>
      <c r="MR122" s="1251"/>
      <c r="MS122" s="1251"/>
      <c r="MT122" s="1251"/>
      <c r="MU122" s="1251"/>
      <c r="MV122" s="1251"/>
      <c r="MW122" s="1251"/>
      <c r="MX122" s="1251"/>
      <c r="MY122" s="1251"/>
      <c r="MZ122" s="1251"/>
      <c r="NA122" s="1251"/>
      <c r="NB122" s="1251"/>
      <c r="NC122" s="1251"/>
      <c r="ND122" s="1251"/>
      <c r="NE122" s="1251"/>
      <c r="NF122" s="1251"/>
      <c r="NG122" s="1251"/>
      <c r="NH122" s="1251"/>
      <c r="NI122" s="1251"/>
      <c r="NJ122" s="1251"/>
      <c r="NK122" s="1251"/>
      <c r="NL122" s="1251"/>
      <c r="NM122" s="1251"/>
      <c r="NN122" s="1251"/>
      <c r="NO122" s="1251"/>
      <c r="NP122" s="1251"/>
      <c r="NQ122" s="1251"/>
      <c r="NR122" s="1251"/>
      <c r="NS122" s="1251"/>
      <c r="NT122" s="1251"/>
      <c r="NU122" s="1251"/>
      <c r="NV122" s="1251"/>
      <c r="NW122" s="1251"/>
      <c r="NX122" s="1251"/>
      <c r="NY122" s="1251"/>
      <c r="NZ122" s="1251"/>
      <c r="OA122" s="1251"/>
      <c r="OB122" s="1251"/>
      <c r="OC122" s="1251"/>
      <c r="OD122" s="1251"/>
      <c r="OE122" s="1251"/>
      <c r="OF122" s="1251"/>
      <c r="OG122" s="1251"/>
      <c r="OH122" s="1251"/>
      <c r="OI122" s="1251"/>
      <c r="OJ122" s="1251"/>
      <c r="OK122" s="1251"/>
      <c r="OL122" s="1251"/>
      <c r="OM122" s="1251"/>
      <c r="ON122" s="1251"/>
      <c r="OO122" s="1251"/>
      <c r="OP122" s="1251"/>
      <c r="OQ122" s="1251"/>
      <c r="OR122" s="1251"/>
      <c r="OS122" s="1251"/>
      <c r="OT122" s="1251"/>
      <c r="OU122" s="1251"/>
      <c r="OV122" s="1251"/>
      <c r="OW122" s="1251"/>
      <c r="OX122" s="1251"/>
      <c r="OY122" s="1251"/>
      <c r="OZ122" s="1251"/>
      <c r="PA122" s="1251"/>
      <c r="PB122" s="1251"/>
      <c r="PC122" s="1251"/>
      <c r="PD122" s="1251"/>
      <c r="PE122" s="1251"/>
      <c r="PF122" s="1251"/>
      <c r="PG122" s="1251"/>
      <c r="PH122" s="1251"/>
      <c r="PI122" s="1251"/>
      <c r="PJ122" s="1251"/>
      <c r="PK122" s="1251"/>
      <c r="PL122" s="1251"/>
      <c r="PM122" s="1251"/>
      <c r="PN122" s="1251"/>
      <c r="PO122" s="1251"/>
      <c r="PP122" s="1251"/>
      <c r="PQ122" s="1251"/>
      <c r="PR122" s="1251"/>
      <c r="PS122" s="1251"/>
      <c r="PT122" s="1251"/>
      <c r="PU122" s="1251"/>
      <c r="PV122" s="1251"/>
      <c r="PW122" s="1251"/>
      <c r="PX122" s="1251"/>
      <c r="PY122" s="1251"/>
      <c r="PZ122" s="1251"/>
      <c r="QA122" s="1251"/>
      <c r="QB122" s="1251"/>
      <c r="QC122" s="1251"/>
      <c r="QD122" s="1251"/>
      <c r="QE122" s="1251"/>
      <c r="QF122" s="1251"/>
      <c r="QG122" s="1251"/>
      <c r="QH122" s="1251"/>
      <c r="QI122" s="1251"/>
      <c r="QJ122" s="1251"/>
      <c r="QK122" s="1251"/>
      <c r="QL122" s="1251"/>
      <c r="QM122" s="1251"/>
      <c r="QN122" s="1251"/>
      <c r="QO122" s="1251"/>
      <c r="QP122" s="1251"/>
      <c r="QQ122" s="1251"/>
      <c r="QR122" s="1251"/>
      <c r="QS122" s="1251"/>
      <c r="QT122" s="1251"/>
      <c r="QU122" s="1251"/>
      <c r="QV122" s="1251"/>
      <c r="QW122" s="1251"/>
      <c r="QX122" s="1251"/>
      <c r="QY122" s="1251"/>
      <c r="QZ122" s="1251"/>
      <c r="RA122" s="1251"/>
      <c r="RB122" s="1251"/>
      <c r="RC122" s="1251"/>
      <c r="RD122" s="1251"/>
      <c r="RE122" s="1251"/>
      <c r="RF122" s="1251"/>
      <c r="RG122" s="1251"/>
      <c r="RH122" s="1251"/>
      <c r="RI122" s="1251"/>
      <c r="RJ122" s="1251"/>
      <c r="RK122" s="1251"/>
      <c r="RL122" s="1251"/>
      <c r="RM122" s="1251"/>
      <c r="RN122" s="1251"/>
      <c r="RO122" s="1251"/>
      <c r="RP122" s="1251"/>
      <c r="RQ122" s="1251"/>
      <c r="RR122" s="1251"/>
      <c r="RS122" s="1251"/>
      <c r="RT122" s="1251"/>
      <c r="RU122" s="1251"/>
      <c r="RV122" s="1251"/>
      <c r="RW122" s="1251"/>
      <c r="RX122" s="1251"/>
      <c r="RY122" s="1251"/>
      <c r="RZ122" s="1251"/>
      <c r="SA122" s="1251"/>
      <c r="SB122" s="1251"/>
      <c r="SC122" s="1251"/>
      <c r="SD122" s="1251"/>
      <c r="SE122" s="1251"/>
      <c r="SF122" s="1251"/>
      <c r="SG122" s="1251"/>
      <c r="SH122" s="1251"/>
      <c r="SI122" s="1251"/>
      <c r="SJ122" s="1251"/>
      <c r="SK122" s="1251"/>
      <c r="SL122" s="1251"/>
      <c r="SM122" s="1251"/>
      <c r="SN122" s="1251"/>
      <c r="SO122" s="1251"/>
      <c r="SP122" s="1251"/>
      <c r="SQ122" s="1251"/>
      <c r="SR122" s="1251"/>
      <c r="SS122" s="1251"/>
      <c r="ST122" s="1251"/>
      <c r="SU122" s="1251"/>
      <c r="SV122" s="1251"/>
      <c r="SW122" s="1251"/>
      <c r="SX122" s="1251"/>
      <c r="SY122" s="1251"/>
      <c r="SZ122" s="1251"/>
      <c r="TA122" s="1251"/>
      <c r="TB122" s="1251"/>
      <c r="TC122" s="1251"/>
      <c r="TD122" s="1251"/>
      <c r="TE122" s="1251"/>
      <c r="TF122" s="1251"/>
      <c r="TG122" s="1251"/>
      <c r="TH122" s="1251"/>
      <c r="TI122" s="1251"/>
      <c r="TJ122" s="1251"/>
      <c r="TK122" s="1251"/>
      <c r="TL122" s="1251"/>
      <c r="TM122" s="1251"/>
      <c r="TN122" s="1251"/>
      <c r="TO122" s="1251"/>
      <c r="TP122" s="1251"/>
      <c r="TQ122" s="1251"/>
      <c r="TR122" s="1251"/>
      <c r="TS122" s="1251"/>
      <c r="TT122" s="1251"/>
      <c r="TU122" s="1251"/>
      <c r="TV122" s="1251"/>
      <c r="TW122" s="1251"/>
      <c r="TX122" s="1251"/>
      <c r="TY122" s="1251"/>
      <c r="TZ122" s="1251"/>
      <c r="UA122" s="1251"/>
      <c r="UB122" s="1251"/>
      <c r="UC122" s="1251"/>
      <c r="UD122" s="1251"/>
      <c r="UE122" s="1251"/>
      <c r="UF122" s="1251"/>
      <c r="UG122" s="1251"/>
      <c r="UH122" s="1251"/>
      <c r="UI122" s="1251"/>
      <c r="UJ122" s="1251"/>
      <c r="UK122" s="1251"/>
      <c r="UL122" s="1251"/>
      <c r="UM122" s="1251"/>
      <c r="UN122" s="1251"/>
      <c r="UO122" s="1251"/>
      <c r="UP122" s="1251"/>
      <c r="UQ122" s="1251"/>
      <c r="UR122" s="1251"/>
      <c r="US122" s="1251"/>
      <c r="UT122" s="1251"/>
      <c r="UU122" s="1251"/>
      <c r="UV122" s="1251"/>
      <c r="UW122" s="1251"/>
      <c r="UX122" s="1251"/>
      <c r="UY122" s="1251"/>
      <c r="UZ122" s="1251"/>
      <c r="VA122" s="1251"/>
      <c r="VB122" s="1251"/>
      <c r="VC122" s="1251"/>
      <c r="VD122" s="1251"/>
      <c r="VE122" s="1251"/>
      <c r="VF122" s="1251"/>
      <c r="VG122" s="1251"/>
      <c r="VH122" s="1251"/>
      <c r="VI122" s="1251"/>
      <c r="VJ122" s="1251"/>
      <c r="VK122" s="1251"/>
      <c r="VL122" s="1251"/>
      <c r="VM122" s="1251"/>
      <c r="VN122" s="1251"/>
      <c r="VO122" s="1251"/>
      <c r="VP122" s="1251"/>
      <c r="VQ122" s="1251"/>
      <c r="VR122" s="1251"/>
      <c r="VS122" s="1251"/>
      <c r="VT122" s="1251"/>
      <c r="VU122" s="1251"/>
      <c r="VV122" s="1251"/>
      <c r="VW122" s="1251"/>
      <c r="VX122" s="1251"/>
      <c r="VY122" s="1251"/>
      <c r="VZ122" s="1251"/>
      <c r="WA122" s="1251"/>
      <c r="WB122" s="1251"/>
      <c r="WC122" s="1251"/>
      <c r="WD122" s="1251"/>
      <c r="WE122" s="1251"/>
      <c r="WF122" s="1251"/>
      <c r="WG122" s="1251"/>
      <c r="WH122" s="1251"/>
      <c r="WI122" s="1251"/>
      <c r="WJ122" s="1251"/>
      <c r="WK122" s="1251"/>
      <c r="WL122" s="1251"/>
      <c r="WM122" s="1251"/>
      <c r="WN122" s="1251"/>
      <c r="WO122" s="1251"/>
      <c r="WP122" s="1251"/>
      <c r="WQ122" s="1251"/>
      <c r="WR122" s="1251"/>
      <c r="WS122" s="1251"/>
      <c r="WT122" s="1251"/>
      <c r="WU122" s="1251"/>
      <c r="WV122" s="1251"/>
      <c r="WW122" s="1251"/>
      <c r="WX122" s="1251"/>
      <c r="WY122" s="1251"/>
      <c r="WZ122" s="1251"/>
      <c r="XA122" s="1251"/>
      <c r="XB122" s="1251"/>
      <c r="XC122" s="1251"/>
      <c r="XD122" s="1251"/>
      <c r="XE122" s="1251"/>
      <c r="XF122" s="1251"/>
      <c r="XG122" s="1251"/>
      <c r="XH122" s="1251"/>
      <c r="XI122" s="1251"/>
      <c r="XJ122" s="1251"/>
      <c r="XK122" s="1251"/>
      <c r="XL122" s="1251"/>
      <c r="XM122" s="1251"/>
      <c r="XN122" s="1251"/>
      <c r="XO122" s="1251"/>
      <c r="XP122" s="1251"/>
      <c r="XQ122" s="1251"/>
      <c r="XR122" s="1251"/>
      <c r="XS122" s="1251"/>
      <c r="XT122" s="1251"/>
      <c r="XU122" s="1251"/>
      <c r="XV122" s="1251"/>
      <c r="XW122" s="1251"/>
      <c r="XX122" s="1251"/>
      <c r="XY122" s="1251"/>
      <c r="XZ122" s="1251"/>
      <c r="YA122" s="1251"/>
      <c r="YB122" s="1251"/>
      <c r="YC122" s="1251"/>
      <c r="YD122" s="1251"/>
      <c r="YE122" s="1251"/>
      <c r="YF122" s="1251"/>
      <c r="YG122" s="1251"/>
      <c r="YH122" s="1251"/>
      <c r="YI122" s="1251"/>
      <c r="YJ122" s="1251"/>
      <c r="YK122" s="1251"/>
      <c r="YL122" s="1251"/>
      <c r="YM122" s="1251"/>
      <c r="YN122" s="1251"/>
      <c r="YO122" s="1251"/>
      <c r="YP122" s="1251"/>
      <c r="YQ122" s="1251"/>
      <c r="YR122" s="1251"/>
      <c r="YS122" s="1251"/>
      <c r="YT122" s="1251"/>
      <c r="YU122" s="1251"/>
      <c r="YV122" s="1251"/>
      <c r="YW122" s="1251"/>
      <c r="YX122" s="1251"/>
      <c r="YY122" s="1251"/>
      <c r="YZ122" s="1251"/>
      <c r="ZA122" s="1251"/>
      <c r="ZB122" s="1251"/>
      <c r="ZC122" s="1251"/>
      <c r="ZD122" s="1251"/>
      <c r="ZE122" s="1251"/>
      <c r="ZF122" s="1251"/>
      <c r="ZG122" s="1251"/>
      <c r="ZH122" s="1251"/>
      <c r="ZI122" s="1251"/>
      <c r="ZJ122" s="1251"/>
      <c r="ZK122" s="1251"/>
      <c r="ZL122" s="1251"/>
      <c r="ZM122" s="1251"/>
      <c r="ZN122" s="1251"/>
      <c r="ZO122" s="1251"/>
      <c r="ZP122" s="1251"/>
      <c r="ZQ122" s="1251"/>
      <c r="ZR122" s="1251"/>
      <c r="ZS122" s="1251"/>
      <c r="ZT122" s="1251"/>
      <c r="ZU122" s="1251"/>
      <c r="ZV122" s="1251"/>
      <c r="ZW122" s="1251"/>
      <c r="ZX122" s="1251"/>
      <c r="ZY122" s="1251"/>
      <c r="ZZ122" s="1251"/>
      <c r="AAA122" s="1251"/>
      <c r="AAB122" s="1251"/>
      <c r="AAC122" s="1251"/>
      <c r="AAD122" s="1251"/>
      <c r="AAE122" s="1251"/>
      <c r="AAF122" s="1251"/>
      <c r="AAG122" s="1251"/>
      <c r="AAH122" s="1251"/>
      <c r="AAI122" s="1251"/>
      <c r="AAJ122" s="1251"/>
      <c r="AAK122" s="1251"/>
      <c r="AAL122" s="1251"/>
      <c r="AAM122" s="1251"/>
      <c r="AAN122" s="1251"/>
      <c r="AAO122" s="1251"/>
      <c r="AAP122" s="1251"/>
      <c r="AAQ122" s="1251"/>
      <c r="AAR122" s="1251"/>
      <c r="AAS122" s="1251"/>
      <c r="AAT122" s="1251"/>
      <c r="AAU122" s="1251"/>
      <c r="AAV122" s="1251"/>
      <c r="AAW122" s="1251"/>
      <c r="AAX122" s="1251"/>
      <c r="AAY122" s="1251"/>
      <c r="AAZ122" s="1251"/>
      <c r="ABA122" s="1251"/>
      <c r="ABB122" s="1251"/>
      <c r="ABC122" s="1251"/>
      <c r="ABD122" s="1251"/>
      <c r="ABE122" s="1251"/>
      <c r="ABF122" s="1251"/>
      <c r="ABG122" s="1251"/>
      <c r="ABH122" s="1251"/>
      <c r="ABI122" s="1251"/>
      <c r="ABJ122" s="1251"/>
      <c r="ABK122" s="1251"/>
      <c r="ABL122" s="1251"/>
      <c r="ABM122" s="1251"/>
      <c r="ABN122" s="1251"/>
      <c r="ABO122" s="1251"/>
      <c r="ABP122" s="1251"/>
      <c r="ABQ122" s="1251"/>
      <c r="ABR122" s="1251"/>
      <c r="ABS122" s="1251"/>
      <c r="ABT122" s="1251"/>
      <c r="ABU122" s="1251"/>
      <c r="ABV122" s="1251"/>
      <c r="ABW122" s="1251"/>
      <c r="ABX122" s="1251"/>
      <c r="ABY122" s="1251"/>
      <c r="ABZ122" s="1251"/>
      <c r="ACA122" s="1251"/>
      <c r="ACB122" s="1251"/>
      <c r="ACC122" s="1251"/>
      <c r="ACD122" s="1251"/>
      <c r="ACE122" s="1251"/>
      <c r="ACF122" s="1251"/>
      <c r="ACG122" s="1251"/>
      <c r="ACH122" s="1251"/>
      <c r="ACI122" s="1251"/>
      <c r="ACJ122" s="1251"/>
      <c r="ACK122" s="1251"/>
      <c r="ACL122" s="1251"/>
      <c r="ACM122" s="1251"/>
      <c r="ACN122" s="1251"/>
      <c r="ACO122" s="1251"/>
      <c r="ACP122" s="1251"/>
      <c r="ACQ122" s="1251"/>
      <c r="ACR122" s="1251"/>
      <c r="ACS122" s="1251"/>
      <c r="ACT122" s="1251"/>
      <c r="ACU122" s="1251"/>
      <c r="ACV122" s="1251"/>
      <c r="ACW122" s="1251"/>
      <c r="ACX122" s="1251"/>
      <c r="ACY122" s="1251"/>
      <c r="ACZ122" s="1251"/>
      <c r="ADA122" s="1251"/>
      <c r="ADB122" s="1251"/>
      <c r="ADC122" s="1251"/>
      <c r="ADD122" s="1251"/>
      <c r="ADE122" s="1251"/>
      <c r="ADF122" s="1251"/>
      <c r="ADG122" s="1251"/>
      <c r="ADH122" s="1251"/>
      <c r="ADI122" s="1251"/>
      <c r="ADJ122" s="1251"/>
      <c r="ADK122" s="1251"/>
      <c r="ADL122" s="1251"/>
      <c r="ADM122" s="1251"/>
      <c r="ADN122" s="1251"/>
      <c r="ADO122" s="1251"/>
      <c r="ADP122" s="1251"/>
      <c r="ADQ122" s="1251"/>
      <c r="ADR122" s="1251"/>
      <c r="ADS122" s="1251"/>
      <c r="ADT122" s="1251"/>
      <c r="ADU122" s="1251"/>
      <c r="ADV122" s="1251"/>
      <c r="ADW122" s="1251"/>
      <c r="ADX122" s="1251"/>
      <c r="ADY122" s="1251"/>
      <c r="ADZ122" s="1251"/>
      <c r="AEA122" s="1251"/>
      <c r="AEB122" s="1251"/>
      <c r="AEC122" s="1251"/>
      <c r="AED122" s="1251"/>
      <c r="AEE122" s="1251"/>
      <c r="AEF122" s="1251"/>
      <c r="AEG122" s="1251"/>
      <c r="AEH122" s="1251"/>
      <c r="AEI122" s="1251"/>
      <c r="AEJ122" s="1251"/>
      <c r="AEK122" s="1251"/>
      <c r="AEL122" s="1251"/>
      <c r="AEM122" s="1251"/>
      <c r="AEN122" s="1251"/>
      <c r="AEO122" s="1251"/>
      <c r="AEP122" s="1251"/>
      <c r="AEQ122" s="1251"/>
      <c r="AER122" s="1251"/>
      <c r="AES122" s="1251"/>
      <c r="AET122" s="1251"/>
      <c r="AEU122" s="1251"/>
      <c r="AEV122" s="1251"/>
      <c r="AEW122" s="1251"/>
      <c r="AEX122" s="1251"/>
      <c r="AEY122" s="1251"/>
      <c r="AEZ122" s="1251"/>
      <c r="AFA122" s="1251"/>
      <c r="AFB122" s="1251"/>
      <c r="AFC122" s="1251"/>
      <c r="AFD122" s="1251"/>
      <c r="AFE122" s="1251"/>
      <c r="AFF122" s="1251"/>
      <c r="AFG122" s="1251"/>
      <c r="AFH122" s="1251"/>
      <c r="AFI122" s="1251"/>
      <c r="AFJ122" s="1251"/>
      <c r="AFK122" s="1251"/>
      <c r="AFL122" s="1251"/>
      <c r="AFM122" s="1251"/>
      <c r="AFN122" s="1251"/>
      <c r="AFO122" s="1251"/>
      <c r="AFP122" s="1251"/>
      <c r="AFQ122" s="1251"/>
      <c r="AFR122" s="1251"/>
      <c r="AFS122" s="1251"/>
      <c r="AFT122" s="1251"/>
      <c r="AFU122" s="1251"/>
      <c r="AFV122" s="1251"/>
      <c r="AFW122" s="1251"/>
      <c r="AFX122" s="1251"/>
      <c r="AFY122" s="1251"/>
      <c r="AFZ122" s="1251"/>
      <c r="AGA122" s="1251"/>
      <c r="AGB122" s="1251"/>
      <c r="AGC122" s="1251"/>
      <c r="AGD122" s="1251"/>
      <c r="AGE122" s="1251"/>
      <c r="AGF122" s="1251"/>
      <c r="AGG122" s="1251"/>
      <c r="AGH122" s="1251"/>
      <c r="AGI122" s="1251"/>
      <c r="AGJ122" s="1251"/>
      <c r="AGK122" s="1251"/>
      <c r="AGL122" s="1251"/>
      <c r="AGM122" s="1251"/>
      <c r="AGN122" s="1251"/>
      <c r="AGO122" s="1251"/>
      <c r="AGP122" s="1251"/>
      <c r="AGQ122" s="1251"/>
      <c r="AGR122" s="1251"/>
      <c r="AGS122" s="1251"/>
      <c r="AGT122" s="1251"/>
      <c r="AGU122" s="1251"/>
      <c r="AGV122" s="1251"/>
      <c r="AGW122" s="1251"/>
      <c r="AGX122" s="1251"/>
      <c r="AGY122" s="1251"/>
      <c r="AGZ122" s="1251"/>
      <c r="AHA122" s="1251"/>
      <c r="AHB122" s="1251"/>
      <c r="AHC122" s="1251"/>
      <c r="AHD122" s="1251"/>
      <c r="AHE122" s="1251"/>
      <c r="AHF122" s="1251"/>
      <c r="AHG122" s="1251"/>
      <c r="AHH122" s="1251"/>
      <c r="AHI122" s="1251"/>
      <c r="AHJ122" s="1251"/>
      <c r="AHK122" s="1251"/>
      <c r="AHL122" s="1251"/>
      <c r="AHM122" s="1251"/>
      <c r="AHN122" s="1251"/>
      <c r="AHO122" s="1251"/>
      <c r="AHP122" s="1251"/>
      <c r="AHQ122" s="1251"/>
      <c r="AHR122" s="1251"/>
      <c r="AHS122" s="1251"/>
      <c r="AHT122" s="1251"/>
      <c r="AHU122" s="1251"/>
      <c r="AHV122" s="1251"/>
      <c r="AHW122" s="1251"/>
      <c r="AHX122" s="1251"/>
      <c r="AHY122" s="1251"/>
      <c r="AHZ122" s="1251"/>
      <c r="AIA122" s="1251"/>
      <c r="AIB122" s="1251"/>
      <c r="AIC122" s="1251"/>
      <c r="AID122" s="1251"/>
      <c r="AIE122" s="1251"/>
      <c r="AIF122" s="1251"/>
      <c r="AIG122" s="1251"/>
      <c r="AIH122" s="1251"/>
      <c r="AII122" s="1251"/>
      <c r="AIJ122" s="1251"/>
      <c r="AIK122" s="1251"/>
      <c r="AIL122" s="1251"/>
      <c r="AIM122" s="1251"/>
      <c r="AIN122" s="1251"/>
      <c r="AIO122" s="1251"/>
      <c r="AIP122" s="1251"/>
      <c r="AIQ122" s="1251"/>
      <c r="AIR122" s="1251"/>
      <c r="AIS122" s="1251"/>
      <c r="AIT122" s="1251"/>
      <c r="AIU122" s="1251"/>
      <c r="AIV122" s="1251"/>
      <c r="AIW122" s="1251"/>
      <c r="AIX122" s="1251"/>
      <c r="AIY122" s="1251"/>
      <c r="AIZ122" s="1251"/>
      <c r="AJA122" s="1251"/>
      <c r="AJB122" s="1251"/>
      <c r="AJC122" s="1251"/>
      <c r="AJD122" s="1251"/>
      <c r="AJE122" s="1251"/>
      <c r="AJF122" s="1251"/>
      <c r="AJG122" s="1251"/>
      <c r="AJH122" s="1251"/>
      <c r="AJI122" s="1251"/>
      <c r="AJJ122" s="1251"/>
      <c r="AJK122" s="1251"/>
      <c r="AJL122" s="1251"/>
      <c r="AJM122" s="1251"/>
      <c r="AJN122" s="1251"/>
      <c r="AJO122" s="1251"/>
      <c r="AJP122" s="1251"/>
      <c r="AJQ122" s="1251"/>
      <c r="AJR122" s="1251"/>
      <c r="AJS122" s="1251"/>
      <c r="AJT122" s="1251"/>
      <c r="AJU122" s="1251"/>
      <c r="AJV122" s="1251"/>
      <c r="AJW122" s="1251"/>
      <c r="AJX122" s="1251"/>
      <c r="AJY122" s="1251"/>
      <c r="AJZ122" s="1251"/>
      <c r="AKA122" s="1251"/>
      <c r="AKB122" s="1251"/>
      <c r="AKC122" s="1251"/>
      <c r="AKD122" s="1251"/>
      <c r="AKE122" s="1251"/>
      <c r="AKF122" s="1251"/>
      <c r="AKG122" s="1251"/>
      <c r="AKH122" s="1251"/>
      <c r="AKI122" s="1251"/>
      <c r="AKJ122" s="1251"/>
      <c r="AKK122" s="1251"/>
      <c r="AKL122" s="1251"/>
      <c r="AKM122" s="1251"/>
      <c r="AKN122" s="1251"/>
      <c r="AKO122" s="1251"/>
      <c r="AKP122" s="1251"/>
      <c r="AKQ122" s="1251"/>
      <c r="AKR122" s="1251"/>
      <c r="AKS122" s="1251"/>
      <c r="AKT122" s="1251"/>
      <c r="AKU122" s="1251"/>
      <c r="AKV122" s="1251"/>
      <c r="AKW122" s="1251"/>
      <c r="AKX122" s="1251"/>
      <c r="AKY122" s="1251"/>
      <c r="AKZ122" s="1251"/>
      <c r="ALA122" s="1251"/>
      <c r="ALB122" s="1251"/>
      <c r="ALC122" s="1251"/>
      <c r="ALD122" s="1251"/>
      <c r="ALE122" s="1251"/>
      <c r="ALF122" s="1251"/>
      <c r="ALG122" s="1251"/>
      <c r="ALH122" s="1251"/>
      <c r="ALI122" s="1251"/>
      <c r="ALJ122" s="1251"/>
      <c r="ALK122" s="1251"/>
      <c r="ALL122" s="1251"/>
      <c r="ALM122" s="1251"/>
      <c r="ALN122" s="1251"/>
      <c r="ALO122" s="1251"/>
      <c r="ALP122" s="1251"/>
      <c r="ALQ122" s="1251"/>
      <c r="ALR122" s="1251"/>
      <c r="ALS122" s="1251"/>
      <c r="ALT122" s="1251"/>
      <c r="ALU122" s="1251"/>
      <c r="ALV122" s="1251"/>
      <c r="ALW122" s="1251"/>
      <c r="ALX122" s="1251"/>
      <c r="ALY122" s="1251"/>
      <c r="ALZ122" s="1251"/>
      <c r="AMA122" s="1251"/>
      <c r="AMB122" s="1251"/>
      <c r="AMC122" s="1251"/>
      <c r="AMD122" s="1251"/>
      <c r="AME122" s="1251"/>
      <c r="AMF122" s="1251"/>
      <c r="AMG122" s="1251"/>
      <c r="AMH122" s="1251"/>
      <c r="AMI122" s="1251"/>
      <c r="AMJ122" s="1251"/>
      <c r="AMK122" s="1251"/>
      <c r="AML122" s="1251"/>
      <c r="AMM122" s="1251"/>
      <c r="AMN122" s="1251"/>
      <c r="AMO122" s="1251"/>
      <c r="AMP122" s="1251"/>
      <c r="AMQ122" s="1251"/>
      <c r="AMR122" s="1251"/>
      <c r="AMS122" s="1251"/>
      <c r="AMT122" s="1251"/>
      <c r="AMU122" s="1251"/>
      <c r="AMV122" s="1251"/>
      <c r="AMW122" s="1251"/>
      <c r="AMX122" s="1251"/>
      <c r="AMY122" s="1251"/>
      <c r="AMZ122" s="1251"/>
      <c r="ANA122" s="1251"/>
      <c r="ANB122" s="1251"/>
      <c r="ANC122" s="1251"/>
      <c r="AND122" s="1251"/>
      <c r="ANE122" s="1251"/>
      <c r="ANF122" s="1251"/>
      <c r="ANG122" s="1251"/>
      <c r="ANH122" s="1251"/>
      <c r="ANI122" s="1251"/>
      <c r="ANJ122" s="1251"/>
      <c r="ANK122" s="1251"/>
      <c r="ANL122" s="1251"/>
      <c r="ANM122" s="1251"/>
      <c r="ANN122" s="1251"/>
      <c r="ANO122" s="1251"/>
      <c r="ANP122" s="1251"/>
      <c r="ANQ122" s="1251"/>
      <c r="ANR122" s="1251"/>
      <c r="ANS122" s="1251"/>
      <c r="ANT122" s="1251"/>
      <c r="ANU122" s="1251"/>
      <c r="ANV122" s="1251"/>
      <c r="ANW122" s="1251"/>
      <c r="ANX122" s="1251"/>
      <c r="ANY122" s="1251"/>
      <c r="ANZ122" s="1251"/>
      <c r="AOA122" s="1251"/>
      <c r="AOB122" s="1251"/>
      <c r="AOC122" s="1251"/>
      <c r="AOD122" s="1251"/>
      <c r="AOE122" s="1251"/>
      <c r="AOF122" s="1251"/>
      <c r="AOG122" s="1251"/>
      <c r="AOH122" s="1251"/>
      <c r="AOI122" s="1251"/>
      <c r="AOJ122" s="1251"/>
      <c r="AOK122" s="1251"/>
      <c r="AOL122" s="1251"/>
      <c r="AOM122" s="1251"/>
      <c r="AON122" s="1251"/>
      <c r="AOO122" s="1251"/>
      <c r="AOP122" s="1251"/>
      <c r="AOQ122" s="1251"/>
      <c r="AOR122" s="1251"/>
      <c r="AOS122" s="1251"/>
      <c r="AOT122" s="1251"/>
      <c r="AOU122" s="1251"/>
      <c r="AOV122" s="1251"/>
      <c r="AOW122" s="1251"/>
      <c r="AOX122" s="1251"/>
      <c r="AOY122" s="1251"/>
      <c r="AOZ122" s="1251"/>
      <c r="APA122" s="1251"/>
      <c r="APB122" s="1251"/>
      <c r="APC122" s="1251"/>
      <c r="APD122" s="1251"/>
      <c r="APE122" s="1251"/>
      <c r="APF122" s="1251"/>
      <c r="APG122" s="1251"/>
      <c r="APH122" s="1251"/>
      <c r="API122" s="1251"/>
      <c r="APJ122" s="1251"/>
      <c r="APK122" s="1251"/>
      <c r="APL122" s="1251"/>
      <c r="APM122" s="1251"/>
      <c r="APN122" s="1251"/>
      <c r="APO122" s="1251"/>
      <c r="APP122" s="1251"/>
      <c r="APQ122" s="1251"/>
      <c r="APR122" s="1251"/>
      <c r="APS122" s="1251"/>
      <c r="APT122" s="1251"/>
      <c r="APU122" s="1251"/>
      <c r="APV122" s="1251"/>
      <c r="APW122" s="1251"/>
      <c r="APX122" s="1251"/>
      <c r="APY122" s="1251"/>
      <c r="APZ122" s="1251"/>
      <c r="AQA122" s="1251"/>
      <c r="AQB122" s="1251"/>
      <c r="AQC122" s="1251"/>
      <c r="AQD122" s="1251"/>
      <c r="AQE122" s="1251"/>
      <c r="AQF122" s="1251"/>
      <c r="AQG122" s="1251"/>
      <c r="AQH122" s="1251"/>
      <c r="AQI122" s="1251"/>
      <c r="AQJ122" s="1251"/>
      <c r="AQK122" s="1251"/>
      <c r="AQL122" s="1251"/>
      <c r="AQM122" s="1251"/>
      <c r="AQN122" s="1251"/>
      <c r="AQO122" s="1251"/>
      <c r="AQP122" s="1251"/>
      <c r="AQQ122" s="1251"/>
      <c r="AQR122" s="1251"/>
      <c r="AQS122" s="1251"/>
      <c r="AQT122" s="1251"/>
      <c r="AQU122" s="1251"/>
      <c r="AQV122" s="1251"/>
      <c r="AQW122" s="1251"/>
      <c r="AQX122" s="1251"/>
      <c r="AQY122" s="1251"/>
      <c r="AQZ122" s="1251"/>
      <c r="ARA122" s="1251"/>
      <c r="ARB122" s="1251"/>
      <c r="ARC122" s="1251"/>
      <c r="ARD122" s="1251"/>
      <c r="ARE122" s="1251"/>
      <c r="ARF122" s="1251"/>
      <c r="ARG122" s="1251"/>
      <c r="ARH122" s="1251"/>
      <c r="ARI122" s="1251"/>
      <c r="ARJ122" s="1251"/>
      <c r="ARK122" s="1251"/>
      <c r="ARL122" s="1251"/>
      <c r="ARM122" s="1251"/>
      <c r="ARN122" s="1251"/>
      <c r="ARO122" s="1251"/>
      <c r="ARP122" s="1251"/>
      <c r="ARQ122" s="1251"/>
      <c r="ARR122" s="1251"/>
      <c r="ARS122" s="1251"/>
      <c r="ART122" s="1251"/>
      <c r="ARU122" s="1251"/>
      <c r="ARV122" s="1251"/>
      <c r="ARW122" s="1251"/>
      <c r="ARX122" s="1251"/>
      <c r="ARY122" s="1251"/>
      <c r="ARZ122" s="1251"/>
      <c r="ASA122" s="1251"/>
      <c r="ASB122" s="1251"/>
      <c r="ASC122" s="1251"/>
      <c r="ASD122" s="1251"/>
      <c r="ASE122" s="1251"/>
      <c r="ASF122" s="1251"/>
      <c r="ASG122" s="1251"/>
      <c r="ASH122" s="1251"/>
      <c r="ASI122" s="1251"/>
      <c r="ASJ122" s="1251"/>
      <c r="ASK122" s="1251"/>
      <c r="ASL122" s="1251"/>
      <c r="ASM122" s="1251"/>
      <c r="ASN122" s="1251"/>
      <c r="ASO122" s="1251"/>
      <c r="ASP122" s="1251"/>
      <c r="ASQ122" s="1251"/>
      <c r="ASR122" s="1251"/>
      <c r="ASS122" s="1251"/>
      <c r="AST122" s="1251"/>
      <c r="ASU122" s="1251"/>
      <c r="ASV122" s="1251"/>
      <c r="ASW122" s="1251"/>
      <c r="ASX122" s="1251"/>
      <c r="ASY122" s="1251"/>
      <c r="ASZ122" s="1251"/>
      <c r="ATA122" s="1251"/>
      <c r="ATB122" s="1251"/>
      <c r="ATC122" s="1251"/>
      <c r="ATD122" s="1251"/>
      <c r="ATE122" s="1251"/>
      <c r="ATF122" s="1251"/>
      <c r="ATG122" s="1251"/>
      <c r="ATH122" s="1251"/>
      <c r="ATI122" s="1251"/>
      <c r="ATJ122" s="1251"/>
      <c r="ATK122" s="1251"/>
      <c r="ATL122" s="1251"/>
      <c r="ATM122" s="1251"/>
      <c r="ATN122" s="1251"/>
      <c r="ATO122" s="1251"/>
      <c r="ATP122" s="1251"/>
      <c r="ATQ122" s="1251"/>
      <c r="ATR122" s="1251"/>
      <c r="ATS122" s="1251"/>
      <c r="ATT122" s="1251"/>
      <c r="ATU122" s="1251"/>
      <c r="ATV122" s="1251"/>
      <c r="ATW122" s="1251"/>
      <c r="ATX122" s="1251"/>
      <c r="ATY122" s="1251"/>
      <c r="ATZ122" s="1251"/>
      <c r="AUA122" s="1251"/>
      <c r="AUB122" s="1251"/>
      <c r="AUC122" s="1251"/>
      <c r="AUD122" s="1251"/>
      <c r="AUE122" s="1251"/>
      <c r="AUF122" s="1251"/>
      <c r="AUG122" s="1251"/>
      <c r="AUH122" s="1251"/>
      <c r="AUI122" s="1251"/>
      <c r="AUJ122" s="1251"/>
      <c r="AUK122" s="1251"/>
      <c r="AUL122" s="1251"/>
      <c r="AUM122" s="1251"/>
      <c r="AUN122" s="1251"/>
      <c r="AUO122" s="1251"/>
      <c r="AUP122" s="1251"/>
      <c r="AUQ122" s="1251"/>
      <c r="AUR122" s="1251"/>
      <c r="AUS122" s="1251"/>
      <c r="AUT122" s="1251"/>
      <c r="AUU122" s="1251"/>
      <c r="AUV122" s="1251"/>
      <c r="AUW122" s="1251"/>
      <c r="AUX122" s="1251"/>
      <c r="AUY122" s="1251"/>
      <c r="AUZ122" s="1251"/>
      <c r="AVA122" s="1251"/>
      <c r="AVB122" s="1251"/>
      <c r="AVC122" s="1251"/>
      <c r="AVD122" s="1251"/>
      <c r="AVE122" s="1251"/>
      <c r="AVF122" s="1251"/>
      <c r="AVG122" s="1251"/>
      <c r="AVH122" s="1251"/>
      <c r="AVI122" s="1251"/>
      <c r="AVJ122" s="1251"/>
      <c r="AVK122" s="1251"/>
      <c r="AVL122" s="1251"/>
      <c r="AVM122" s="1251"/>
      <c r="AVN122" s="1251"/>
      <c r="AVO122" s="1251"/>
      <c r="AVP122" s="1251"/>
      <c r="AVQ122" s="1251"/>
      <c r="AVR122" s="1251"/>
      <c r="AVS122" s="1251"/>
      <c r="AVT122" s="1251"/>
      <c r="AVU122" s="1251"/>
      <c r="AVV122" s="1251"/>
      <c r="AVW122" s="1251"/>
      <c r="AVX122" s="1251"/>
      <c r="AVY122" s="1251"/>
      <c r="AVZ122" s="1251"/>
      <c r="AWA122" s="1251"/>
      <c r="AWB122" s="1251"/>
      <c r="AWC122" s="1251"/>
      <c r="AWD122" s="1251"/>
      <c r="AWE122" s="1251"/>
      <c r="AWF122" s="1251"/>
      <c r="AWG122" s="1251"/>
      <c r="AWH122" s="1251"/>
      <c r="AWI122" s="1251"/>
      <c r="AWJ122" s="1251"/>
      <c r="AWK122" s="1251"/>
      <c r="AWL122" s="1251"/>
      <c r="AWM122" s="1251"/>
      <c r="AWN122" s="1251"/>
      <c r="AWO122" s="1251"/>
      <c r="AWP122" s="1251"/>
      <c r="AWQ122" s="1251"/>
      <c r="AWR122" s="1251"/>
      <c r="AWS122" s="1251"/>
      <c r="AWT122" s="1251"/>
      <c r="AWU122" s="1251"/>
      <c r="AWV122" s="1251"/>
      <c r="AWW122" s="1251"/>
      <c r="AWX122" s="1251"/>
      <c r="AWY122" s="1251"/>
      <c r="AWZ122" s="1251"/>
      <c r="AXA122" s="1251"/>
      <c r="AXB122" s="1251"/>
      <c r="AXC122" s="1251"/>
      <c r="AXD122" s="1251"/>
      <c r="AXE122" s="1251"/>
      <c r="AXF122" s="1251"/>
      <c r="AXG122" s="1251"/>
      <c r="AXH122" s="1251"/>
      <c r="AXI122" s="1251"/>
      <c r="AXJ122" s="1251"/>
      <c r="AXK122" s="1251"/>
      <c r="AXL122" s="1251"/>
      <c r="AXM122" s="1251"/>
      <c r="AXN122" s="1251"/>
      <c r="AXO122" s="1251"/>
      <c r="AXP122" s="1251"/>
      <c r="AXQ122" s="1251"/>
      <c r="AXR122" s="1251"/>
      <c r="AXS122" s="1251"/>
      <c r="AXT122" s="1251"/>
      <c r="AXU122" s="1251"/>
      <c r="AXV122" s="1251"/>
      <c r="AXW122" s="1251"/>
      <c r="AXX122" s="1251"/>
      <c r="AXY122" s="1251"/>
      <c r="AXZ122" s="1251"/>
      <c r="AYA122" s="1251"/>
      <c r="AYB122" s="1251"/>
      <c r="AYC122" s="1251"/>
      <c r="AYD122" s="1251"/>
      <c r="AYE122" s="1251"/>
      <c r="AYF122" s="1251"/>
      <c r="AYG122" s="1251"/>
      <c r="AYH122" s="1251"/>
      <c r="AYI122" s="1251"/>
      <c r="AYJ122" s="1251"/>
      <c r="AYK122" s="1251"/>
      <c r="AYL122" s="1251"/>
      <c r="AYM122" s="1251"/>
      <c r="AYN122" s="1251"/>
      <c r="AYO122" s="1251"/>
      <c r="AYP122" s="1251"/>
      <c r="AYQ122" s="1251"/>
      <c r="AYR122" s="1251"/>
      <c r="AYS122" s="1251"/>
      <c r="AYT122" s="1251"/>
      <c r="AYU122" s="1251"/>
      <c r="AYV122" s="1251"/>
      <c r="AYW122" s="1251"/>
      <c r="AYX122" s="1251"/>
      <c r="AYY122" s="1251"/>
      <c r="AYZ122" s="1251"/>
      <c r="AZA122" s="1251"/>
      <c r="AZB122" s="1251"/>
      <c r="AZC122" s="1251"/>
      <c r="AZD122" s="1251"/>
      <c r="AZE122" s="1251"/>
      <c r="AZF122" s="1251"/>
      <c r="AZG122" s="1251"/>
      <c r="AZH122" s="1251"/>
      <c r="AZI122" s="1251"/>
      <c r="AZJ122" s="1251"/>
      <c r="AZK122" s="1251"/>
      <c r="AZL122" s="1251"/>
      <c r="AZM122" s="1251"/>
      <c r="AZN122" s="1251"/>
      <c r="AZO122" s="1251"/>
      <c r="AZP122" s="1251"/>
      <c r="AZQ122" s="1251"/>
      <c r="AZR122" s="1251"/>
      <c r="AZS122" s="1251"/>
      <c r="AZT122" s="1251"/>
      <c r="AZU122" s="1251"/>
      <c r="AZV122" s="1251"/>
      <c r="AZW122" s="1251"/>
      <c r="AZX122" s="1251"/>
      <c r="AZY122" s="1251"/>
      <c r="AZZ122" s="1251"/>
      <c r="BAA122" s="1251"/>
      <c r="BAB122" s="1251"/>
      <c r="BAC122" s="1251"/>
      <c r="BAD122" s="1251"/>
      <c r="BAE122" s="1251"/>
      <c r="BAF122" s="1251"/>
      <c r="BAG122" s="1251"/>
      <c r="BAH122" s="1251"/>
      <c r="BAI122" s="1251"/>
      <c r="BAJ122" s="1251"/>
      <c r="BAK122" s="1251"/>
      <c r="BAL122" s="1251"/>
      <c r="BAM122" s="1251"/>
      <c r="BAN122" s="1251"/>
      <c r="BAO122" s="1251"/>
      <c r="BAP122" s="1251"/>
      <c r="BAQ122" s="1251"/>
      <c r="BAR122" s="1251"/>
      <c r="BAS122" s="1251"/>
      <c r="BAT122" s="1251"/>
      <c r="BAU122" s="1251"/>
      <c r="BAV122" s="1251"/>
      <c r="BAW122" s="1251"/>
      <c r="BAX122" s="1251"/>
      <c r="BAY122" s="1251"/>
      <c r="BAZ122" s="1251"/>
      <c r="BBA122" s="1251"/>
      <c r="BBB122" s="1251"/>
      <c r="BBC122" s="1251"/>
      <c r="BBD122" s="1251"/>
      <c r="BBE122" s="1251"/>
      <c r="BBF122" s="1251"/>
      <c r="BBG122" s="1251"/>
      <c r="BBH122" s="1251"/>
      <c r="BBI122" s="1251"/>
      <c r="BBJ122" s="1251"/>
      <c r="BBK122" s="1251"/>
      <c r="BBL122" s="1251"/>
      <c r="BBM122" s="1251"/>
      <c r="BBN122" s="1251"/>
      <c r="BBO122" s="1251"/>
      <c r="BBP122" s="1251"/>
      <c r="BBQ122" s="1251"/>
      <c r="BBR122" s="1251"/>
      <c r="BBS122" s="1251"/>
      <c r="BBT122" s="1251"/>
      <c r="BBU122" s="1251"/>
      <c r="BBV122" s="1251"/>
      <c r="BBW122" s="1251"/>
      <c r="BBX122" s="1251"/>
      <c r="BBY122" s="1251"/>
      <c r="BBZ122" s="1251"/>
      <c r="BCA122" s="1251"/>
      <c r="BCB122" s="1251"/>
      <c r="BCC122" s="1251"/>
      <c r="BCD122" s="1251"/>
      <c r="BCE122" s="1251"/>
      <c r="BCF122" s="1251"/>
      <c r="BCG122" s="1251"/>
      <c r="BCH122" s="1251"/>
      <c r="BCI122" s="1251"/>
      <c r="BCJ122" s="1251"/>
      <c r="BCK122" s="1251"/>
      <c r="BCL122" s="1251"/>
      <c r="BCM122" s="1251"/>
      <c r="BCN122" s="1251"/>
      <c r="BCO122" s="1251"/>
      <c r="BCP122" s="1251"/>
      <c r="BCQ122" s="1251"/>
      <c r="BCR122" s="1251"/>
      <c r="BCS122" s="1251"/>
      <c r="BCT122" s="1251"/>
      <c r="BCU122" s="1251"/>
      <c r="BCV122" s="1251"/>
      <c r="BCW122" s="1251"/>
      <c r="BCX122" s="1251"/>
      <c r="BCY122" s="1251"/>
      <c r="BCZ122" s="1251"/>
      <c r="BDA122" s="1251"/>
      <c r="BDB122" s="1251"/>
      <c r="BDC122" s="1251"/>
      <c r="BDD122" s="1251"/>
      <c r="BDE122" s="1251"/>
      <c r="BDF122" s="1251"/>
      <c r="BDG122" s="1251"/>
      <c r="BDH122" s="1251"/>
      <c r="BDI122" s="1251"/>
      <c r="BDJ122" s="1251"/>
      <c r="BDK122" s="1251"/>
      <c r="BDL122" s="1251"/>
      <c r="BDM122" s="1251"/>
      <c r="BDN122" s="1251"/>
      <c r="BDO122" s="1251"/>
      <c r="BDP122" s="1251"/>
      <c r="BDQ122" s="1251"/>
      <c r="BDR122" s="1251"/>
      <c r="BDS122" s="1251"/>
      <c r="BDT122" s="1251"/>
      <c r="BDU122" s="1251"/>
      <c r="BDV122" s="1251"/>
      <c r="BDW122" s="1251"/>
      <c r="BDX122" s="1251"/>
      <c r="BDY122" s="1251"/>
      <c r="BDZ122" s="1251"/>
      <c r="BEA122" s="1251"/>
      <c r="BEB122" s="1251"/>
      <c r="BEC122" s="1251"/>
      <c r="BED122" s="1251"/>
      <c r="BEE122" s="1251"/>
      <c r="BEF122" s="1251"/>
      <c r="BEG122" s="1251"/>
      <c r="BEH122" s="1251"/>
      <c r="BEI122" s="1251"/>
      <c r="BEJ122" s="1251"/>
      <c r="BEK122" s="1251"/>
      <c r="BEL122" s="1251"/>
      <c r="BEM122" s="1251"/>
      <c r="BEN122" s="1251"/>
      <c r="BEO122" s="1251"/>
      <c r="BEP122" s="1251"/>
      <c r="BEQ122" s="1251"/>
      <c r="BER122" s="1251"/>
      <c r="BES122" s="1251"/>
      <c r="BET122" s="1251"/>
      <c r="BEU122" s="1251"/>
      <c r="BEV122" s="1251"/>
      <c r="BEW122" s="1251"/>
      <c r="BEX122" s="1251"/>
      <c r="BEY122" s="1251"/>
      <c r="BEZ122" s="1251"/>
      <c r="BFA122" s="1251"/>
      <c r="BFB122" s="1251"/>
      <c r="BFC122" s="1251"/>
      <c r="BFD122" s="1251"/>
      <c r="BFE122" s="1251"/>
      <c r="BFF122" s="1251"/>
      <c r="BFG122" s="1251"/>
      <c r="BFH122" s="1251"/>
      <c r="BFI122" s="1251"/>
      <c r="BFJ122" s="1251"/>
      <c r="BFK122" s="1251"/>
      <c r="BFL122" s="1251"/>
      <c r="BFM122" s="1251"/>
      <c r="BFN122" s="1251"/>
      <c r="BFO122" s="1251"/>
      <c r="BFP122" s="1251"/>
      <c r="BFQ122" s="1251"/>
      <c r="BFR122" s="1251"/>
      <c r="BFS122" s="1251"/>
      <c r="BFT122" s="1251"/>
      <c r="BFU122" s="1251"/>
      <c r="BFV122" s="1251"/>
      <c r="BFW122" s="1251"/>
      <c r="BFX122" s="1251"/>
      <c r="BFY122" s="1251"/>
      <c r="BFZ122" s="1251"/>
      <c r="BGA122" s="1251"/>
      <c r="BGB122" s="1251"/>
      <c r="BGC122" s="1251"/>
      <c r="BGD122" s="1251"/>
      <c r="BGE122" s="1251"/>
      <c r="BGF122" s="1251"/>
      <c r="BGG122" s="1251"/>
      <c r="BGH122" s="1251"/>
      <c r="BGI122" s="1251"/>
      <c r="BGJ122" s="1251"/>
      <c r="BGK122" s="1251"/>
      <c r="BGL122" s="1251"/>
      <c r="BGM122" s="1251"/>
      <c r="BGN122" s="1251"/>
      <c r="BGO122" s="1251"/>
      <c r="BGP122" s="1251"/>
      <c r="BGQ122" s="1251"/>
      <c r="BGR122" s="1251"/>
      <c r="BGS122" s="1251"/>
      <c r="BGT122" s="1251"/>
      <c r="BGU122" s="1251"/>
      <c r="BGV122" s="1251"/>
      <c r="BGW122" s="1251"/>
      <c r="BGX122" s="1251"/>
      <c r="BGY122" s="1251"/>
      <c r="BGZ122" s="1251"/>
      <c r="BHA122" s="1251"/>
      <c r="BHB122" s="1251"/>
      <c r="BHC122" s="1251"/>
      <c r="BHD122" s="1251"/>
      <c r="BHE122" s="1251"/>
      <c r="BHF122" s="1251"/>
      <c r="BHG122" s="1251"/>
      <c r="BHH122" s="1251"/>
      <c r="BHI122" s="1251"/>
      <c r="BHJ122" s="1251"/>
      <c r="BHK122" s="1251"/>
      <c r="BHL122" s="1251"/>
      <c r="BHM122" s="1251"/>
      <c r="BHN122" s="1251"/>
      <c r="BHO122" s="1251"/>
      <c r="BHP122" s="1251"/>
      <c r="BHQ122" s="1251"/>
      <c r="BHR122" s="1251"/>
      <c r="BHS122" s="1251"/>
      <c r="BHT122" s="1251"/>
      <c r="BHU122" s="1251"/>
      <c r="BHV122" s="1251"/>
      <c r="BHW122" s="1251"/>
      <c r="BHX122" s="1251"/>
      <c r="BHY122" s="1251"/>
      <c r="BHZ122" s="1251"/>
      <c r="BIA122" s="1251"/>
      <c r="BIB122" s="1251"/>
      <c r="BIC122" s="1251"/>
      <c r="BID122" s="1251"/>
      <c r="BIE122" s="1251"/>
      <c r="BIF122" s="1251"/>
      <c r="BIG122" s="1251"/>
      <c r="BIH122" s="1251"/>
      <c r="BII122" s="1251"/>
      <c r="BIJ122" s="1251"/>
      <c r="BIK122" s="1251"/>
      <c r="BIL122" s="1251"/>
      <c r="BIM122" s="1251"/>
      <c r="BIN122" s="1251"/>
      <c r="BIO122" s="1251"/>
      <c r="BIP122" s="1251"/>
      <c r="BIQ122" s="1251"/>
      <c r="BIR122" s="1251"/>
      <c r="BIS122" s="1251"/>
      <c r="BIT122" s="1251"/>
      <c r="BIU122" s="1251"/>
      <c r="BIV122" s="1251"/>
      <c r="BIW122" s="1251"/>
      <c r="BIX122" s="1251"/>
      <c r="BIY122" s="1251"/>
      <c r="BIZ122" s="1251"/>
      <c r="BJA122" s="1251"/>
      <c r="BJB122" s="1251"/>
      <c r="BJC122" s="1251"/>
      <c r="BJD122" s="1251"/>
      <c r="BJE122" s="1251"/>
      <c r="BJF122" s="1251"/>
      <c r="BJG122" s="1251"/>
      <c r="BJH122" s="1251"/>
      <c r="BJI122" s="1251"/>
      <c r="BJJ122" s="1251"/>
      <c r="BJK122" s="1251"/>
      <c r="BJL122" s="1251"/>
      <c r="BJM122" s="1251"/>
      <c r="BJN122" s="1251"/>
      <c r="BJO122" s="1251"/>
      <c r="BJP122" s="1251"/>
      <c r="BJQ122" s="1251"/>
      <c r="BJR122" s="1251"/>
      <c r="BJS122" s="1251"/>
      <c r="BJT122" s="1251"/>
      <c r="BJU122" s="1251"/>
      <c r="BJV122" s="1251"/>
      <c r="BJW122" s="1251"/>
      <c r="BJX122" s="1251"/>
      <c r="BJY122" s="1251"/>
      <c r="BJZ122" s="1251"/>
      <c r="BKA122" s="1251"/>
      <c r="BKB122" s="1251"/>
      <c r="BKC122" s="1251"/>
      <c r="BKD122" s="1251"/>
      <c r="BKE122" s="1251"/>
      <c r="BKF122" s="1251"/>
      <c r="BKG122" s="1251"/>
      <c r="BKH122" s="1251"/>
      <c r="BKI122" s="1251"/>
      <c r="BKJ122" s="1251"/>
      <c r="BKK122" s="1251"/>
      <c r="BKL122" s="1251"/>
      <c r="BKM122" s="1251"/>
      <c r="BKN122" s="1251"/>
      <c r="BKO122" s="1251"/>
      <c r="BKP122" s="1251"/>
      <c r="BKQ122" s="1251"/>
      <c r="BKR122" s="1251"/>
      <c r="BKS122" s="1251"/>
      <c r="BKT122" s="1251"/>
      <c r="BKU122" s="1251"/>
      <c r="BKV122" s="1251"/>
      <c r="BKW122" s="1251"/>
      <c r="BKX122" s="1251"/>
      <c r="BKY122" s="1251"/>
      <c r="BKZ122" s="1251"/>
      <c r="BLA122" s="1251"/>
      <c r="BLB122" s="1251"/>
      <c r="BLC122" s="1251"/>
      <c r="BLD122" s="1251"/>
      <c r="BLE122" s="1251"/>
      <c r="BLF122" s="1251"/>
      <c r="BLG122" s="1251"/>
      <c r="BLH122" s="1251"/>
      <c r="BLI122" s="1251"/>
      <c r="BLJ122" s="1251"/>
      <c r="BLK122" s="1251"/>
      <c r="BLL122" s="1251"/>
      <c r="BLM122" s="1251"/>
      <c r="BLN122" s="1251"/>
      <c r="BLO122" s="1251"/>
      <c r="BLP122" s="1251"/>
      <c r="BLQ122" s="1251"/>
      <c r="BLR122" s="1251"/>
      <c r="BLS122" s="1251"/>
      <c r="BLT122" s="1251"/>
      <c r="BLU122" s="1251"/>
      <c r="BLV122" s="1251"/>
      <c r="BLW122" s="1251"/>
      <c r="BLX122" s="1251"/>
      <c r="BLY122" s="1251"/>
      <c r="BLZ122" s="1251"/>
      <c r="BMA122" s="1251"/>
      <c r="BMB122" s="1251"/>
      <c r="BMC122" s="1251"/>
      <c r="BMD122" s="1251"/>
      <c r="BME122" s="1251"/>
      <c r="BMF122" s="1251"/>
      <c r="BMG122" s="1251"/>
      <c r="BMH122" s="1251"/>
      <c r="BMI122" s="1251"/>
      <c r="BMJ122" s="1251"/>
      <c r="BMK122" s="1251"/>
      <c r="BML122" s="1251"/>
      <c r="BMM122" s="1251"/>
      <c r="BMN122" s="1251"/>
      <c r="BMO122" s="1251"/>
      <c r="BMP122" s="1251"/>
      <c r="BMQ122" s="1251"/>
      <c r="BMR122" s="1251"/>
      <c r="BMS122" s="1251"/>
      <c r="BMT122" s="1251"/>
      <c r="BMU122" s="1251"/>
      <c r="BMV122" s="1251"/>
      <c r="BMW122" s="1251"/>
      <c r="BMX122" s="1251"/>
      <c r="BMY122" s="1251"/>
      <c r="BMZ122" s="1251"/>
      <c r="BNA122" s="1251"/>
      <c r="BNB122" s="1251"/>
      <c r="BNC122" s="1251"/>
      <c r="BND122" s="1251"/>
      <c r="BNE122" s="1251"/>
      <c r="BNF122" s="1251"/>
      <c r="BNG122" s="1251"/>
      <c r="BNH122" s="1251"/>
      <c r="BNI122" s="1251"/>
      <c r="BNJ122" s="1251"/>
      <c r="BNK122" s="1251"/>
      <c r="BNL122" s="1251"/>
      <c r="BNM122" s="1251"/>
      <c r="BNN122" s="1251"/>
      <c r="BNO122" s="1251"/>
      <c r="BNP122" s="1251"/>
      <c r="BNQ122" s="1251"/>
      <c r="BNR122" s="1251"/>
      <c r="BNS122" s="1251"/>
      <c r="BNT122" s="1251"/>
      <c r="BNU122" s="1251"/>
      <c r="BNV122" s="1251"/>
      <c r="BNW122" s="1251"/>
      <c r="BNX122" s="1251"/>
      <c r="BNY122" s="1251"/>
      <c r="BNZ122" s="1251"/>
      <c r="BOA122" s="1251"/>
      <c r="BOB122" s="1251"/>
      <c r="BOC122" s="1251"/>
      <c r="BOD122" s="1251"/>
      <c r="BOE122" s="1251"/>
      <c r="BOF122" s="1251"/>
      <c r="BOG122" s="1251"/>
      <c r="BOH122" s="1251"/>
      <c r="BOI122" s="1251"/>
      <c r="BOJ122" s="1251"/>
      <c r="BOK122" s="1251"/>
      <c r="BOL122" s="1251"/>
      <c r="BOM122" s="1251"/>
      <c r="BON122" s="1251"/>
      <c r="BOO122" s="1251"/>
      <c r="BOP122" s="1251"/>
      <c r="BOQ122" s="1251"/>
      <c r="BOR122" s="1251"/>
      <c r="BOS122" s="1251"/>
      <c r="BOT122" s="1251"/>
      <c r="BOU122" s="1251"/>
      <c r="BOV122" s="1251"/>
      <c r="BOW122" s="1251"/>
      <c r="BOX122" s="1251"/>
      <c r="BOY122" s="1251"/>
      <c r="BOZ122" s="1251"/>
      <c r="BPA122" s="1251"/>
      <c r="BPB122" s="1251"/>
      <c r="BPC122" s="1251"/>
      <c r="BPD122" s="1251"/>
      <c r="BPE122" s="1251"/>
      <c r="BPF122" s="1251"/>
      <c r="BPG122" s="1251"/>
      <c r="BPH122" s="1251"/>
      <c r="BPI122" s="1251"/>
      <c r="BPJ122" s="1251"/>
      <c r="BPK122" s="1251"/>
      <c r="BPL122" s="1251"/>
      <c r="BPM122" s="1251"/>
      <c r="BPN122" s="1251"/>
      <c r="BPO122" s="1251"/>
      <c r="BPP122" s="1251"/>
      <c r="BPQ122" s="1251"/>
      <c r="BPR122" s="1251"/>
      <c r="BPS122" s="1251"/>
      <c r="BPT122" s="1251"/>
      <c r="BPU122" s="1251"/>
      <c r="BPV122" s="1251"/>
      <c r="BPW122" s="1251"/>
      <c r="BPX122" s="1251"/>
      <c r="BPY122" s="1251"/>
      <c r="BPZ122" s="1251"/>
      <c r="BQA122" s="1251"/>
      <c r="BQB122" s="1251"/>
      <c r="BQC122" s="1251"/>
      <c r="BQD122" s="1251"/>
      <c r="BQE122" s="1251"/>
      <c r="BQF122" s="1251"/>
      <c r="BQG122" s="1251"/>
      <c r="BQH122" s="1251"/>
      <c r="BQI122" s="1251"/>
      <c r="BQJ122" s="1251"/>
      <c r="BQK122" s="1251"/>
      <c r="BQL122" s="1251"/>
      <c r="BQM122" s="1251"/>
      <c r="BQN122" s="1251"/>
      <c r="BQO122" s="1251"/>
      <c r="BQP122" s="1251"/>
      <c r="BQQ122" s="1251"/>
      <c r="BQR122" s="1251"/>
      <c r="BQS122" s="1251"/>
      <c r="BQT122" s="1251"/>
      <c r="BQU122" s="1251"/>
      <c r="BQV122" s="1251"/>
      <c r="BQW122" s="1251"/>
      <c r="BQX122" s="1251"/>
      <c r="BQY122" s="1251"/>
      <c r="BQZ122" s="1251"/>
      <c r="BRA122" s="1251"/>
      <c r="BRB122" s="1251"/>
      <c r="BRC122" s="1251"/>
      <c r="BRD122" s="1251"/>
      <c r="BRE122" s="1251"/>
      <c r="BRF122" s="1251"/>
      <c r="BRG122" s="1251"/>
      <c r="BRH122" s="1251"/>
      <c r="BRI122" s="1251"/>
      <c r="BRJ122" s="1251"/>
      <c r="BRK122" s="1251"/>
      <c r="BRL122" s="1251"/>
      <c r="BRM122" s="1251"/>
      <c r="BRN122" s="1251"/>
      <c r="BRO122" s="1251"/>
      <c r="BRP122" s="1251"/>
      <c r="BRQ122" s="1251"/>
      <c r="BRR122" s="1251"/>
      <c r="BRS122" s="1251"/>
      <c r="BRT122" s="1251"/>
      <c r="BRU122" s="1251"/>
      <c r="BRV122" s="1251"/>
      <c r="BRW122" s="1251"/>
      <c r="BRX122" s="1251"/>
      <c r="BRY122" s="1251"/>
      <c r="BRZ122" s="1251"/>
      <c r="BSA122" s="1251"/>
      <c r="BSB122" s="1251"/>
      <c r="BSC122" s="1251"/>
      <c r="BSD122" s="1251"/>
      <c r="BSE122" s="1251"/>
      <c r="BSF122" s="1251"/>
      <c r="BSG122" s="1251"/>
      <c r="BSH122" s="1251"/>
      <c r="BSI122" s="1251"/>
      <c r="BSJ122" s="1251"/>
      <c r="BSK122" s="1251"/>
      <c r="BSL122" s="1251"/>
      <c r="BSM122" s="1251"/>
      <c r="BSN122" s="1251"/>
      <c r="BSO122" s="1251"/>
      <c r="BSP122" s="1251"/>
      <c r="BSQ122" s="1251"/>
      <c r="BSR122" s="1251"/>
      <c r="BSS122" s="1251"/>
      <c r="BST122" s="1251"/>
      <c r="BSU122" s="1251"/>
      <c r="BSV122" s="1251"/>
      <c r="BSW122" s="1251"/>
      <c r="BSX122" s="1251"/>
      <c r="BSY122" s="1251"/>
      <c r="BSZ122" s="1251"/>
      <c r="BTA122" s="1251"/>
      <c r="BTB122" s="1251"/>
      <c r="BTC122" s="1251"/>
      <c r="BTD122" s="1251"/>
      <c r="BTE122" s="1251"/>
      <c r="BTF122" s="1251"/>
      <c r="BTG122" s="1251"/>
      <c r="BTH122" s="1251"/>
      <c r="BTI122" s="1251"/>
    </row>
    <row r="123" spans="1:1881" s="1261" customFormat="1" ht="129.75" hidden="1" customHeight="1" thickBot="1" x14ac:dyDescent="0.35">
      <c r="A123" s="1274">
        <v>31</v>
      </c>
      <c r="B123" s="1272" t="s">
        <v>652</v>
      </c>
      <c r="C123" s="1275" t="s">
        <v>1266</v>
      </c>
      <c r="D123" s="1275" t="s">
        <v>1268</v>
      </c>
      <c r="E123" s="1249" t="e">
        <f>HLOOKUP($D$2,'2020 Data(H)'!$C$1:$CZ$426,19,FALSE)</f>
        <v>#N/A</v>
      </c>
      <c r="F123" s="1263">
        <v>0</v>
      </c>
      <c r="G123" s="727"/>
      <c r="H123" s="17"/>
      <c r="I123" s="760"/>
      <c r="J123" s="1252"/>
      <c r="K123" s="1251"/>
      <c r="L123" s="701"/>
      <c r="M123" s="1251"/>
      <c r="N123" s="1253"/>
      <c r="O123" s="1251"/>
      <c r="P123" s="1251"/>
      <c r="Q123" s="1251"/>
      <c r="R123" s="1251"/>
      <c r="S123" s="1251"/>
      <c r="T123" s="1251"/>
      <c r="U123" s="1251"/>
      <c r="V123" s="1251"/>
      <c r="W123" s="1251"/>
      <c r="X123" s="1251"/>
      <c r="Y123" s="1251"/>
      <c r="Z123" s="1274"/>
      <c r="AA123" s="1274"/>
      <c r="AB123" s="1274"/>
      <c r="AC123" s="1274"/>
      <c r="AD123" s="1274"/>
      <c r="AE123" s="1274"/>
      <c r="AF123" s="1274"/>
      <c r="AG123" s="1274"/>
      <c r="AH123" s="1274"/>
      <c r="AI123" s="1274"/>
      <c r="AJ123" s="1274"/>
      <c r="AK123" s="1274"/>
      <c r="AL123" s="1274"/>
      <c r="AM123" s="1274"/>
      <c r="AN123" s="1274"/>
      <c r="AO123" s="1274"/>
      <c r="AP123" s="1274"/>
      <c r="AQ123" s="1274"/>
      <c r="AR123" s="1274"/>
      <c r="AS123" s="1251"/>
      <c r="AT123" s="1251"/>
      <c r="AU123" s="1251"/>
      <c r="AV123" s="1251"/>
      <c r="AW123" s="1251"/>
      <c r="AX123" s="1251"/>
      <c r="AY123" s="1251"/>
      <c r="AZ123" s="1251"/>
      <c r="BA123" s="1251"/>
      <c r="BB123" s="1251"/>
      <c r="BC123" s="1251"/>
      <c r="BD123" s="1251"/>
      <c r="BE123" s="1251"/>
      <c r="BF123" s="1251"/>
      <c r="BG123" s="1251"/>
      <c r="BH123" s="1251"/>
      <c r="BI123" s="1251"/>
      <c r="BJ123" s="1251"/>
      <c r="BK123" s="1251"/>
      <c r="BL123" s="1251"/>
      <c r="BM123" s="1251"/>
      <c r="BN123" s="1251"/>
      <c r="BO123" s="1251"/>
      <c r="BP123" s="1251"/>
      <c r="BQ123" s="1251"/>
      <c r="BR123" s="1251"/>
      <c r="BS123" s="1251"/>
      <c r="BT123" s="1251"/>
      <c r="BU123" s="1251"/>
      <c r="BV123" s="1251"/>
      <c r="BW123" s="1251"/>
      <c r="BX123" s="1251"/>
      <c r="BY123" s="1251"/>
      <c r="BZ123" s="1251"/>
      <c r="CA123" s="1251"/>
      <c r="CB123" s="1251"/>
      <c r="CC123" s="1251"/>
      <c r="CD123" s="1251"/>
      <c r="CE123" s="1251"/>
      <c r="CF123" s="1251"/>
      <c r="CG123" s="1251"/>
      <c r="CH123" s="1251"/>
      <c r="CI123" s="1251"/>
      <c r="CJ123" s="1251"/>
      <c r="CK123" s="1251"/>
      <c r="CL123" s="1251"/>
      <c r="CM123" s="1251"/>
      <c r="CN123" s="1251"/>
      <c r="CO123" s="1251"/>
      <c r="CP123" s="1251"/>
      <c r="CQ123" s="1251"/>
      <c r="CR123" s="1251"/>
      <c r="CS123" s="1251"/>
      <c r="CT123" s="1251"/>
      <c r="CU123" s="1251"/>
      <c r="CV123" s="1251"/>
      <c r="CW123" s="1251"/>
      <c r="CX123" s="1251"/>
      <c r="CY123" s="1251"/>
      <c r="CZ123" s="1251"/>
      <c r="DA123" s="1251"/>
      <c r="DB123" s="1251"/>
      <c r="DC123" s="1251"/>
      <c r="DD123" s="1251"/>
      <c r="DE123" s="1251"/>
      <c r="DF123" s="1251"/>
      <c r="DG123" s="1251"/>
      <c r="DH123" s="1251"/>
      <c r="DI123" s="1251"/>
      <c r="DJ123" s="1251"/>
      <c r="DK123" s="1251"/>
      <c r="DL123" s="1251"/>
      <c r="DM123" s="1251"/>
      <c r="DN123" s="1251"/>
      <c r="DO123" s="1251"/>
      <c r="DP123" s="1251"/>
      <c r="DQ123" s="1251"/>
      <c r="DR123" s="1251"/>
      <c r="DS123" s="1251"/>
      <c r="DT123" s="1251"/>
      <c r="DU123" s="1251"/>
      <c r="DV123" s="1251"/>
      <c r="DW123" s="1251"/>
      <c r="DX123" s="1251"/>
      <c r="DY123" s="1251"/>
      <c r="DZ123" s="1251"/>
      <c r="EA123" s="1251"/>
      <c r="EB123" s="1251"/>
      <c r="EC123" s="1251"/>
      <c r="ED123" s="1251"/>
      <c r="EE123" s="1251"/>
      <c r="EF123" s="1251"/>
      <c r="EG123" s="1251"/>
      <c r="EH123" s="1251"/>
      <c r="EI123" s="1251"/>
      <c r="EJ123" s="1251"/>
      <c r="EK123" s="1251"/>
      <c r="EL123" s="1251"/>
      <c r="EM123" s="1251"/>
      <c r="EN123" s="1251"/>
      <c r="EO123" s="1251"/>
      <c r="EP123" s="1251"/>
      <c r="EQ123" s="1251"/>
      <c r="ER123" s="1251"/>
      <c r="ES123" s="1251"/>
      <c r="ET123" s="1251"/>
      <c r="EU123" s="1251"/>
      <c r="EV123" s="1251"/>
      <c r="EW123" s="1251"/>
      <c r="EX123" s="1251"/>
      <c r="EY123" s="1251"/>
      <c r="EZ123" s="1251"/>
      <c r="FA123" s="1251"/>
      <c r="FB123" s="1251"/>
      <c r="FC123" s="1251"/>
      <c r="FD123" s="1251"/>
      <c r="FE123" s="1251"/>
      <c r="FF123" s="1251"/>
      <c r="FG123" s="1251"/>
      <c r="FH123" s="1251"/>
      <c r="FI123" s="1251"/>
      <c r="FJ123" s="1251"/>
      <c r="FK123" s="1251"/>
      <c r="FL123" s="1251"/>
      <c r="FM123" s="1251"/>
      <c r="FN123" s="1251"/>
      <c r="FO123" s="1251"/>
      <c r="FP123" s="1251"/>
      <c r="FQ123" s="1251"/>
      <c r="FR123" s="1251"/>
      <c r="FS123" s="1251"/>
      <c r="FT123" s="1251"/>
      <c r="FU123" s="1251"/>
      <c r="FV123" s="1251"/>
      <c r="FW123" s="1251"/>
      <c r="FX123" s="1251"/>
      <c r="FY123" s="1251"/>
      <c r="FZ123" s="1251"/>
      <c r="GA123" s="1251"/>
      <c r="GB123" s="1251"/>
      <c r="GC123" s="1251"/>
      <c r="GD123" s="1251"/>
      <c r="GE123" s="1251"/>
      <c r="GF123" s="1251"/>
      <c r="GG123" s="1251"/>
      <c r="GH123" s="1251"/>
      <c r="GI123" s="1251"/>
      <c r="GJ123" s="1251"/>
      <c r="GK123" s="1251"/>
      <c r="GL123" s="1251"/>
      <c r="GM123" s="1251"/>
      <c r="GN123" s="1251"/>
      <c r="GO123" s="1251"/>
      <c r="GP123" s="1251"/>
      <c r="GQ123" s="1251"/>
      <c r="GR123" s="1251"/>
      <c r="GS123" s="1251"/>
      <c r="GT123" s="1251"/>
      <c r="GU123" s="1251"/>
      <c r="GV123" s="1251"/>
      <c r="GW123" s="1251"/>
      <c r="GX123" s="1251"/>
      <c r="GY123" s="1251"/>
      <c r="GZ123" s="1251"/>
      <c r="HA123" s="1251"/>
      <c r="HB123" s="1251"/>
      <c r="HC123" s="1251"/>
      <c r="HD123" s="1251"/>
      <c r="HE123" s="1251"/>
      <c r="HF123" s="1251"/>
      <c r="HG123" s="1251"/>
      <c r="HH123" s="1251"/>
      <c r="HI123" s="1251"/>
      <c r="HJ123" s="1251"/>
      <c r="HK123" s="1251"/>
      <c r="HL123" s="1251"/>
      <c r="HM123" s="1251"/>
      <c r="HN123" s="1251"/>
      <c r="HO123" s="1251"/>
      <c r="HP123" s="1251"/>
      <c r="HQ123" s="1251"/>
      <c r="HR123" s="1251"/>
      <c r="HS123" s="1251"/>
      <c r="HT123" s="1251"/>
      <c r="HU123" s="1251"/>
      <c r="HV123" s="1251"/>
      <c r="HW123" s="1251"/>
      <c r="HX123" s="1251"/>
      <c r="HY123" s="1251"/>
      <c r="HZ123" s="1251"/>
      <c r="IA123" s="1251"/>
      <c r="IB123" s="1251"/>
      <c r="IC123" s="1251"/>
      <c r="ID123" s="1251"/>
      <c r="IE123" s="1251"/>
      <c r="IF123" s="1251"/>
      <c r="IG123" s="1251"/>
      <c r="IH123" s="1251"/>
      <c r="II123" s="1251"/>
      <c r="IJ123" s="1251"/>
      <c r="IK123" s="1251"/>
      <c r="IL123" s="1251"/>
      <c r="IM123" s="1251"/>
      <c r="IN123" s="1251"/>
      <c r="IO123" s="1251"/>
      <c r="IP123" s="1251"/>
      <c r="IQ123" s="1251"/>
      <c r="IR123" s="1251"/>
      <c r="IS123" s="1251"/>
      <c r="IT123" s="1251"/>
      <c r="IU123" s="1251"/>
      <c r="IV123" s="1251"/>
      <c r="IW123" s="1251"/>
      <c r="IX123" s="1251"/>
      <c r="IY123" s="1251"/>
      <c r="IZ123" s="1251"/>
      <c r="JA123" s="1251"/>
      <c r="JB123" s="1251"/>
      <c r="JC123" s="1251"/>
      <c r="JD123" s="1251"/>
      <c r="JE123" s="1251"/>
      <c r="JF123" s="1251"/>
      <c r="JG123" s="1251"/>
      <c r="JH123" s="1251"/>
      <c r="JI123" s="1251"/>
      <c r="JJ123" s="1251"/>
      <c r="JK123" s="1251"/>
      <c r="JL123" s="1251"/>
      <c r="JM123" s="1251"/>
      <c r="JN123" s="1251"/>
      <c r="JO123" s="1251"/>
      <c r="JP123" s="1251"/>
      <c r="JQ123" s="1251"/>
      <c r="JR123" s="1251"/>
      <c r="JS123" s="1251"/>
      <c r="JT123" s="1251"/>
      <c r="JU123" s="1251"/>
      <c r="JV123" s="1251"/>
      <c r="JW123" s="1251"/>
      <c r="JX123" s="1251"/>
      <c r="JY123" s="1251"/>
      <c r="JZ123" s="1251"/>
      <c r="KA123" s="1251"/>
      <c r="KB123" s="1251"/>
      <c r="KC123" s="1251"/>
      <c r="KD123" s="1251"/>
      <c r="KE123" s="1251"/>
      <c r="KF123" s="1251"/>
      <c r="KG123" s="1251"/>
      <c r="KH123" s="1251"/>
      <c r="KI123" s="1251"/>
      <c r="KJ123" s="1251"/>
      <c r="KK123" s="1251"/>
      <c r="KL123" s="1251"/>
      <c r="KM123" s="1251"/>
      <c r="KN123" s="1251"/>
      <c r="KO123" s="1251"/>
      <c r="KP123" s="1251"/>
      <c r="KQ123" s="1251"/>
      <c r="KR123" s="1251"/>
      <c r="KS123" s="1251"/>
      <c r="KT123" s="1251"/>
      <c r="KU123" s="1251"/>
      <c r="KV123" s="1251"/>
      <c r="KW123" s="1251"/>
      <c r="KX123" s="1251"/>
      <c r="KY123" s="1251"/>
      <c r="KZ123" s="1251"/>
      <c r="LA123" s="1251"/>
      <c r="LB123" s="1251"/>
      <c r="LC123" s="1251"/>
      <c r="LD123" s="1251"/>
      <c r="LE123" s="1251"/>
      <c r="LF123" s="1251"/>
      <c r="LG123" s="1251"/>
      <c r="LH123" s="1251"/>
      <c r="LI123" s="1251"/>
      <c r="LJ123" s="1251"/>
      <c r="LK123" s="1251"/>
      <c r="LL123" s="1251"/>
      <c r="LM123" s="1251"/>
      <c r="LN123" s="1251"/>
      <c r="LO123" s="1251"/>
      <c r="LP123" s="1251"/>
      <c r="LQ123" s="1251"/>
      <c r="LR123" s="1251"/>
      <c r="LS123" s="1251"/>
      <c r="LT123" s="1251"/>
      <c r="LU123" s="1251"/>
      <c r="LV123" s="1251"/>
      <c r="LW123" s="1251"/>
      <c r="LX123" s="1251"/>
      <c r="LY123" s="1251"/>
      <c r="LZ123" s="1251"/>
      <c r="MA123" s="1251"/>
      <c r="MB123" s="1251"/>
      <c r="MC123" s="1251"/>
      <c r="MD123" s="1251"/>
      <c r="ME123" s="1251"/>
      <c r="MF123" s="1251"/>
      <c r="MG123" s="1251"/>
      <c r="MH123" s="1251"/>
      <c r="MI123" s="1251"/>
      <c r="MJ123" s="1251"/>
      <c r="MK123" s="1251"/>
      <c r="ML123" s="1251"/>
      <c r="MM123" s="1251"/>
      <c r="MN123" s="1251"/>
      <c r="MO123" s="1251"/>
      <c r="MP123" s="1251"/>
      <c r="MQ123" s="1251"/>
      <c r="MR123" s="1251"/>
      <c r="MS123" s="1251"/>
      <c r="MT123" s="1251"/>
      <c r="MU123" s="1251"/>
      <c r="MV123" s="1251"/>
      <c r="MW123" s="1251"/>
      <c r="MX123" s="1251"/>
      <c r="MY123" s="1251"/>
      <c r="MZ123" s="1251"/>
      <c r="NA123" s="1251"/>
      <c r="NB123" s="1251"/>
      <c r="NC123" s="1251"/>
      <c r="ND123" s="1251"/>
      <c r="NE123" s="1251"/>
      <c r="NF123" s="1251"/>
      <c r="NG123" s="1251"/>
      <c r="NH123" s="1251"/>
      <c r="NI123" s="1251"/>
      <c r="NJ123" s="1251"/>
      <c r="NK123" s="1251"/>
      <c r="NL123" s="1251"/>
      <c r="NM123" s="1251"/>
      <c r="NN123" s="1251"/>
      <c r="NO123" s="1251"/>
      <c r="NP123" s="1251"/>
      <c r="NQ123" s="1251"/>
      <c r="NR123" s="1251"/>
      <c r="NS123" s="1251"/>
      <c r="NT123" s="1251"/>
      <c r="NU123" s="1251"/>
      <c r="NV123" s="1251"/>
      <c r="NW123" s="1251"/>
      <c r="NX123" s="1251"/>
      <c r="NY123" s="1251"/>
      <c r="NZ123" s="1251"/>
      <c r="OA123" s="1251"/>
      <c r="OB123" s="1251"/>
      <c r="OC123" s="1251"/>
      <c r="OD123" s="1251"/>
      <c r="OE123" s="1251"/>
      <c r="OF123" s="1251"/>
      <c r="OG123" s="1251"/>
      <c r="OH123" s="1251"/>
      <c r="OI123" s="1251"/>
      <c r="OJ123" s="1251"/>
      <c r="OK123" s="1251"/>
      <c r="OL123" s="1251"/>
      <c r="OM123" s="1251"/>
      <c r="ON123" s="1251"/>
      <c r="OO123" s="1251"/>
      <c r="OP123" s="1251"/>
      <c r="OQ123" s="1251"/>
      <c r="OR123" s="1251"/>
      <c r="OS123" s="1251"/>
      <c r="OT123" s="1251"/>
      <c r="OU123" s="1251"/>
      <c r="OV123" s="1251"/>
      <c r="OW123" s="1251"/>
      <c r="OX123" s="1251"/>
      <c r="OY123" s="1251"/>
      <c r="OZ123" s="1251"/>
      <c r="PA123" s="1251"/>
      <c r="PB123" s="1251"/>
      <c r="PC123" s="1251"/>
      <c r="PD123" s="1251"/>
      <c r="PE123" s="1251"/>
      <c r="PF123" s="1251"/>
      <c r="PG123" s="1251"/>
      <c r="PH123" s="1251"/>
      <c r="PI123" s="1251"/>
      <c r="PJ123" s="1251"/>
      <c r="PK123" s="1251"/>
      <c r="PL123" s="1251"/>
      <c r="PM123" s="1251"/>
      <c r="PN123" s="1251"/>
      <c r="PO123" s="1251"/>
      <c r="PP123" s="1251"/>
      <c r="PQ123" s="1251"/>
      <c r="PR123" s="1251"/>
      <c r="PS123" s="1251"/>
      <c r="PT123" s="1251"/>
      <c r="PU123" s="1251"/>
      <c r="PV123" s="1251"/>
      <c r="PW123" s="1251"/>
      <c r="PX123" s="1251"/>
      <c r="PY123" s="1251"/>
      <c r="PZ123" s="1251"/>
      <c r="QA123" s="1251"/>
      <c r="QB123" s="1251"/>
      <c r="QC123" s="1251"/>
      <c r="QD123" s="1251"/>
      <c r="QE123" s="1251"/>
      <c r="QF123" s="1251"/>
      <c r="QG123" s="1251"/>
      <c r="QH123" s="1251"/>
      <c r="QI123" s="1251"/>
      <c r="QJ123" s="1251"/>
      <c r="QK123" s="1251"/>
      <c r="QL123" s="1251"/>
      <c r="QM123" s="1251"/>
      <c r="QN123" s="1251"/>
      <c r="QO123" s="1251"/>
      <c r="QP123" s="1251"/>
      <c r="QQ123" s="1251"/>
      <c r="QR123" s="1251"/>
      <c r="QS123" s="1251"/>
      <c r="QT123" s="1251"/>
      <c r="QU123" s="1251"/>
      <c r="QV123" s="1251"/>
      <c r="QW123" s="1251"/>
      <c r="QX123" s="1251"/>
      <c r="QY123" s="1251"/>
      <c r="QZ123" s="1251"/>
      <c r="RA123" s="1251"/>
      <c r="RB123" s="1251"/>
      <c r="RC123" s="1251"/>
      <c r="RD123" s="1251"/>
      <c r="RE123" s="1251"/>
      <c r="RF123" s="1251"/>
      <c r="RG123" s="1251"/>
      <c r="RH123" s="1251"/>
      <c r="RI123" s="1251"/>
      <c r="RJ123" s="1251"/>
      <c r="RK123" s="1251"/>
      <c r="RL123" s="1251"/>
      <c r="RM123" s="1251"/>
      <c r="RN123" s="1251"/>
      <c r="RO123" s="1251"/>
      <c r="RP123" s="1251"/>
      <c r="RQ123" s="1251"/>
      <c r="RR123" s="1251"/>
      <c r="RS123" s="1251"/>
      <c r="RT123" s="1251"/>
      <c r="RU123" s="1251"/>
      <c r="RV123" s="1251"/>
      <c r="RW123" s="1251"/>
      <c r="RX123" s="1251"/>
      <c r="RY123" s="1251"/>
      <c r="RZ123" s="1251"/>
      <c r="SA123" s="1251"/>
      <c r="SB123" s="1251"/>
      <c r="SC123" s="1251"/>
      <c r="SD123" s="1251"/>
      <c r="SE123" s="1251"/>
      <c r="SF123" s="1251"/>
      <c r="SG123" s="1251"/>
      <c r="SH123" s="1251"/>
      <c r="SI123" s="1251"/>
      <c r="SJ123" s="1251"/>
      <c r="SK123" s="1251"/>
      <c r="SL123" s="1251"/>
      <c r="SM123" s="1251"/>
      <c r="SN123" s="1251"/>
      <c r="SO123" s="1251"/>
      <c r="SP123" s="1251"/>
      <c r="SQ123" s="1251"/>
      <c r="SR123" s="1251"/>
      <c r="SS123" s="1251"/>
      <c r="ST123" s="1251"/>
      <c r="SU123" s="1251"/>
      <c r="SV123" s="1251"/>
      <c r="SW123" s="1251"/>
      <c r="SX123" s="1251"/>
      <c r="SY123" s="1251"/>
      <c r="SZ123" s="1251"/>
      <c r="TA123" s="1251"/>
      <c r="TB123" s="1251"/>
      <c r="TC123" s="1251"/>
      <c r="TD123" s="1251"/>
      <c r="TE123" s="1251"/>
      <c r="TF123" s="1251"/>
      <c r="TG123" s="1251"/>
      <c r="TH123" s="1251"/>
      <c r="TI123" s="1251"/>
      <c r="TJ123" s="1251"/>
      <c r="TK123" s="1251"/>
      <c r="TL123" s="1251"/>
      <c r="TM123" s="1251"/>
      <c r="TN123" s="1251"/>
      <c r="TO123" s="1251"/>
      <c r="TP123" s="1251"/>
      <c r="TQ123" s="1251"/>
      <c r="TR123" s="1251"/>
      <c r="TS123" s="1251"/>
      <c r="TT123" s="1251"/>
      <c r="TU123" s="1251"/>
      <c r="TV123" s="1251"/>
      <c r="TW123" s="1251"/>
      <c r="TX123" s="1251"/>
      <c r="TY123" s="1251"/>
      <c r="TZ123" s="1251"/>
      <c r="UA123" s="1251"/>
      <c r="UB123" s="1251"/>
      <c r="UC123" s="1251"/>
      <c r="UD123" s="1251"/>
      <c r="UE123" s="1251"/>
      <c r="UF123" s="1251"/>
      <c r="UG123" s="1251"/>
      <c r="UH123" s="1251"/>
      <c r="UI123" s="1251"/>
      <c r="UJ123" s="1251"/>
      <c r="UK123" s="1251"/>
      <c r="UL123" s="1251"/>
      <c r="UM123" s="1251"/>
      <c r="UN123" s="1251"/>
      <c r="UO123" s="1251"/>
      <c r="UP123" s="1251"/>
      <c r="UQ123" s="1251"/>
      <c r="UR123" s="1251"/>
      <c r="US123" s="1251"/>
      <c r="UT123" s="1251"/>
      <c r="UU123" s="1251"/>
      <c r="UV123" s="1251"/>
      <c r="UW123" s="1251"/>
      <c r="UX123" s="1251"/>
      <c r="UY123" s="1251"/>
      <c r="UZ123" s="1251"/>
      <c r="VA123" s="1251"/>
      <c r="VB123" s="1251"/>
      <c r="VC123" s="1251"/>
      <c r="VD123" s="1251"/>
      <c r="VE123" s="1251"/>
      <c r="VF123" s="1251"/>
      <c r="VG123" s="1251"/>
      <c r="VH123" s="1251"/>
      <c r="VI123" s="1251"/>
      <c r="VJ123" s="1251"/>
      <c r="VK123" s="1251"/>
      <c r="VL123" s="1251"/>
      <c r="VM123" s="1251"/>
      <c r="VN123" s="1251"/>
      <c r="VO123" s="1251"/>
      <c r="VP123" s="1251"/>
      <c r="VQ123" s="1251"/>
      <c r="VR123" s="1251"/>
      <c r="VS123" s="1251"/>
      <c r="VT123" s="1251"/>
      <c r="VU123" s="1251"/>
      <c r="VV123" s="1251"/>
      <c r="VW123" s="1251"/>
      <c r="VX123" s="1251"/>
      <c r="VY123" s="1251"/>
      <c r="VZ123" s="1251"/>
      <c r="WA123" s="1251"/>
      <c r="WB123" s="1251"/>
      <c r="WC123" s="1251"/>
      <c r="WD123" s="1251"/>
      <c r="WE123" s="1251"/>
      <c r="WF123" s="1251"/>
      <c r="WG123" s="1251"/>
      <c r="WH123" s="1251"/>
      <c r="WI123" s="1251"/>
      <c r="WJ123" s="1251"/>
      <c r="WK123" s="1251"/>
      <c r="WL123" s="1251"/>
      <c r="WM123" s="1251"/>
      <c r="WN123" s="1251"/>
      <c r="WO123" s="1251"/>
      <c r="WP123" s="1251"/>
      <c r="WQ123" s="1251"/>
      <c r="WR123" s="1251"/>
      <c r="WS123" s="1251"/>
      <c r="WT123" s="1251"/>
      <c r="WU123" s="1251"/>
      <c r="WV123" s="1251"/>
      <c r="WW123" s="1251"/>
      <c r="WX123" s="1251"/>
      <c r="WY123" s="1251"/>
      <c r="WZ123" s="1251"/>
      <c r="XA123" s="1251"/>
      <c r="XB123" s="1251"/>
      <c r="XC123" s="1251"/>
      <c r="XD123" s="1251"/>
      <c r="XE123" s="1251"/>
      <c r="XF123" s="1251"/>
      <c r="XG123" s="1251"/>
      <c r="XH123" s="1251"/>
      <c r="XI123" s="1251"/>
      <c r="XJ123" s="1251"/>
      <c r="XK123" s="1251"/>
      <c r="XL123" s="1251"/>
      <c r="XM123" s="1251"/>
      <c r="XN123" s="1251"/>
      <c r="XO123" s="1251"/>
      <c r="XP123" s="1251"/>
      <c r="XQ123" s="1251"/>
      <c r="XR123" s="1251"/>
      <c r="XS123" s="1251"/>
      <c r="XT123" s="1251"/>
      <c r="XU123" s="1251"/>
      <c r="XV123" s="1251"/>
      <c r="XW123" s="1251"/>
      <c r="XX123" s="1251"/>
      <c r="XY123" s="1251"/>
      <c r="XZ123" s="1251"/>
      <c r="YA123" s="1251"/>
      <c r="YB123" s="1251"/>
      <c r="YC123" s="1251"/>
      <c r="YD123" s="1251"/>
      <c r="YE123" s="1251"/>
      <c r="YF123" s="1251"/>
      <c r="YG123" s="1251"/>
      <c r="YH123" s="1251"/>
      <c r="YI123" s="1251"/>
      <c r="YJ123" s="1251"/>
      <c r="YK123" s="1251"/>
      <c r="YL123" s="1251"/>
      <c r="YM123" s="1251"/>
      <c r="YN123" s="1251"/>
      <c r="YO123" s="1251"/>
      <c r="YP123" s="1251"/>
      <c r="YQ123" s="1251"/>
      <c r="YR123" s="1251"/>
      <c r="YS123" s="1251"/>
      <c r="YT123" s="1251"/>
      <c r="YU123" s="1251"/>
      <c r="YV123" s="1251"/>
      <c r="YW123" s="1251"/>
      <c r="YX123" s="1251"/>
      <c r="YY123" s="1251"/>
      <c r="YZ123" s="1251"/>
      <c r="ZA123" s="1251"/>
      <c r="ZB123" s="1251"/>
      <c r="ZC123" s="1251"/>
      <c r="ZD123" s="1251"/>
      <c r="ZE123" s="1251"/>
      <c r="ZF123" s="1251"/>
      <c r="ZG123" s="1251"/>
      <c r="ZH123" s="1251"/>
      <c r="ZI123" s="1251"/>
      <c r="ZJ123" s="1251"/>
      <c r="ZK123" s="1251"/>
      <c r="ZL123" s="1251"/>
      <c r="ZM123" s="1251"/>
      <c r="ZN123" s="1251"/>
      <c r="ZO123" s="1251"/>
      <c r="ZP123" s="1251"/>
      <c r="ZQ123" s="1251"/>
      <c r="ZR123" s="1251"/>
      <c r="ZS123" s="1251"/>
      <c r="ZT123" s="1251"/>
      <c r="ZU123" s="1251"/>
      <c r="ZV123" s="1251"/>
      <c r="ZW123" s="1251"/>
      <c r="ZX123" s="1251"/>
      <c r="ZY123" s="1251"/>
      <c r="ZZ123" s="1251"/>
      <c r="AAA123" s="1251"/>
      <c r="AAB123" s="1251"/>
      <c r="AAC123" s="1251"/>
      <c r="AAD123" s="1251"/>
      <c r="AAE123" s="1251"/>
      <c r="AAF123" s="1251"/>
      <c r="AAG123" s="1251"/>
      <c r="AAH123" s="1251"/>
      <c r="AAI123" s="1251"/>
      <c r="AAJ123" s="1251"/>
      <c r="AAK123" s="1251"/>
      <c r="AAL123" s="1251"/>
      <c r="AAM123" s="1251"/>
      <c r="AAN123" s="1251"/>
      <c r="AAO123" s="1251"/>
      <c r="AAP123" s="1251"/>
      <c r="AAQ123" s="1251"/>
      <c r="AAR123" s="1251"/>
      <c r="AAS123" s="1251"/>
      <c r="AAT123" s="1251"/>
      <c r="AAU123" s="1251"/>
      <c r="AAV123" s="1251"/>
      <c r="AAW123" s="1251"/>
      <c r="AAX123" s="1251"/>
      <c r="AAY123" s="1251"/>
      <c r="AAZ123" s="1251"/>
      <c r="ABA123" s="1251"/>
      <c r="ABB123" s="1251"/>
      <c r="ABC123" s="1251"/>
      <c r="ABD123" s="1251"/>
      <c r="ABE123" s="1251"/>
      <c r="ABF123" s="1251"/>
      <c r="ABG123" s="1251"/>
      <c r="ABH123" s="1251"/>
      <c r="ABI123" s="1251"/>
      <c r="ABJ123" s="1251"/>
      <c r="ABK123" s="1251"/>
      <c r="ABL123" s="1251"/>
      <c r="ABM123" s="1251"/>
      <c r="ABN123" s="1251"/>
      <c r="ABO123" s="1251"/>
      <c r="ABP123" s="1251"/>
      <c r="ABQ123" s="1251"/>
      <c r="ABR123" s="1251"/>
      <c r="ABS123" s="1251"/>
      <c r="ABT123" s="1251"/>
      <c r="ABU123" s="1251"/>
      <c r="ABV123" s="1251"/>
      <c r="ABW123" s="1251"/>
      <c r="ABX123" s="1251"/>
      <c r="ABY123" s="1251"/>
      <c r="ABZ123" s="1251"/>
      <c r="ACA123" s="1251"/>
      <c r="ACB123" s="1251"/>
      <c r="ACC123" s="1251"/>
      <c r="ACD123" s="1251"/>
      <c r="ACE123" s="1251"/>
      <c r="ACF123" s="1251"/>
      <c r="ACG123" s="1251"/>
      <c r="ACH123" s="1251"/>
      <c r="ACI123" s="1251"/>
      <c r="ACJ123" s="1251"/>
      <c r="ACK123" s="1251"/>
      <c r="ACL123" s="1251"/>
      <c r="ACM123" s="1251"/>
      <c r="ACN123" s="1251"/>
      <c r="ACO123" s="1251"/>
      <c r="ACP123" s="1251"/>
      <c r="ACQ123" s="1251"/>
      <c r="ACR123" s="1251"/>
      <c r="ACS123" s="1251"/>
      <c r="ACT123" s="1251"/>
      <c r="ACU123" s="1251"/>
      <c r="ACV123" s="1251"/>
      <c r="ACW123" s="1251"/>
      <c r="ACX123" s="1251"/>
      <c r="ACY123" s="1251"/>
      <c r="ACZ123" s="1251"/>
      <c r="ADA123" s="1251"/>
      <c r="ADB123" s="1251"/>
      <c r="ADC123" s="1251"/>
      <c r="ADD123" s="1251"/>
      <c r="ADE123" s="1251"/>
      <c r="ADF123" s="1251"/>
      <c r="ADG123" s="1251"/>
      <c r="ADH123" s="1251"/>
      <c r="ADI123" s="1251"/>
      <c r="ADJ123" s="1251"/>
      <c r="ADK123" s="1251"/>
      <c r="ADL123" s="1251"/>
      <c r="ADM123" s="1251"/>
      <c r="ADN123" s="1251"/>
      <c r="ADO123" s="1251"/>
      <c r="ADP123" s="1251"/>
      <c r="ADQ123" s="1251"/>
      <c r="ADR123" s="1251"/>
      <c r="ADS123" s="1251"/>
      <c r="ADT123" s="1251"/>
      <c r="ADU123" s="1251"/>
      <c r="ADV123" s="1251"/>
      <c r="ADW123" s="1251"/>
      <c r="ADX123" s="1251"/>
      <c r="ADY123" s="1251"/>
      <c r="ADZ123" s="1251"/>
      <c r="AEA123" s="1251"/>
      <c r="AEB123" s="1251"/>
      <c r="AEC123" s="1251"/>
      <c r="AED123" s="1251"/>
      <c r="AEE123" s="1251"/>
      <c r="AEF123" s="1251"/>
      <c r="AEG123" s="1251"/>
      <c r="AEH123" s="1251"/>
      <c r="AEI123" s="1251"/>
      <c r="AEJ123" s="1251"/>
      <c r="AEK123" s="1251"/>
      <c r="AEL123" s="1251"/>
      <c r="AEM123" s="1251"/>
      <c r="AEN123" s="1251"/>
      <c r="AEO123" s="1251"/>
      <c r="AEP123" s="1251"/>
      <c r="AEQ123" s="1251"/>
      <c r="AER123" s="1251"/>
      <c r="AES123" s="1251"/>
      <c r="AET123" s="1251"/>
      <c r="AEU123" s="1251"/>
      <c r="AEV123" s="1251"/>
      <c r="AEW123" s="1251"/>
      <c r="AEX123" s="1251"/>
      <c r="AEY123" s="1251"/>
      <c r="AEZ123" s="1251"/>
      <c r="AFA123" s="1251"/>
      <c r="AFB123" s="1251"/>
      <c r="AFC123" s="1251"/>
      <c r="AFD123" s="1251"/>
      <c r="AFE123" s="1251"/>
      <c r="AFF123" s="1251"/>
      <c r="AFG123" s="1251"/>
      <c r="AFH123" s="1251"/>
      <c r="AFI123" s="1251"/>
      <c r="AFJ123" s="1251"/>
      <c r="AFK123" s="1251"/>
      <c r="AFL123" s="1251"/>
      <c r="AFM123" s="1251"/>
      <c r="AFN123" s="1251"/>
      <c r="AFO123" s="1251"/>
      <c r="AFP123" s="1251"/>
      <c r="AFQ123" s="1251"/>
      <c r="AFR123" s="1251"/>
      <c r="AFS123" s="1251"/>
      <c r="AFT123" s="1251"/>
      <c r="AFU123" s="1251"/>
      <c r="AFV123" s="1251"/>
      <c r="AFW123" s="1251"/>
      <c r="AFX123" s="1251"/>
      <c r="AFY123" s="1251"/>
      <c r="AFZ123" s="1251"/>
      <c r="AGA123" s="1251"/>
      <c r="AGB123" s="1251"/>
      <c r="AGC123" s="1251"/>
      <c r="AGD123" s="1251"/>
      <c r="AGE123" s="1251"/>
      <c r="AGF123" s="1251"/>
      <c r="AGG123" s="1251"/>
      <c r="AGH123" s="1251"/>
      <c r="AGI123" s="1251"/>
      <c r="AGJ123" s="1251"/>
      <c r="AGK123" s="1251"/>
      <c r="AGL123" s="1251"/>
      <c r="AGM123" s="1251"/>
      <c r="AGN123" s="1251"/>
      <c r="AGO123" s="1251"/>
      <c r="AGP123" s="1251"/>
      <c r="AGQ123" s="1251"/>
      <c r="AGR123" s="1251"/>
      <c r="AGS123" s="1251"/>
      <c r="AGT123" s="1251"/>
      <c r="AGU123" s="1251"/>
      <c r="AGV123" s="1251"/>
      <c r="AGW123" s="1251"/>
      <c r="AGX123" s="1251"/>
      <c r="AGY123" s="1251"/>
      <c r="AGZ123" s="1251"/>
      <c r="AHA123" s="1251"/>
      <c r="AHB123" s="1251"/>
      <c r="AHC123" s="1251"/>
      <c r="AHD123" s="1251"/>
      <c r="AHE123" s="1251"/>
      <c r="AHF123" s="1251"/>
      <c r="AHG123" s="1251"/>
      <c r="AHH123" s="1251"/>
      <c r="AHI123" s="1251"/>
      <c r="AHJ123" s="1251"/>
      <c r="AHK123" s="1251"/>
      <c r="AHL123" s="1251"/>
      <c r="AHM123" s="1251"/>
      <c r="AHN123" s="1251"/>
      <c r="AHO123" s="1251"/>
      <c r="AHP123" s="1251"/>
      <c r="AHQ123" s="1251"/>
      <c r="AHR123" s="1251"/>
      <c r="AHS123" s="1251"/>
      <c r="AHT123" s="1251"/>
      <c r="AHU123" s="1251"/>
      <c r="AHV123" s="1251"/>
      <c r="AHW123" s="1251"/>
      <c r="AHX123" s="1251"/>
      <c r="AHY123" s="1251"/>
      <c r="AHZ123" s="1251"/>
      <c r="AIA123" s="1251"/>
      <c r="AIB123" s="1251"/>
      <c r="AIC123" s="1251"/>
      <c r="AID123" s="1251"/>
      <c r="AIE123" s="1251"/>
      <c r="AIF123" s="1251"/>
      <c r="AIG123" s="1251"/>
      <c r="AIH123" s="1251"/>
      <c r="AII123" s="1251"/>
      <c r="AIJ123" s="1251"/>
      <c r="AIK123" s="1251"/>
      <c r="AIL123" s="1251"/>
      <c r="AIM123" s="1251"/>
      <c r="AIN123" s="1251"/>
      <c r="AIO123" s="1251"/>
      <c r="AIP123" s="1251"/>
      <c r="AIQ123" s="1251"/>
      <c r="AIR123" s="1251"/>
      <c r="AIS123" s="1251"/>
      <c r="AIT123" s="1251"/>
      <c r="AIU123" s="1251"/>
      <c r="AIV123" s="1251"/>
      <c r="AIW123" s="1251"/>
      <c r="AIX123" s="1251"/>
      <c r="AIY123" s="1251"/>
      <c r="AIZ123" s="1251"/>
      <c r="AJA123" s="1251"/>
      <c r="AJB123" s="1251"/>
      <c r="AJC123" s="1251"/>
      <c r="AJD123" s="1251"/>
      <c r="AJE123" s="1251"/>
      <c r="AJF123" s="1251"/>
      <c r="AJG123" s="1251"/>
      <c r="AJH123" s="1251"/>
      <c r="AJI123" s="1251"/>
      <c r="AJJ123" s="1251"/>
      <c r="AJK123" s="1251"/>
      <c r="AJL123" s="1251"/>
      <c r="AJM123" s="1251"/>
      <c r="AJN123" s="1251"/>
      <c r="AJO123" s="1251"/>
      <c r="AJP123" s="1251"/>
      <c r="AJQ123" s="1251"/>
      <c r="AJR123" s="1251"/>
      <c r="AJS123" s="1251"/>
      <c r="AJT123" s="1251"/>
      <c r="AJU123" s="1251"/>
      <c r="AJV123" s="1251"/>
      <c r="AJW123" s="1251"/>
      <c r="AJX123" s="1251"/>
      <c r="AJY123" s="1251"/>
      <c r="AJZ123" s="1251"/>
      <c r="AKA123" s="1251"/>
      <c r="AKB123" s="1251"/>
      <c r="AKC123" s="1251"/>
      <c r="AKD123" s="1251"/>
      <c r="AKE123" s="1251"/>
      <c r="AKF123" s="1251"/>
      <c r="AKG123" s="1251"/>
      <c r="AKH123" s="1251"/>
      <c r="AKI123" s="1251"/>
      <c r="AKJ123" s="1251"/>
      <c r="AKK123" s="1251"/>
      <c r="AKL123" s="1251"/>
      <c r="AKM123" s="1251"/>
      <c r="AKN123" s="1251"/>
      <c r="AKO123" s="1251"/>
      <c r="AKP123" s="1251"/>
      <c r="AKQ123" s="1251"/>
      <c r="AKR123" s="1251"/>
      <c r="AKS123" s="1251"/>
      <c r="AKT123" s="1251"/>
      <c r="AKU123" s="1251"/>
      <c r="AKV123" s="1251"/>
      <c r="AKW123" s="1251"/>
      <c r="AKX123" s="1251"/>
      <c r="AKY123" s="1251"/>
      <c r="AKZ123" s="1251"/>
      <c r="ALA123" s="1251"/>
      <c r="ALB123" s="1251"/>
      <c r="ALC123" s="1251"/>
      <c r="ALD123" s="1251"/>
      <c r="ALE123" s="1251"/>
      <c r="ALF123" s="1251"/>
      <c r="ALG123" s="1251"/>
      <c r="ALH123" s="1251"/>
      <c r="ALI123" s="1251"/>
      <c r="ALJ123" s="1251"/>
      <c r="ALK123" s="1251"/>
      <c r="ALL123" s="1251"/>
      <c r="ALM123" s="1251"/>
      <c r="ALN123" s="1251"/>
      <c r="ALO123" s="1251"/>
      <c r="ALP123" s="1251"/>
      <c r="ALQ123" s="1251"/>
      <c r="ALR123" s="1251"/>
      <c r="ALS123" s="1251"/>
      <c r="ALT123" s="1251"/>
      <c r="ALU123" s="1251"/>
      <c r="ALV123" s="1251"/>
      <c r="ALW123" s="1251"/>
      <c r="ALX123" s="1251"/>
      <c r="ALY123" s="1251"/>
      <c r="ALZ123" s="1251"/>
      <c r="AMA123" s="1251"/>
      <c r="AMB123" s="1251"/>
      <c r="AMC123" s="1251"/>
      <c r="AMD123" s="1251"/>
      <c r="AME123" s="1251"/>
      <c r="AMF123" s="1251"/>
      <c r="AMG123" s="1251"/>
      <c r="AMH123" s="1251"/>
      <c r="AMI123" s="1251"/>
      <c r="AMJ123" s="1251"/>
      <c r="AMK123" s="1251"/>
      <c r="AML123" s="1251"/>
      <c r="AMM123" s="1251"/>
      <c r="AMN123" s="1251"/>
      <c r="AMO123" s="1251"/>
      <c r="AMP123" s="1251"/>
      <c r="AMQ123" s="1251"/>
      <c r="AMR123" s="1251"/>
      <c r="AMS123" s="1251"/>
      <c r="AMT123" s="1251"/>
      <c r="AMU123" s="1251"/>
      <c r="AMV123" s="1251"/>
      <c r="AMW123" s="1251"/>
      <c r="AMX123" s="1251"/>
      <c r="AMY123" s="1251"/>
      <c r="AMZ123" s="1251"/>
      <c r="ANA123" s="1251"/>
      <c r="ANB123" s="1251"/>
      <c r="ANC123" s="1251"/>
      <c r="AND123" s="1251"/>
      <c r="ANE123" s="1251"/>
      <c r="ANF123" s="1251"/>
      <c r="ANG123" s="1251"/>
      <c r="ANH123" s="1251"/>
      <c r="ANI123" s="1251"/>
      <c r="ANJ123" s="1251"/>
      <c r="ANK123" s="1251"/>
      <c r="ANL123" s="1251"/>
      <c r="ANM123" s="1251"/>
      <c r="ANN123" s="1251"/>
      <c r="ANO123" s="1251"/>
      <c r="ANP123" s="1251"/>
      <c r="ANQ123" s="1251"/>
      <c r="ANR123" s="1251"/>
      <c r="ANS123" s="1251"/>
      <c r="ANT123" s="1251"/>
      <c r="ANU123" s="1251"/>
      <c r="ANV123" s="1251"/>
      <c r="ANW123" s="1251"/>
      <c r="ANX123" s="1251"/>
      <c r="ANY123" s="1251"/>
      <c r="ANZ123" s="1251"/>
      <c r="AOA123" s="1251"/>
      <c r="AOB123" s="1251"/>
      <c r="AOC123" s="1251"/>
      <c r="AOD123" s="1251"/>
      <c r="AOE123" s="1251"/>
      <c r="AOF123" s="1251"/>
      <c r="AOG123" s="1251"/>
      <c r="AOH123" s="1251"/>
      <c r="AOI123" s="1251"/>
      <c r="AOJ123" s="1251"/>
      <c r="AOK123" s="1251"/>
      <c r="AOL123" s="1251"/>
      <c r="AOM123" s="1251"/>
      <c r="AON123" s="1251"/>
      <c r="AOO123" s="1251"/>
      <c r="AOP123" s="1251"/>
      <c r="AOQ123" s="1251"/>
      <c r="AOR123" s="1251"/>
      <c r="AOS123" s="1251"/>
      <c r="AOT123" s="1251"/>
      <c r="AOU123" s="1251"/>
      <c r="AOV123" s="1251"/>
      <c r="AOW123" s="1251"/>
      <c r="AOX123" s="1251"/>
      <c r="AOY123" s="1251"/>
      <c r="AOZ123" s="1251"/>
      <c r="APA123" s="1251"/>
      <c r="APB123" s="1251"/>
      <c r="APC123" s="1251"/>
      <c r="APD123" s="1251"/>
      <c r="APE123" s="1251"/>
      <c r="APF123" s="1251"/>
      <c r="APG123" s="1251"/>
      <c r="APH123" s="1251"/>
      <c r="API123" s="1251"/>
      <c r="APJ123" s="1251"/>
      <c r="APK123" s="1251"/>
      <c r="APL123" s="1251"/>
      <c r="APM123" s="1251"/>
      <c r="APN123" s="1251"/>
      <c r="APO123" s="1251"/>
      <c r="APP123" s="1251"/>
      <c r="APQ123" s="1251"/>
      <c r="APR123" s="1251"/>
      <c r="APS123" s="1251"/>
      <c r="APT123" s="1251"/>
      <c r="APU123" s="1251"/>
      <c r="APV123" s="1251"/>
      <c r="APW123" s="1251"/>
      <c r="APX123" s="1251"/>
      <c r="APY123" s="1251"/>
      <c r="APZ123" s="1251"/>
      <c r="AQA123" s="1251"/>
      <c r="AQB123" s="1251"/>
      <c r="AQC123" s="1251"/>
      <c r="AQD123" s="1251"/>
      <c r="AQE123" s="1251"/>
      <c r="AQF123" s="1251"/>
      <c r="AQG123" s="1251"/>
      <c r="AQH123" s="1251"/>
      <c r="AQI123" s="1251"/>
      <c r="AQJ123" s="1251"/>
      <c r="AQK123" s="1251"/>
      <c r="AQL123" s="1251"/>
      <c r="AQM123" s="1251"/>
      <c r="AQN123" s="1251"/>
      <c r="AQO123" s="1251"/>
      <c r="AQP123" s="1251"/>
      <c r="AQQ123" s="1251"/>
      <c r="AQR123" s="1251"/>
      <c r="AQS123" s="1251"/>
      <c r="AQT123" s="1251"/>
      <c r="AQU123" s="1251"/>
      <c r="AQV123" s="1251"/>
      <c r="AQW123" s="1251"/>
      <c r="AQX123" s="1251"/>
      <c r="AQY123" s="1251"/>
      <c r="AQZ123" s="1251"/>
      <c r="ARA123" s="1251"/>
      <c r="ARB123" s="1251"/>
      <c r="ARC123" s="1251"/>
      <c r="ARD123" s="1251"/>
      <c r="ARE123" s="1251"/>
      <c r="ARF123" s="1251"/>
      <c r="ARG123" s="1251"/>
      <c r="ARH123" s="1251"/>
      <c r="ARI123" s="1251"/>
      <c r="ARJ123" s="1251"/>
      <c r="ARK123" s="1251"/>
      <c r="ARL123" s="1251"/>
      <c r="ARM123" s="1251"/>
      <c r="ARN123" s="1251"/>
      <c r="ARO123" s="1251"/>
      <c r="ARP123" s="1251"/>
      <c r="ARQ123" s="1251"/>
      <c r="ARR123" s="1251"/>
      <c r="ARS123" s="1251"/>
      <c r="ART123" s="1251"/>
      <c r="ARU123" s="1251"/>
      <c r="ARV123" s="1251"/>
      <c r="ARW123" s="1251"/>
      <c r="ARX123" s="1251"/>
      <c r="ARY123" s="1251"/>
      <c r="ARZ123" s="1251"/>
      <c r="ASA123" s="1251"/>
      <c r="ASB123" s="1251"/>
      <c r="ASC123" s="1251"/>
      <c r="ASD123" s="1251"/>
      <c r="ASE123" s="1251"/>
      <c r="ASF123" s="1251"/>
      <c r="ASG123" s="1251"/>
      <c r="ASH123" s="1251"/>
      <c r="ASI123" s="1251"/>
      <c r="ASJ123" s="1251"/>
      <c r="ASK123" s="1251"/>
      <c r="ASL123" s="1251"/>
      <c r="ASM123" s="1251"/>
      <c r="ASN123" s="1251"/>
      <c r="ASO123" s="1251"/>
      <c r="ASP123" s="1251"/>
      <c r="ASQ123" s="1251"/>
      <c r="ASR123" s="1251"/>
      <c r="ASS123" s="1251"/>
      <c r="AST123" s="1251"/>
      <c r="ASU123" s="1251"/>
      <c r="ASV123" s="1251"/>
      <c r="ASW123" s="1251"/>
      <c r="ASX123" s="1251"/>
      <c r="ASY123" s="1251"/>
      <c r="ASZ123" s="1251"/>
      <c r="ATA123" s="1251"/>
      <c r="ATB123" s="1251"/>
      <c r="ATC123" s="1251"/>
      <c r="ATD123" s="1251"/>
      <c r="ATE123" s="1251"/>
      <c r="ATF123" s="1251"/>
      <c r="ATG123" s="1251"/>
      <c r="ATH123" s="1251"/>
      <c r="ATI123" s="1251"/>
      <c r="ATJ123" s="1251"/>
      <c r="ATK123" s="1251"/>
      <c r="ATL123" s="1251"/>
      <c r="ATM123" s="1251"/>
      <c r="ATN123" s="1251"/>
      <c r="ATO123" s="1251"/>
      <c r="ATP123" s="1251"/>
      <c r="ATQ123" s="1251"/>
      <c r="ATR123" s="1251"/>
      <c r="ATS123" s="1251"/>
      <c r="ATT123" s="1251"/>
      <c r="ATU123" s="1251"/>
      <c r="ATV123" s="1251"/>
      <c r="ATW123" s="1251"/>
      <c r="ATX123" s="1251"/>
      <c r="ATY123" s="1251"/>
      <c r="ATZ123" s="1251"/>
      <c r="AUA123" s="1251"/>
      <c r="AUB123" s="1251"/>
      <c r="AUC123" s="1251"/>
      <c r="AUD123" s="1251"/>
      <c r="AUE123" s="1251"/>
      <c r="AUF123" s="1251"/>
      <c r="AUG123" s="1251"/>
      <c r="AUH123" s="1251"/>
      <c r="AUI123" s="1251"/>
      <c r="AUJ123" s="1251"/>
      <c r="AUK123" s="1251"/>
      <c r="AUL123" s="1251"/>
      <c r="AUM123" s="1251"/>
      <c r="AUN123" s="1251"/>
      <c r="AUO123" s="1251"/>
      <c r="AUP123" s="1251"/>
      <c r="AUQ123" s="1251"/>
      <c r="AUR123" s="1251"/>
      <c r="AUS123" s="1251"/>
      <c r="AUT123" s="1251"/>
      <c r="AUU123" s="1251"/>
      <c r="AUV123" s="1251"/>
      <c r="AUW123" s="1251"/>
      <c r="AUX123" s="1251"/>
      <c r="AUY123" s="1251"/>
      <c r="AUZ123" s="1251"/>
      <c r="AVA123" s="1251"/>
      <c r="AVB123" s="1251"/>
      <c r="AVC123" s="1251"/>
      <c r="AVD123" s="1251"/>
      <c r="AVE123" s="1251"/>
      <c r="AVF123" s="1251"/>
      <c r="AVG123" s="1251"/>
      <c r="AVH123" s="1251"/>
      <c r="AVI123" s="1251"/>
      <c r="AVJ123" s="1251"/>
      <c r="AVK123" s="1251"/>
      <c r="AVL123" s="1251"/>
      <c r="AVM123" s="1251"/>
      <c r="AVN123" s="1251"/>
      <c r="AVO123" s="1251"/>
      <c r="AVP123" s="1251"/>
      <c r="AVQ123" s="1251"/>
      <c r="AVR123" s="1251"/>
      <c r="AVS123" s="1251"/>
      <c r="AVT123" s="1251"/>
      <c r="AVU123" s="1251"/>
      <c r="AVV123" s="1251"/>
      <c r="AVW123" s="1251"/>
      <c r="AVX123" s="1251"/>
      <c r="AVY123" s="1251"/>
      <c r="AVZ123" s="1251"/>
      <c r="AWA123" s="1251"/>
      <c r="AWB123" s="1251"/>
      <c r="AWC123" s="1251"/>
      <c r="AWD123" s="1251"/>
      <c r="AWE123" s="1251"/>
      <c r="AWF123" s="1251"/>
      <c r="AWG123" s="1251"/>
      <c r="AWH123" s="1251"/>
      <c r="AWI123" s="1251"/>
      <c r="AWJ123" s="1251"/>
      <c r="AWK123" s="1251"/>
      <c r="AWL123" s="1251"/>
      <c r="AWM123" s="1251"/>
      <c r="AWN123" s="1251"/>
      <c r="AWO123" s="1251"/>
      <c r="AWP123" s="1251"/>
      <c r="AWQ123" s="1251"/>
      <c r="AWR123" s="1251"/>
      <c r="AWS123" s="1251"/>
      <c r="AWT123" s="1251"/>
      <c r="AWU123" s="1251"/>
      <c r="AWV123" s="1251"/>
      <c r="AWW123" s="1251"/>
      <c r="AWX123" s="1251"/>
      <c r="AWY123" s="1251"/>
      <c r="AWZ123" s="1251"/>
      <c r="AXA123" s="1251"/>
      <c r="AXB123" s="1251"/>
      <c r="AXC123" s="1251"/>
      <c r="AXD123" s="1251"/>
      <c r="AXE123" s="1251"/>
      <c r="AXF123" s="1251"/>
      <c r="AXG123" s="1251"/>
      <c r="AXH123" s="1251"/>
      <c r="AXI123" s="1251"/>
      <c r="AXJ123" s="1251"/>
      <c r="AXK123" s="1251"/>
      <c r="AXL123" s="1251"/>
      <c r="AXM123" s="1251"/>
      <c r="AXN123" s="1251"/>
      <c r="AXO123" s="1251"/>
      <c r="AXP123" s="1251"/>
      <c r="AXQ123" s="1251"/>
      <c r="AXR123" s="1251"/>
      <c r="AXS123" s="1251"/>
      <c r="AXT123" s="1251"/>
      <c r="AXU123" s="1251"/>
      <c r="AXV123" s="1251"/>
      <c r="AXW123" s="1251"/>
      <c r="AXX123" s="1251"/>
      <c r="AXY123" s="1251"/>
      <c r="AXZ123" s="1251"/>
      <c r="AYA123" s="1251"/>
      <c r="AYB123" s="1251"/>
      <c r="AYC123" s="1251"/>
      <c r="AYD123" s="1251"/>
      <c r="AYE123" s="1251"/>
      <c r="AYF123" s="1251"/>
      <c r="AYG123" s="1251"/>
      <c r="AYH123" s="1251"/>
      <c r="AYI123" s="1251"/>
      <c r="AYJ123" s="1251"/>
      <c r="AYK123" s="1251"/>
      <c r="AYL123" s="1251"/>
      <c r="AYM123" s="1251"/>
      <c r="AYN123" s="1251"/>
      <c r="AYO123" s="1251"/>
      <c r="AYP123" s="1251"/>
      <c r="AYQ123" s="1251"/>
      <c r="AYR123" s="1251"/>
      <c r="AYS123" s="1251"/>
      <c r="AYT123" s="1251"/>
      <c r="AYU123" s="1251"/>
      <c r="AYV123" s="1251"/>
      <c r="AYW123" s="1251"/>
      <c r="AYX123" s="1251"/>
      <c r="AYY123" s="1251"/>
      <c r="AYZ123" s="1251"/>
      <c r="AZA123" s="1251"/>
      <c r="AZB123" s="1251"/>
      <c r="AZC123" s="1251"/>
      <c r="AZD123" s="1251"/>
      <c r="AZE123" s="1251"/>
      <c r="AZF123" s="1251"/>
      <c r="AZG123" s="1251"/>
      <c r="AZH123" s="1251"/>
      <c r="AZI123" s="1251"/>
      <c r="AZJ123" s="1251"/>
      <c r="AZK123" s="1251"/>
      <c r="AZL123" s="1251"/>
      <c r="AZM123" s="1251"/>
      <c r="AZN123" s="1251"/>
      <c r="AZO123" s="1251"/>
      <c r="AZP123" s="1251"/>
      <c r="AZQ123" s="1251"/>
      <c r="AZR123" s="1251"/>
      <c r="AZS123" s="1251"/>
      <c r="AZT123" s="1251"/>
      <c r="AZU123" s="1251"/>
      <c r="AZV123" s="1251"/>
      <c r="AZW123" s="1251"/>
      <c r="AZX123" s="1251"/>
      <c r="AZY123" s="1251"/>
      <c r="AZZ123" s="1251"/>
      <c r="BAA123" s="1251"/>
      <c r="BAB123" s="1251"/>
      <c r="BAC123" s="1251"/>
      <c r="BAD123" s="1251"/>
      <c r="BAE123" s="1251"/>
      <c r="BAF123" s="1251"/>
      <c r="BAG123" s="1251"/>
      <c r="BAH123" s="1251"/>
      <c r="BAI123" s="1251"/>
      <c r="BAJ123" s="1251"/>
      <c r="BAK123" s="1251"/>
      <c r="BAL123" s="1251"/>
      <c r="BAM123" s="1251"/>
      <c r="BAN123" s="1251"/>
      <c r="BAO123" s="1251"/>
      <c r="BAP123" s="1251"/>
      <c r="BAQ123" s="1251"/>
      <c r="BAR123" s="1251"/>
      <c r="BAS123" s="1251"/>
      <c r="BAT123" s="1251"/>
      <c r="BAU123" s="1251"/>
      <c r="BAV123" s="1251"/>
      <c r="BAW123" s="1251"/>
      <c r="BAX123" s="1251"/>
      <c r="BAY123" s="1251"/>
      <c r="BAZ123" s="1251"/>
      <c r="BBA123" s="1251"/>
      <c r="BBB123" s="1251"/>
      <c r="BBC123" s="1251"/>
      <c r="BBD123" s="1251"/>
      <c r="BBE123" s="1251"/>
      <c r="BBF123" s="1251"/>
      <c r="BBG123" s="1251"/>
      <c r="BBH123" s="1251"/>
      <c r="BBI123" s="1251"/>
      <c r="BBJ123" s="1251"/>
      <c r="BBK123" s="1251"/>
      <c r="BBL123" s="1251"/>
      <c r="BBM123" s="1251"/>
      <c r="BBN123" s="1251"/>
      <c r="BBO123" s="1251"/>
      <c r="BBP123" s="1251"/>
      <c r="BBQ123" s="1251"/>
      <c r="BBR123" s="1251"/>
      <c r="BBS123" s="1251"/>
      <c r="BBT123" s="1251"/>
      <c r="BBU123" s="1251"/>
      <c r="BBV123" s="1251"/>
      <c r="BBW123" s="1251"/>
      <c r="BBX123" s="1251"/>
      <c r="BBY123" s="1251"/>
      <c r="BBZ123" s="1251"/>
      <c r="BCA123" s="1251"/>
      <c r="BCB123" s="1251"/>
      <c r="BCC123" s="1251"/>
      <c r="BCD123" s="1251"/>
      <c r="BCE123" s="1251"/>
      <c r="BCF123" s="1251"/>
      <c r="BCG123" s="1251"/>
      <c r="BCH123" s="1251"/>
      <c r="BCI123" s="1251"/>
      <c r="BCJ123" s="1251"/>
      <c r="BCK123" s="1251"/>
      <c r="BCL123" s="1251"/>
      <c r="BCM123" s="1251"/>
      <c r="BCN123" s="1251"/>
      <c r="BCO123" s="1251"/>
      <c r="BCP123" s="1251"/>
      <c r="BCQ123" s="1251"/>
      <c r="BCR123" s="1251"/>
      <c r="BCS123" s="1251"/>
      <c r="BCT123" s="1251"/>
      <c r="BCU123" s="1251"/>
      <c r="BCV123" s="1251"/>
      <c r="BCW123" s="1251"/>
      <c r="BCX123" s="1251"/>
      <c r="BCY123" s="1251"/>
      <c r="BCZ123" s="1251"/>
      <c r="BDA123" s="1251"/>
      <c r="BDB123" s="1251"/>
      <c r="BDC123" s="1251"/>
      <c r="BDD123" s="1251"/>
      <c r="BDE123" s="1251"/>
      <c r="BDF123" s="1251"/>
      <c r="BDG123" s="1251"/>
      <c r="BDH123" s="1251"/>
      <c r="BDI123" s="1251"/>
      <c r="BDJ123" s="1251"/>
      <c r="BDK123" s="1251"/>
      <c r="BDL123" s="1251"/>
      <c r="BDM123" s="1251"/>
      <c r="BDN123" s="1251"/>
      <c r="BDO123" s="1251"/>
      <c r="BDP123" s="1251"/>
      <c r="BDQ123" s="1251"/>
      <c r="BDR123" s="1251"/>
      <c r="BDS123" s="1251"/>
      <c r="BDT123" s="1251"/>
      <c r="BDU123" s="1251"/>
      <c r="BDV123" s="1251"/>
      <c r="BDW123" s="1251"/>
      <c r="BDX123" s="1251"/>
      <c r="BDY123" s="1251"/>
      <c r="BDZ123" s="1251"/>
      <c r="BEA123" s="1251"/>
      <c r="BEB123" s="1251"/>
      <c r="BEC123" s="1251"/>
      <c r="BED123" s="1251"/>
      <c r="BEE123" s="1251"/>
      <c r="BEF123" s="1251"/>
      <c r="BEG123" s="1251"/>
      <c r="BEH123" s="1251"/>
      <c r="BEI123" s="1251"/>
      <c r="BEJ123" s="1251"/>
      <c r="BEK123" s="1251"/>
      <c r="BEL123" s="1251"/>
      <c r="BEM123" s="1251"/>
      <c r="BEN123" s="1251"/>
      <c r="BEO123" s="1251"/>
      <c r="BEP123" s="1251"/>
      <c r="BEQ123" s="1251"/>
      <c r="BER123" s="1251"/>
      <c r="BES123" s="1251"/>
      <c r="BET123" s="1251"/>
      <c r="BEU123" s="1251"/>
      <c r="BEV123" s="1251"/>
      <c r="BEW123" s="1251"/>
      <c r="BEX123" s="1251"/>
      <c r="BEY123" s="1251"/>
      <c r="BEZ123" s="1251"/>
      <c r="BFA123" s="1251"/>
      <c r="BFB123" s="1251"/>
      <c r="BFC123" s="1251"/>
      <c r="BFD123" s="1251"/>
      <c r="BFE123" s="1251"/>
      <c r="BFF123" s="1251"/>
      <c r="BFG123" s="1251"/>
      <c r="BFH123" s="1251"/>
      <c r="BFI123" s="1251"/>
      <c r="BFJ123" s="1251"/>
      <c r="BFK123" s="1251"/>
      <c r="BFL123" s="1251"/>
      <c r="BFM123" s="1251"/>
      <c r="BFN123" s="1251"/>
      <c r="BFO123" s="1251"/>
      <c r="BFP123" s="1251"/>
      <c r="BFQ123" s="1251"/>
      <c r="BFR123" s="1251"/>
      <c r="BFS123" s="1251"/>
      <c r="BFT123" s="1251"/>
      <c r="BFU123" s="1251"/>
      <c r="BFV123" s="1251"/>
      <c r="BFW123" s="1251"/>
      <c r="BFX123" s="1251"/>
      <c r="BFY123" s="1251"/>
      <c r="BFZ123" s="1251"/>
      <c r="BGA123" s="1251"/>
      <c r="BGB123" s="1251"/>
      <c r="BGC123" s="1251"/>
      <c r="BGD123" s="1251"/>
      <c r="BGE123" s="1251"/>
      <c r="BGF123" s="1251"/>
      <c r="BGG123" s="1251"/>
      <c r="BGH123" s="1251"/>
      <c r="BGI123" s="1251"/>
      <c r="BGJ123" s="1251"/>
      <c r="BGK123" s="1251"/>
      <c r="BGL123" s="1251"/>
      <c r="BGM123" s="1251"/>
      <c r="BGN123" s="1251"/>
      <c r="BGO123" s="1251"/>
      <c r="BGP123" s="1251"/>
      <c r="BGQ123" s="1251"/>
      <c r="BGR123" s="1251"/>
      <c r="BGS123" s="1251"/>
      <c r="BGT123" s="1251"/>
      <c r="BGU123" s="1251"/>
      <c r="BGV123" s="1251"/>
      <c r="BGW123" s="1251"/>
      <c r="BGX123" s="1251"/>
      <c r="BGY123" s="1251"/>
      <c r="BGZ123" s="1251"/>
      <c r="BHA123" s="1251"/>
      <c r="BHB123" s="1251"/>
      <c r="BHC123" s="1251"/>
      <c r="BHD123" s="1251"/>
      <c r="BHE123" s="1251"/>
      <c r="BHF123" s="1251"/>
      <c r="BHG123" s="1251"/>
      <c r="BHH123" s="1251"/>
      <c r="BHI123" s="1251"/>
      <c r="BHJ123" s="1251"/>
      <c r="BHK123" s="1251"/>
      <c r="BHL123" s="1251"/>
      <c r="BHM123" s="1251"/>
      <c r="BHN123" s="1251"/>
      <c r="BHO123" s="1251"/>
      <c r="BHP123" s="1251"/>
      <c r="BHQ123" s="1251"/>
      <c r="BHR123" s="1251"/>
      <c r="BHS123" s="1251"/>
      <c r="BHT123" s="1251"/>
      <c r="BHU123" s="1251"/>
      <c r="BHV123" s="1251"/>
      <c r="BHW123" s="1251"/>
      <c r="BHX123" s="1251"/>
      <c r="BHY123" s="1251"/>
      <c r="BHZ123" s="1251"/>
      <c r="BIA123" s="1251"/>
      <c r="BIB123" s="1251"/>
      <c r="BIC123" s="1251"/>
      <c r="BID123" s="1251"/>
      <c r="BIE123" s="1251"/>
      <c r="BIF123" s="1251"/>
      <c r="BIG123" s="1251"/>
      <c r="BIH123" s="1251"/>
      <c r="BII123" s="1251"/>
      <c r="BIJ123" s="1251"/>
      <c r="BIK123" s="1251"/>
      <c r="BIL123" s="1251"/>
      <c r="BIM123" s="1251"/>
      <c r="BIN123" s="1251"/>
      <c r="BIO123" s="1251"/>
      <c r="BIP123" s="1251"/>
      <c r="BIQ123" s="1251"/>
      <c r="BIR123" s="1251"/>
      <c r="BIS123" s="1251"/>
      <c r="BIT123" s="1251"/>
      <c r="BIU123" s="1251"/>
      <c r="BIV123" s="1251"/>
      <c r="BIW123" s="1251"/>
      <c r="BIX123" s="1251"/>
      <c r="BIY123" s="1251"/>
      <c r="BIZ123" s="1251"/>
      <c r="BJA123" s="1251"/>
      <c r="BJB123" s="1251"/>
      <c r="BJC123" s="1251"/>
      <c r="BJD123" s="1251"/>
      <c r="BJE123" s="1251"/>
      <c r="BJF123" s="1251"/>
      <c r="BJG123" s="1251"/>
      <c r="BJH123" s="1251"/>
      <c r="BJI123" s="1251"/>
      <c r="BJJ123" s="1251"/>
      <c r="BJK123" s="1251"/>
      <c r="BJL123" s="1251"/>
      <c r="BJM123" s="1251"/>
      <c r="BJN123" s="1251"/>
      <c r="BJO123" s="1251"/>
      <c r="BJP123" s="1251"/>
      <c r="BJQ123" s="1251"/>
      <c r="BJR123" s="1251"/>
      <c r="BJS123" s="1251"/>
      <c r="BJT123" s="1251"/>
      <c r="BJU123" s="1251"/>
      <c r="BJV123" s="1251"/>
      <c r="BJW123" s="1251"/>
      <c r="BJX123" s="1251"/>
      <c r="BJY123" s="1251"/>
      <c r="BJZ123" s="1251"/>
      <c r="BKA123" s="1251"/>
      <c r="BKB123" s="1251"/>
      <c r="BKC123" s="1251"/>
      <c r="BKD123" s="1251"/>
      <c r="BKE123" s="1251"/>
      <c r="BKF123" s="1251"/>
      <c r="BKG123" s="1251"/>
      <c r="BKH123" s="1251"/>
      <c r="BKI123" s="1251"/>
      <c r="BKJ123" s="1251"/>
      <c r="BKK123" s="1251"/>
      <c r="BKL123" s="1251"/>
      <c r="BKM123" s="1251"/>
      <c r="BKN123" s="1251"/>
      <c r="BKO123" s="1251"/>
      <c r="BKP123" s="1251"/>
      <c r="BKQ123" s="1251"/>
      <c r="BKR123" s="1251"/>
      <c r="BKS123" s="1251"/>
      <c r="BKT123" s="1251"/>
      <c r="BKU123" s="1251"/>
      <c r="BKV123" s="1251"/>
      <c r="BKW123" s="1251"/>
      <c r="BKX123" s="1251"/>
      <c r="BKY123" s="1251"/>
      <c r="BKZ123" s="1251"/>
      <c r="BLA123" s="1251"/>
      <c r="BLB123" s="1251"/>
      <c r="BLC123" s="1251"/>
      <c r="BLD123" s="1251"/>
      <c r="BLE123" s="1251"/>
      <c r="BLF123" s="1251"/>
      <c r="BLG123" s="1251"/>
      <c r="BLH123" s="1251"/>
      <c r="BLI123" s="1251"/>
      <c r="BLJ123" s="1251"/>
      <c r="BLK123" s="1251"/>
      <c r="BLL123" s="1251"/>
      <c r="BLM123" s="1251"/>
      <c r="BLN123" s="1251"/>
      <c r="BLO123" s="1251"/>
      <c r="BLP123" s="1251"/>
      <c r="BLQ123" s="1251"/>
      <c r="BLR123" s="1251"/>
      <c r="BLS123" s="1251"/>
      <c r="BLT123" s="1251"/>
      <c r="BLU123" s="1251"/>
      <c r="BLV123" s="1251"/>
      <c r="BLW123" s="1251"/>
      <c r="BLX123" s="1251"/>
      <c r="BLY123" s="1251"/>
      <c r="BLZ123" s="1251"/>
      <c r="BMA123" s="1251"/>
      <c r="BMB123" s="1251"/>
      <c r="BMC123" s="1251"/>
      <c r="BMD123" s="1251"/>
      <c r="BME123" s="1251"/>
      <c r="BMF123" s="1251"/>
      <c r="BMG123" s="1251"/>
      <c r="BMH123" s="1251"/>
      <c r="BMI123" s="1251"/>
      <c r="BMJ123" s="1251"/>
      <c r="BMK123" s="1251"/>
      <c r="BML123" s="1251"/>
      <c r="BMM123" s="1251"/>
      <c r="BMN123" s="1251"/>
      <c r="BMO123" s="1251"/>
      <c r="BMP123" s="1251"/>
      <c r="BMQ123" s="1251"/>
      <c r="BMR123" s="1251"/>
      <c r="BMS123" s="1251"/>
      <c r="BMT123" s="1251"/>
      <c r="BMU123" s="1251"/>
      <c r="BMV123" s="1251"/>
      <c r="BMW123" s="1251"/>
      <c r="BMX123" s="1251"/>
      <c r="BMY123" s="1251"/>
      <c r="BMZ123" s="1251"/>
      <c r="BNA123" s="1251"/>
      <c r="BNB123" s="1251"/>
      <c r="BNC123" s="1251"/>
      <c r="BND123" s="1251"/>
      <c r="BNE123" s="1251"/>
      <c r="BNF123" s="1251"/>
      <c r="BNG123" s="1251"/>
      <c r="BNH123" s="1251"/>
      <c r="BNI123" s="1251"/>
      <c r="BNJ123" s="1251"/>
      <c r="BNK123" s="1251"/>
      <c r="BNL123" s="1251"/>
      <c r="BNM123" s="1251"/>
      <c r="BNN123" s="1251"/>
      <c r="BNO123" s="1251"/>
      <c r="BNP123" s="1251"/>
      <c r="BNQ123" s="1251"/>
      <c r="BNR123" s="1251"/>
      <c r="BNS123" s="1251"/>
      <c r="BNT123" s="1251"/>
      <c r="BNU123" s="1251"/>
      <c r="BNV123" s="1251"/>
      <c r="BNW123" s="1251"/>
      <c r="BNX123" s="1251"/>
      <c r="BNY123" s="1251"/>
      <c r="BNZ123" s="1251"/>
      <c r="BOA123" s="1251"/>
      <c r="BOB123" s="1251"/>
      <c r="BOC123" s="1251"/>
      <c r="BOD123" s="1251"/>
      <c r="BOE123" s="1251"/>
      <c r="BOF123" s="1251"/>
      <c r="BOG123" s="1251"/>
      <c r="BOH123" s="1251"/>
      <c r="BOI123" s="1251"/>
      <c r="BOJ123" s="1251"/>
      <c r="BOK123" s="1251"/>
      <c r="BOL123" s="1251"/>
      <c r="BOM123" s="1251"/>
      <c r="BON123" s="1251"/>
      <c r="BOO123" s="1251"/>
      <c r="BOP123" s="1251"/>
      <c r="BOQ123" s="1251"/>
      <c r="BOR123" s="1251"/>
      <c r="BOS123" s="1251"/>
      <c r="BOT123" s="1251"/>
      <c r="BOU123" s="1251"/>
      <c r="BOV123" s="1251"/>
      <c r="BOW123" s="1251"/>
      <c r="BOX123" s="1251"/>
      <c r="BOY123" s="1251"/>
      <c r="BOZ123" s="1251"/>
      <c r="BPA123" s="1251"/>
      <c r="BPB123" s="1251"/>
      <c r="BPC123" s="1251"/>
      <c r="BPD123" s="1251"/>
      <c r="BPE123" s="1251"/>
      <c r="BPF123" s="1251"/>
      <c r="BPG123" s="1251"/>
      <c r="BPH123" s="1251"/>
      <c r="BPI123" s="1251"/>
      <c r="BPJ123" s="1251"/>
      <c r="BPK123" s="1251"/>
      <c r="BPL123" s="1251"/>
      <c r="BPM123" s="1251"/>
      <c r="BPN123" s="1251"/>
      <c r="BPO123" s="1251"/>
      <c r="BPP123" s="1251"/>
      <c r="BPQ123" s="1251"/>
      <c r="BPR123" s="1251"/>
      <c r="BPS123" s="1251"/>
      <c r="BPT123" s="1251"/>
      <c r="BPU123" s="1251"/>
      <c r="BPV123" s="1251"/>
      <c r="BPW123" s="1251"/>
      <c r="BPX123" s="1251"/>
      <c r="BPY123" s="1251"/>
      <c r="BPZ123" s="1251"/>
      <c r="BQA123" s="1251"/>
      <c r="BQB123" s="1251"/>
      <c r="BQC123" s="1251"/>
      <c r="BQD123" s="1251"/>
      <c r="BQE123" s="1251"/>
      <c r="BQF123" s="1251"/>
      <c r="BQG123" s="1251"/>
      <c r="BQH123" s="1251"/>
      <c r="BQI123" s="1251"/>
      <c r="BQJ123" s="1251"/>
      <c r="BQK123" s="1251"/>
      <c r="BQL123" s="1251"/>
      <c r="BQM123" s="1251"/>
      <c r="BQN123" s="1251"/>
      <c r="BQO123" s="1251"/>
      <c r="BQP123" s="1251"/>
      <c r="BQQ123" s="1251"/>
      <c r="BQR123" s="1251"/>
      <c r="BQS123" s="1251"/>
      <c r="BQT123" s="1251"/>
      <c r="BQU123" s="1251"/>
      <c r="BQV123" s="1251"/>
      <c r="BQW123" s="1251"/>
      <c r="BQX123" s="1251"/>
      <c r="BQY123" s="1251"/>
      <c r="BQZ123" s="1251"/>
      <c r="BRA123" s="1251"/>
      <c r="BRB123" s="1251"/>
      <c r="BRC123" s="1251"/>
      <c r="BRD123" s="1251"/>
      <c r="BRE123" s="1251"/>
      <c r="BRF123" s="1251"/>
      <c r="BRG123" s="1251"/>
      <c r="BRH123" s="1251"/>
      <c r="BRI123" s="1251"/>
      <c r="BRJ123" s="1251"/>
      <c r="BRK123" s="1251"/>
      <c r="BRL123" s="1251"/>
      <c r="BRM123" s="1251"/>
      <c r="BRN123" s="1251"/>
      <c r="BRO123" s="1251"/>
      <c r="BRP123" s="1251"/>
      <c r="BRQ123" s="1251"/>
      <c r="BRR123" s="1251"/>
      <c r="BRS123" s="1251"/>
      <c r="BRT123" s="1251"/>
      <c r="BRU123" s="1251"/>
      <c r="BRV123" s="1251"/>
      <c r="BRW123" s="1251"/>
      <c r="BRX123" s="1251"/>
      <c r="BRY123" s="1251"/>
      <c r="BRZ123" s="1251"/>
      <c r="BSA123" s="1251"/>
      <c r="BSB123" s="1251"/>
      <c r="BSC123" s="1251"/>
      <c r="BSD123" s="1251"/>
      <c r="BSE123" s="1251"/>
      <c r="BSF123" s="1251"/>
      <c r="BSG123" s="1251"/>
      <c r="BSH123" s="1251"/>
      <c r="BSI123" s="1251"/>
      <c r="BSJ123" s="1251"/>
      <c r="BSK123" s="1251"/>
      <c r="BSL123" s="1251"/>
      <c r="BSM123" s="1251"/>
      <c r="BSN123" s="1251"/>
      <c r="BSO123" s="1251"/>
      <c r="BSP123" s="1251"/>
      <c r="BSQ123" s="1251"/>
      <c r="BSR123" s="1251"/>
      <c r="BSS123" s="1251"/>
      <c r="BST123" s="1251"/>
      <c r="BSU123" s="1251"/>
      <c r="BSV123" s="1251"/>
      <c r="BSW123" s="1251"/>
      <c r="BSX123" s="1251"/>
      <c r="BSY123" s="1251"/>
      <c r="BSZ123" s="1251"/>
      <c r="BTA123" s="1251"/>
      <c r="BTB123" s="1251"/>
      <c r="BTC123" s="1251"/>
      <c r="BTD123" s="1251"/>
      <c r="BTE123" s="1251"/>
      <c r="BTF123" s="1251"/>
      <c r="BTG123" s="1251"/>
      <c r="BTH123" s="1251"/>
      <c r="BTI123" s="1251"/>
    </row>
    <row r="124" spans="1:1881" s="1261" customFormat="1" ht="94.5" hidden="1" customHeight="1" thickBot="1" x14ac:dyDescent="0.35">
      <c r="A124" s="1277">
        <v>193</v>
      </c>
      <c r="B124" s="1272" t="s">
        <v>652</v>
      </c>
      <c r="C124" s="1275" t="s">
        <v>1269</v>
      </c>
      <c r="D124" s="1275" t="s">
        <v>379</v>
      </c>
      <c r="E124" s="1249" t="e">
        <f>HLOOKUP($D$2,'2020 Data(H)'!$C$1:$CZ$426,74,FALSE)</f>
        <v>#N/A</v>
      </c>
      <c r="F124" s="1263">
        <v>0</v>
      </c>
      <c r="G124" s="727"/>
      <c r="H124" s="17"/>
      <c r="I124" s="760"/>
      <c r="J124" s="1252"/>
      <c r="K124" s="1251"/>
      <c r="L124" s="701"/>
      <c r="M124" s="1251"/>
      <c r="N124" s="1253"/>
      <c r="O124" s="1251"/>
      <c r="P124" s="1251"/>
      <c r="Q124" s="1251"/>
      <c r="R124" s="1251"/>
      <c r="S124" s="1251"/>
      <c r="T124" s="1251"/>
      <c r="U124" s="1251"/>
      <c r="V124" s="1251"/>
      <c r="W124" s="1251"/>
      <c r="X124" s="1251"/>
      <c r="Y124" s="1251"/>
      <c r="Z124" s="1274"/>
      <c r="AA124" s="1274"/>
      <c r="AB124" s="1274"/>
      <c r="AC124" s="1274"/>
      <c r="AD124" s="1274"/>
      <c r="AE124" s="1274"/>
      <c r="AF124" s="1274"/>
      <c r="AG124" s="1274"/>
      <c r="AH124" s="1274"/>
      <c r="AI124" s="1274"/>
      <c r="AJ124" s="1274"/>
      <c r="AK124" s="1274"/>
      <c r="AL124" s="1274"/>
      <c r="AM124" s="1274"/>
      <c r="AN124" s="1274"/>
      <c r="AO124" s="1274"/>
      <c r="AP124" s="1274"/>
      <c r="AQ124" s="1274"/>
      <c r="AR124" s="1274"/>
      <c r="AS124" s="1251"/>
      <c r="AT124" s="1251"/>
      <c r="AU124" s="1251"/>
      <c r="AV124" s="1251"/>
      <c r="AW124" s="1251"/>
      <c r="AX124" s="1251"/>
      <c r="AY124" s="1251"/>
      <c r="AZ124" s="1251"/>
      <c r="BA124" s="1251"/>
      <c r="BB124" s="1251"/>
      <c r="BC124" s="1251"/>
      <c r="BD124" s="1251"/>
      <c r="BE124" s="1251"/>
      <c r="BF124" s="1251"/>
      <c r="BG124" s="1251"/>
      <c r="BH124" s="1251"/>
      <c r="BI124" s="1251"/>
      <c r="BJ124" s="1251"/>
      <c r="BK124" s="1251"/>
      <c r="BL124" s="1251"/>
      <c r="BM124" s="1251"/>
      <c r="BN124" s="1251"/>
      <c r="BO124" s="1251"/>
      <c r="BP124" s="1251"/>
      <c r="BQ124" s="1251"/>
      <c r="BR124" s="1251"/>
      <c r="BS124" s="1251"/>
      <c r="BT124" s="1251"/>
      <c r="BU124" s="1251"/>
      <c r="BV124" s="1251"/>
      <c r="BW124" s="1251"/>
      <c r="BX124" s="1251"/>
      <c r="BY124" s="1251"/>
      <c r="BZ124" s="1251"/>
      <c r="CA124" s="1251"/>
      <c r="CB124" s="1251"/>
      <c r="CC124" s="1251"/>
      <c r="CD124" s="1251"/>
      <c r="CE124" s="1251"/>
      <c r="CF124" s="1251"/>
      <c r="CG124" s="1251"/>
      <c r="CH124" s="1251"/>
      <c r="CI124" s="1251"/>
      <c r="CJ124" s="1251"/>
      <c r="CK124" s="1251"/>
      <c r="CL124" s="1251"/>
      <c r="CM124" s="1251"/>
      <c r="CN124" s="1251"/>
      <c r="CO124" s="1251"/>
      <c r="CP124" s="1251"/>
      <c r="CQ124" s="1251"/>
      <c r="CR124" s="1251"/>
      <c r="CS124" s="1251"/>
      <c r="CT124" s="1251"/>
      <c r="CU124" s="1251"/>
      <c r="CV124" s="1251"/>
      <c r="CW124" s="1251"/>
      <c r="CX124" s="1251"/>
      <c r="CY124" s="1251"/>
      <c r="CZ124" s="1251"/>
      <c r="DA124" s="1251"/>
      <c r="DB124" s="1251"/>
      <c r="DC124" s="1251"/>
      <c r="DD124" s="1251"/>
      <c r="DE124" s="1251"/>
      <c r="DF124" s="1251"/>
      <c r="DG124" s="1251"/>
      <c r="DH124" s="1251"/>
      <c r="DI124" s="1251"/>
      <c r="DJ124" s="1251"/>
      <c r="DK124" s="1251"/>
      <c r="DL124" s="1251"/>
      <c r="DM124" s="1251"/>
      <c r="DN124" s="1251"/>
      <c r="DO124" s="1251"/>
      <c r="DP124" s="1251"/>
      <c r="DQ124" s="1251"/>
      <c r="DR124" s="1251"/>
      <c r="DS124" s="1251"/>
      <c r="DT124" s="1251"/>
      <c r="DU124" s="1251"/>
      <c r="DV124" s="1251"/>
      <c r="DW124" s="1251"/>
      <c r="DX124" s="1251"/>
      <c r="DY124" s="1251"/>
      <c r="DZ124" s="1251"/>
      <c r="EA124" s="1251"/>
      <c r="EB124" s="1251"/>
      <c r="EC124" s="1251"/>
      <c r="ED124" s="1251"/>
      <c r="EE124" s="1251"/>
      <c r="EF124" s="1251"/>
      <c r="EG124" s="1251"/>
      <c r="EH124" s="1251"/>
      <c r="EI124" s="1251"/>
      <c r="EJ124" s="1251"/>
      <c r="EK124" s="1251"/>
      <c r="EL124" s="1251"/>
      <c r="EM124" s="1251"/>
      <c r="EN124" s="1251"/>
      <c r="EO124" s="1251"/>
      <c r="EP124" s="1251"/>
      <c r="EQ124" s="1251"/>
      <c r="ER124" s="1251"/>
      <c r="ES124" s="1251"/>
      <c r="ET124" s="1251"/>
      <c r="EU124" s="1251"/>
      <c r="EV124" s="1251"/>
      <c r="EW124" s="1251"/>
      <c r="EX124" s="1251"/>
      <c r="EY124" s="1251"/>
      <c r="EZ124" s="1251"/>
      <c r="FA124" s="1251"/>
      <c r="FB124" s="1251"/>
      <c r="FC124" s="1251"/>
      <c r="FD124" s="1251"/>
      <c r="FE124" s="1251"/>
      <c r="FF124" s="1251"/>
      <c r="FG124" s="1251"/>
      <c r="FH124" s="1251"/>
      <c r="FI124" s="1251"/>
      <c r="FJ124" s="1251"/>
      <c r="FK124" s="1251"/>
      <c r="FL124" s="1251"/>
      <c r="FM124" s="1251"/>
      <c r="FN124" s="1251"/>
      <c r="FO124" s="1251"/>
      <c r="FP124" s="1251"/>
      <c r="FQ124" s="1251"/>
      <c r="FR124" s="1251"/>
      <c r="FS124" s="1251"/>
      <c r="FT124" s="1251"/>
      <c r="FU124" s="1251"/>
      <c r="FV124" s="1251"/>
      <c r="FW124" s="1251"/>
      <c r="FX124" s="1251"/>
      <c r="FY124" s="1251"/>
      <c r="FZ124" s="1251"/>
      <c r="GA124" s="1251"/>
      <c r="GB124" s="1251"/>
      <c r="GC124" s="1251"/>
      <c r="GD124" s="1251"/>
      <c r="GE124" s="1251"/>
      <c r="GF124" s="1251"/>
      <c r="GG124" s="1251"/>
      <c r="GH124" s="1251"/>
      <c r="GI124" s="1251"/>
      <c r="GJ124" s="1251"/>
      <c r="GK124" s="1251"/>
      <c r="GL124" s="1251"/>
      <c r="GM124" s="1251"/>
      <c r="GN124" s="1251"/>
      <c r="GO124" s="1251"/>
      <c r="GP124" s="1251"/>
      <c r="GQ124" s="1251"/>
      <c r="GR124" s="1251"/>
      <c r="GS124" s="1251"/>
      <c r="GT124" s="1251"/>
      <c r="GU124" s="1251"/>
      <c r="GV124" s="1251"/>
      <c r="GW124" s="1251"/>
      <c r="GX124" s="1251"/>
      <c r="GY124" s="1251"/>
      <c r="GZ124" s="1251"/>
      <c r="HA124" s="1251"/>
      <c r="HB124" s="1251"/>
      <c r="HC124" s="1251"/>
      <c r="HD124" s="1251"/>
      <c r="HE124" s="1251"/>
      <c r="HF124" s="1251"/>
      <c r="HG124" s="1251"/>
      <c r="HH124" s="1251"/>
      <c r="HI124" s="1251"/>
      <c r="HJ124" s="1251"/>
      <c r="HK124" s="1251"/>
      <c r="HL124" s="1251"/>
      <c r="HM124" s="1251"/>
      <c r="HN124" s="1251"/>
      <c r="HO124" s="1251"/>
      <c r="HP124" s="1251"/>
      <c r="HQ124" s="1251"/>
      <c r="HR124" s="1251"/>
      <c r="HS124" s="1251"/>
      <c r="HT124" s="1251"/>
      <c r="HU124" s="1251"/>
      <c r="HV124" s="1251"/>
      <c r="HW124" s="1251"/>
      <c r="HX124" s="1251"/>
      <c r="HY124" s="1251"/>
      <c r="HZ124" s="1251"/>
      <c r="IA124" s="1251"/>
      <c r="IB124" s="1251"/>
      <c r="IC124" s="1251"/>
      <c r="ID124" s="1251"/>
      <c r="IE124" s="1251"/>
      <c r="IF124" s="1251"/>
      <c r="IG124" s="1251"/>
      <c r="IH124" s="1251"/>
      <c r="II124" s="1251"/>
      <c r="IJ124" s="1251"/>
      <c r="IK124" s="1251"/>
      <c r="IL124" s="1251"/>
      <c r="IM124" s="1251"/>
      <c r="IN124" s="1251"/>
      <c r="IO124" s="1251"/>
      <c r="IP124" s="1251"/>
      <c r="IQ124" s="1251"/>
      <c r="IR124" s="1251"/>
      <c r="IS124" s="1251"/>
      <c r="IT124" s="1251"/>
      <c r="IU124" s="1251"/>
      <c r="IV124" s="1251"/>
      <c r="IW124" s="1251"/>
      <c r="IX124" s="1251"/>
      <c r="IY124" s="1251"/>
      <c r="IZ124" s="1251"/>
      <c r="JA124" s="1251"/>
      <c r="JB124" s="1251"/>
      <c r="JC124" s="1251"/>
      <c r="JD124" s="1251"/>
      <c r="JE124" s="1251"/>
      <c r="JF124" s="1251"/>
      <c r="JG124" s="1251"/>
      <c r="JH124" s="1251"/>
      <c r="JI124" s="1251"/>
      <c r="JJ124" s="1251"/>
      <c r="JK124" s="1251"/>
      <c r="JL124" s="1251"/>
      <c r="JM124" s="1251"/>
      <c r="JN124" s="1251"/>
      <c r="JO124" s="1251"/>
      <c r="JP124" s="1251"/>
      <c r="JQ124" s="1251"/>
      <c r="JR124" s="1251"/>
      <c r="JS124" s="1251"/>
      <c r="JT124" s="1251"/>
      <c r="JU124" s="1251"/>
      <c r="JV124" s="1251"/>
      <c r="JW124" s="1251"/>
      <c r="JX124" s="1251"/>
      <c r="JY124" s="1251"/>
      <c r="JZ124" s="1251"/>
      <c r="KA124" s="1251"/>
      <c r="KB124" s="1251"/>
      <c r="KC124" s="1251"/>
      <c r="KD124" s="1251"/>
      <c r="KE124" s="1251"/>
      <c r="KF124" s="1251"/>
      <c r="KG124" s="1251"/>
      <c r="KH124" s="1251"/>
      <c r="KI124" s="1251"/>
      <c r="KJ124" s="1251"/>
      <c r="KK124" s="1251"/>
      <c r="KL124" s="1251"/>
      <c r="KM124" s="1251"/>
      <c r="KN124" s="1251"/>
      <c r="KO124" s="1251"/>
      <c r="KP124" s="1251"/>
      <c r="KQ124" s="1251"/>
      <c r="KR124" s="1251"/>
      <c r="KS124" s="1251"/>
      <c r="KT124" s="1251"/>
      <c r="KU124" s="1251"/>
      <c r="KV124" s="1251"/>
      <c r="KW124" s="1251"/>
      <c r="KX124" s="1251"/>
      <c r="KY124" s="1251"/>
      <c r="KZ124" s="1251"/>
      <c r="LA124" s="1251"/>
      <c r="LB124" s="1251"/>
      <c r="LC124" s="1251"/>
      <c r="LD124" s="1251"/>
      <c r="LE124" s="1251"/>
      <c r="LF124" s="1251"/>
      <c r="LG124" s="1251"/>
      <c r="LH124" s="1251"/>
      <c r="LI124" s="1251"/>
      <c r="LJ124" s="1251"/>
      <c r="LK124" s="1251"/>
      <c r="LL124" s="1251"/>
      <c r="LM124" s="1251"/>
      <c r="LN124" s="1251"/>
      <c r="LO124" s="1251"/>
      <c r="LP124" s="1251"/>
      <c r="LQ124" s="1251"/>
      <c r="LR124" s="1251"/>
      <c r="LS124" s="1251"/>
      <c r="LT124" s="1251"/>
      <c r="LU124" s="1251"/>
      <c r="LV124" s="1251"/>
      <c r="LW124" s="1251"/>
      <c r="LX124" s="1251"/>
      <c r="LY124" s="1251"/>
      <c r="LZ124" s="1251"/>
      <c r="MA124" s="1251"/>
      <c r="MB124" s="1251"/>
      <c r="MC124" s="1251"/>
      <c r="MD124" s="1251"/>
      <c r="ME124" s="1251"/>
      <c r="MF124" s="1251"/>
      <c r="MG124" s="1251"/>
      <c r="MH124" s="1251"/>
      <c r="MI124" s="1251"/>
      <c r="MJ124" s="1251"/>
      <c r="MK124" s="1251"/>
      <c r="ML124" s="1251"/>
      <c r="MM124" s="1251"/>
      <c r="MN124" s="1251"/>
      <c r="MO124" s="1251"/>
      <c r="MP124" s="1251"/>
      <c r="MQ124" s="1251"/>
      <c r="MR124" s="1251"/>
      <c r="MS124" s="1251"/>
      <c r="MT124" s="1251"/>
      <c r="MU124" s="1251"/>
      <c r="MV124" s="1251"/>
      <c r="MW124" s="1251"/>
      <c r="MX124" s="1251"/>
      <c r="MY124" s="1251"/>
      <c r="MZ124" s="1251"/>
      <c r="NA124" s="1251"/>
      <c r="NB124" s="1251"/>
      <c r="NC124" s="1251"/>
      <c r="ND124" s="1251"/>
      <c r="NE124" s="1251"/>
      <c r="NF124" s="1251"/>
      <c r="NG124" s="1251"/>
      <c r="NH124" s="1251"/>
      <c r="NI124" s="1251"/>
      <c r="NJ124" s="1251"/>
      <c r="NK124" s="1251"/>
      <c r="NL124" s="1251"/>
      <c r="NM124" s="1251"/>
      <c r="NN124" s="1251"/>
      <c r="NO124" s="1251"/>
      <c r="NP124" s="1251"/>
      <c r="NQ124" s="1251"/>
      <c r="NR124" s="1251"/>
      <c r="NS124" s="1251"/>
      <c r="NT124" s="1251"/>
      <c r="NU124" s="1251"/>
      <c r="NV124" s="1251"/>
      <c r="NW124" s="1251"/>
      <c r="NX124" s="1251"/>
      <c r="NY124" s="1251"/>
      <c r="NZ124" s="1251"/>
      <c r="OA124" s="1251"/>
      <c r="OB124" s="1251"/>
      <c r="OC124" s="1251"/>
      <c r="OD124" s="1251"/>
      <c r="OE124" s="1251"/>
      <c r="OF124" s="1251"/>
      <c r="OG124" s="1251"/>
      <c r="OH124" s="1251"/>
      <c r="OI124" s="1251"/>
      <c r="OJ124" s="1251"/>
      <c r="OK124" s="1251"/>
      <c r="OL124" s="1251"/>
      <c r="OM124" s="1251"/>
      <c r="ON124" s="1251"/>
      <c r="OO124" s="1251"/>
      <c r="OP124" s="1251"/>
      <c r="OQ124" s="1251"/>
      <c r="OR124" s="1251"/>
      <c r="OS124" s="1251"/>
      <c r="OT124" s="1251"/>
      <c r="OU124" s="1251"/>
      <c r="OV124" s="1251"/>
      <c r="OW124" s="1251"/>
      <c r="OX124" s="1251"/>
      <c r="OY124" s="1251"/>
      <c r="OZ124" s="1251"/>
      <c r="PA124" s="1251"/>
      <c r="PB124" s="1251"/>
      <c r="PC124" s="1251"/>
      <c r="PD124" s="1251"/>
      <c r="PE124" s="1251"/>
      <c r="PF124" s="1251"/>
      <c r="PG124" s="1251"/>
      <c r="PH124" s="1251"/>
      <c r="PI124" s="1251"/>
      <c r="PJ124" s="1251"/>
      <c r="PK124" s="1251"/>
      <c r="PL124" s="1251"/>
      <c r="PM124" s="1251"/>
      <c r="PN124" s="1251"/>
      <c r="PO124" s="1251"/>
      <c r="PP124" s="1251"/>
      <c r="PQ124" s="1251"/>
      <c r="PR124" s="1251"/>
      <c r="PS124" s="1251"/>
      <c r="PT124" s="1251"/>
      <c r="PU124" s="1251"/>
      <c r="PV124" s="1251"/>
      <c r="PW124" s="1251"/>
      <c r="PX124" s="1251"/>
      <c r="PY124" s="1251"/>
      <c r="PZ124" s="1251"/>
      <c r="QA124" s="1251"/>
      <c r="QB124" s="1251"/>
      <c r="QC124" s="1251"/>
      <c r="QD124" s="1251"/>
      <c r="QE124" s="1251"/>
      <c r="QF124" s="1251"/>
      <c r="QG124" s="1251"/>
      <c r="QH124" s="1251"/>
      <c r="QI124" s="1251"/>
      <c r="QJ124" s="1251"/>
      <c r="QK124" s="1251"/>
      <c r="QL124" s="1251"/>
      <c r="QM124" s="1251"/>
      <c r="QN124" s="1251"/>
      <c r="QO124" s="1251"/>
      <c r="QP124" s="1251"/>
      <c r="QQ124" s="1251"/>
      <c r="QR124" s="1251"/>
      <c r="QS124" s="1251"/>
      <c r="QT124" s="1251"/>
      <c r="QU124" s="1251"/>
      <c r="QV124" s="1251"/>
      <c r="QW124" s="1251"/>
      <c r="QX124" s="1251"/>
      <c r="QY124" s="1251"/>
      <c r="QZ124" s="1251"/>
      <c r="RA124" s="1251"/>
      <c r="RB124" s="1251"/>
      <c r="RC124" s="1251"/>
      <c r="RD124" s="1251"/>
      <c r="RE124" s="1251"/>
      <c r="RF124" s="1251"/>
      <c r="RG124" s="1251"/>
      <c r="RH124" s="1251"/>
      <c r="RI124" s="1251"/>
      <c r="RJ124" s="1251"/>
      <c r="RK124" s="1251"/>
      <c r="RL124" s="1251"/>
      <c r="RM124" s="1251"/>
      <c r="RN124" s="1251"/>
      <c r="RO124" s="1251"/>
      <c r="RP124" s="1251"/>
      <c r="RQ124" s="1251"/>
      <c r="RR124" s="1251"/>
      <c r="RS124" s="1251"/>
      <c r="RT124" s="1251"/>
      <c r="RU124" s="1251"/>
      <c r="RV124" s="1251"/>
      <c r="RW124" s="1251"/>
      <c r="RX124" s="1251"/>
      <c r="RY124" s="1251"/>
      <c r="RZ124" s="1251"/>
      <c r="SA124" s="1251"/>
      <c r="SB124" s="1251"/>
      <c r="SC124" s="1251"/>
      <c r="SD124" s="1251"/>
      <c r="SE124" s="1251"/>
      <c r="SF124" s="1251"/>
      <c r="SG124" s="1251"/>
      <c r="SH124" s="1251"/>
      <c r="SI124" s="1251"/>
      <c r="SJ124" s="1251"/>
      <c r="SK124" s="1251"/>
      <c r="SL124" s="1251"/>
      <c r="SM124" s="1251"/>
      <c r="SN124" s="1251"/>
      <c r="SO124" s="1251"/>
      <c r="SP124" s="1251"/>
      <c r="SQ124" s="1251"/>
      <c r="SR124" s="1251"/>
      <c r="SS124" s="1251"/>
      <c r="ST124" s="1251"/>
      <c r="SU124" s="1251"/>
      <c r="SV124" s="1251"/>
      <c r="SW124" s="1251"/>
      <c r="SX124" s="1251"/>
      <c r="SY124" s="1251"/>
      <c r="SZ124" s="1251"/>
      <c r="TA124" s="1251"/>
      <c r="TB124" s="1251"/>
      <c r="TC124" s="1251"/>
      <c r="TD124" s="1251"/>
      <c r="TE124" s="1251"/>
      <c r="TF124" s="1251"/>
      <c r="TG124" s="1251"/>
      <c r="TH124" s="1251"/>
      <c r="TI124" s="1251"/>
      <c r="TJ124" s="1251"/>
      <c r="TK124" s="1251"/>
      <c r="TL124" s="1251"/>
      <c r="TM124" s="1251"/>
      <c r="TN124" s="1251"/>
      <c r="TO124" s="1251"/>
      <c r="TP124" s="1251"/>
      <c r="TQ124" s="1251"/>
      <c r="TR124" s="1251"/>
      <c r="TS124" s="1251"/>
      <c r="TT124" s="1251"/>
      <c r="TU124" s="1251"/>
      <c r="TV124" s="1251"/>
      <c r="TW124" s="1251"/>
      <c r="TX124" s="1251"/>
      <c r="TY124" s="1251"/>
      <c r="TZ124" s="1251"/>
      <c r="UA124" s="1251"/>
      <c r="UB124" s="1251"/>
      <c r="UC124" s="1251"/>
      <c r="UD124" s="1251"/>
      <c r="UE124" s="1251"/>
      <c r="UF124" s="1251"/>
      <c r="UG124" s="1251"/>
      <c r="UH124" s="1251"/>
      <c r="UI124" s="1251"/>
      <c r="UJ124" s="1251"/>
      <c r="UK124" s="1251"/>
      <c r="UL124" s="1251"/>
      <c r="UM124" s="1251"/>
      <c r="UN124" s="1251"/>
      <c r="UO124" s="1251"/>
      <c r="UP124" s="1251"/>
      <c r="UQ124" s="1251"/>
      <c r="UR124" s="1251"/>
      <c r="US124" s="1251"/>
      <c r="UT124" s="1251"/>
      <c r="UU124" s="1251"/>
      <c r="UV124" s="1251"/>
      <c r="UW124" s="1251"/>
      <c r="UX124" s="1251"/>
      <c r="UY124" s="1251"/>
      <c r="UZ124" s="1251"/>
      <c r="VA124" s="1251"/>
      <c r="VB124" s="1251"/>
      <c r="VC124" s="1251"/>
      <c r="VD124" s="1251"/>
      <c r="VE124" s="1251"/>
      <c r="VF124" s="1251"/>
      <c r="VG124" s="1251"/>
      <c r="VH124" s="1251"/>
      <c r="VI124" s="1251"/>
      <c r="VJ124" s="1251"/>
      <c r="VK124" s="1251"/>
      <c r="VL124" s="1251"/>
      <c r="VM124" s="1251"/>
      <c r="VN124" s="1251"/>
      <c r="VO124" s="1251"/>
      <c r="VP124" s="1251"/>
      <c r="VQ124" s="1251"/>
      <c r="VR124" s="1251"/>
      <c r="VS124" s="1251"/>
      <c r="VT124" s="1251"/>
      <c r="VU124" s="1251"/>
      <c r="VV124" s="1251"/>
      <c r="VW124" s="1251"/>
      <c r="VX124" s="1251"/>
      <c r="VY124" s="1251"/>
      <c r="VZ124" s="1251"/>
      <c r="WA124" s="1251"/>
      <c r="WB124" s="1251"/>
      <c r="WC124" s="1251"/>
      <c r="WD124" s="1251"/>
      <c r="WE124" s="1251"/>
      <c r="WF124" s="1251"/>
      <c r="WG124" s="1251"/>
      <c r="WH124" s="1251"/>
      <c r="WI124" s="1251"/>
      <c r="WJ124" s="1251"/>
      <c r="WK124" s="1251"/>
      <c r="WL124" s="1251"/>
      <c r="WM124" s="1251"/>
      <c r="WN124" s="1251"/>
      <c r="WO124" s="1251"/>
      <c r="WP124" s="1251"/>
      <c r="WQ124" s="1251"/>
      <c r="WR124" s="1251"/>
      <c r="WS124" s="1251"/>
      <c r="WT124" s="1251"/>
      <c r="WU124" s="1251"/>
      <c r="WV124" s="1251"/>
      <c r="WW124" s="1251"/>
      <c r="WX124" s="1251"/>
      <c r="WY124" s="1251"/>
      <c r="WZ124" s="1251"/>
      <c r="XA124" s="1251"/>
      <c r="XB124" s="1251"/>
      <c r="XC124" s="1251"/>
      <c r="XD124" s="1251"/>
      <c r="XE124" s="1251"/>
      <c r="XF124" s="1251"/>
      <c r="XG124" s="1251"/>
      <c r="XH124" s="1251"/>
      <c r="XI124" s="1251"/>
      <c r="XJ124" s="1251"/>
      <c r="XK124" s="1251"/>
      <c r="XL124" s="1251"/>
      <c r="XM124" s="1251"/>
      <c r="XN124" s="1251"/>
      <c r="XO124" s="1251"/>
      <c r="XP124" s="1251"/>
      <c r="XQ124" s="1251"/>
      <c r="XR124" s="1251"/>
      <c r="XS124" s="1251"/>
      <c r="XT124" s="1251"/>
      <c r="XU124" s="1251"/>
      <c r="XV124" s="1251"/>
      <c r="XW124" s="1251"/>
      <c r="XX124" s="1251"/>
      <c r="XY124" s="1251"/>
      <c r="XZ124" s="1251"/>
      <c r="YA124" s="1251"/>
      <c r="YB124" s="1251"/>
      <c r="YC124" s="1251"/>
      <c r="YD124" s="1251"/>
      <c r="YE124" s="1251"/>
      <c r="YF124" s="1251"/>
      <c r="YG124" s="1251"/>
      <c r="YH124" s="1251"/>
      <c r="YI124" s="1251"/>
      <c r="YJ124" s="1251"/>
      <c r="YK124" s="1251"/>
      <c r="YL124" s="1251"/>
      <c r="YM124" s="1251"/>
      <c r="YN124" s="1251"/>
      <c r="YO124" s="1251"/>
      <c r="YP124" s="1251"/>
      <c r="YQ124" s="1251"/>
      <c r="YR124" s="1251"/>
      <c r="YS124" s="1251"/>
      <c r="YT124" s="1251"/>
      <c r="YU124" s="1251"/>
      <c r="YV124" s="1251"/>
      <c r="YW124" s="1251"/>
      <c r="YX124" s="1251"/>
      <c r="YY124" s="1251"/>
      <c r="YZ124" s="1251"/>
      <c r="ZA124" s="1251"/>
      <c r="ZB124" s="1251"/>
      <c r="ZC124" s="1251"/>
      <c r="ZD124" s="1251"/>
      <c r="ZE124" s="1251"/>
      <c r="ZF124" s="1251"/>
      <c r="ZG124" s="1251"/>
      <c r="ZH124" s="1251"/>
      <c r="ZI124" s="1251"/>
      <c r="ZJ124" s="1251"/>
      <c r="ZK124" s="1251"/>
      <c r="ZL124" s="1251"/>
      <c r="ZM124" s="1251"/>
      <c r="ZN124" s="1251"/>
      <c r="ZO124" s="1251"/>
      <c r="ZP124" s="1251"/>
      <c r="ZQ124" s="1251"/>
      <c r="ZR124" s="1251"/>
      <c r="ZS124" s="1251"/>
      <c r="ZT124" s="1251"/>
      <c r="ZU124" s="1251"/>
      <c r="ZV124" s="1251"/>
      <c r="ZW124" s="1251"/>
      <c r="ZX124" s="1251"/>
      <c r="ZY124" s="1251"/>
      <c r="ZZ124" s="1251"/>
      <c r="AAA124" s="1251"/>
      <c r="AAB124" s="1251"/>
      <c r="AAC124" s="1251"/>
      <c r="AAD124" s="1251"/>
      <c r="AAE124" s="1251"/>
      <c r="AAF124" s="1251"/>
      <c r="AAG124" s="1251"/>
      <c r="AAH124" s="1251"/>
      <c r="AAI124" s="1251"/>
      <c r="AAJ124" s="1251"/>
      <c r="AAK124" s="1251"/>
      <c r="AAL124" s="1251"/>
      <c r="AAM124" s="1251"/>
      <c r="AAN124" s="1251"/>
      <c r="AAO124" s="1251"/>
      <c r="AAP124" s="1251"/>
      <c r="AAQ124" s="1251"/>
      <c r="AAR124" s="1251"/>
      <c r="AAS124" s="1251"/>
      <c r="AAT124" s="1251"/>
      <c r="AAU124" s="1251"/>
      <c r="AAV124" s="1251"/>
      <c r="AAW124" s="1251"/>
      <c r="AAX124" s="1251"/>
      <c r="AAY124" s="1251"/>
      <c r="AAZ124" s="1251"/>
      <c r="ABA124" s="1251"/>
      <c r="ABB124" s="1251"/>
      <c r="ABC124" s="1251"/>
      <c r="ABD124" s="1251"/>
      <c r="ABE124" s="1251"/>
      <c r="ABF124" s="1251"/>
      <c r="ABG124" s="1251"/>
      <c r="ABH124" s="1251"/>
      <c r="ABI124" s="1251"/>
      <c r="ABJ124" s="1251"/>
      <c r="ABK124" s="1251"/>
      <c r="ABL124" s="1251"/>
      <c r="ABM124" s="1251"/>
      <c r="ABN124" s="1251"/>
      <c r="ABO124" s="1251"/>
      <c r="ABP124" s="1251"/>
      <c r="ABQ124" s="1251"/>
      <c r="ABR124" s="1251"/>
      <c r="ABS124" s="1251"/>
      <c r="ABT124" s="1251"/>
      <c r="ABU124" s="1251"/>
      <c r="ABV124" s="1251"/>
      <c r="ABW124" s="1251"/>
      <c r="ABX124" s="1251"/>
      <c r="ABY124" s="1251"/>
      <c r="ABZ124" s="1251"/>
      <c r="ACA124" s="1251"/>
      <c r="ACB124" s="1251"/>
      <c r="ACC124" s="1251"/>
      <c r="ACD124" s="1251"/>
      <c r="ACE124" s="1251"/>
      <c r="ACF124" s="1251"/>
      <c r="ACG124" s="1251"/>
      <c r="ACH124" s="1251"/>
      <c r="ACI124" s="1251"/>
      <c r="ACJ124" s="1251"/>
      <c r="ACK124" s="1251"/>
      <c r="ACL124" s="1251"/>
      <c r="ACM124" s="1251"/>
      <c r="ACN124" s="1251"/>
      <c r="ACO124" s="1251"/>
      <c r="ACP124" s="1251"/>
      <c r="ACQ124" s="1251"/>
      <c r="ACR124" s="1251"/>
      <c r="ACS124" s="1251"/>
      <c r="ACT124" s="1251"/>
      <c r="ACU124" s="1251"/>
      <c r="ACV124" s="1251"/>
      <c r="ACW124" s="1251"/>
      <c r="ACX124" s="1251"/>
      <c r="ACY124" s="1251"/>
      <c r="ACZ124" s="1251"/>
      <c r="ADA124" s="1251"/>
      <c r="ADB124" s="1251"/>
      <c r="ADC124" s="1251"/>
      <c r="ADD124" s="1251"/>
      <c r="ADE124" s="1251"/>
      <c r="ADF124" s="1251"/>
      <c r="ADG124" s="1251"/>
      <c r="ADH124" s="1251"/>
      <c r="ADI124" s="1251"/>
      <c r="ADJ124" s="1251"/>
      <c r="ADK124" s="1251"/>
      <c r="ADL124" s="1251"/>
      <c r="ADM124" s="1251"/>
      <c r="ADN124" s="1251"/>
      <c r="ADO124" s="1251"/>
      <c r="ADP124" s="1251"/>
      <c r="ADQ124" s="1251"/>
      <c r="ADR124" s="1251"/>
      <c r="ADS124" s="1251"/>
      <c r="ADT124" s="1251"/>
      <c r="ADU124" s="1251"/>
      <c r="ADV124" s="1251"/>
      <c r="ADW124" s="1251"/>
      <c r="ADX124" s="1251"/>
      <c r="ADY124" s="1251"/>
      <c r="ADZ124" s="1251"/>
      <c r="AEA124" s="1251"/>
      <c r="AEB124" s="1251"/>
      <c r="AEC124" s="1251"/>
      <c r="AED124" s="1251"/>
      <c r="AEE124" s="1251"/>
      <c r="AEF124" s="1251"/>
      <c r="AEG124" s="1251"/>
      <c r="AEH124" s="1251"/>
      <c r="AEI124" s="1251"/>
      <c r="AEJ124" s="1251"/>
      <c r="AEK124" s="1251"/>
      <c r="AEL124" s="1251"/>
      <c r="AEM124" s="1251"/>
      <c r="AEN124" s="1251"/>
      <c r="AEO124" s="1251"/>
      <c r="AEP124" s="1251"/>
      <c r="AEQ124" s="1251"/>
      <c r="AER124" s="1251"/>
      <c r="AES124" s="1251"/>
      <c r="AET124" s="1251"/>
      <c r="AEU124" s="1251"/>
      <c r="AEV124" s="1251"/>
      <c r="AEW124" s="1251"/>
      <c r="AEX124" s="1251"/>
      <c r="AEY124" s="1251"/>
      <c r="AEZ124" s="1251"/>
      <c r="AFA124" s="1251"/>
      <c r="AFB124" s="1251"/>
      <c r="AFC124" s="1251"/>
      <c r="AFD124" s="1251"/>
      <c r="AFE124" s="1251"/>
      <c r="AFF124" s="1251"/>
      <c r="AFG124" s="1251"/>
      <c r="AFH124" s="1251"/>
      <c r="AFI124" s="1251"/>
      <c r="AFJ124" s="1251"/>
      <c r="AFK124" s="1251"/>
      <c r="AFL124" s="1251"/>
      <c r="AFM124" s="1251"/>
      <c r="AFN124" s="1251"/>
      <c r="AFO124" s="1251"/>
      <c r="AFP124" s="1251"/>
      <c r="AFQ124" s="1251"/>
      <c r="AFR124" s="1251"/>
      <c r="AFS124" s="1251"/>
      <c r="AFT124" s="1251"/>
      <c r="AFU124" s="1251"/>
      <c r="AFV124" s="1251"/>
      <c r="AFW124" s="1251"/>
      <c r="AFX124" s="1251"/>
      <c r="AFY124" s="1251"/>
      <c r="AFZ124" s="1251"/>
      <c r="AGA124" s="1251"/>
      <c r="AGB124" s="1251"/>
      <c r="AGC124" s="1251"/>
      <c r="AGD124" s="1251"/>
      <c r="AGE124" s="1251"/>
      <c r="AGF124" s="1251"/>
      <c r="AGG124" s="1251"/>
      <c r="AGH124" s="1251"/>
      <c r="AGI124" s="1251"/>
      <c r="AGJ124" s="1251"/>
      <c r="AGK124" s="1251"/>
      <c r="AGL124" s="1251"/>
      <c r="AGM124" s="1251"/>
      <c r="AGN124" s="1251"/>
      <c r="AGO124" s="1251"/>
      <c r="AGP124" s="1251"/>
      <c r="AGQ124" s="1251"/>
      <c r="AGR124" s="1251"/>
      <c r="AGS124" s="1251"/>
      <c r="AGT124" s="1251"/>
      <c r="AGU124" s="1251"/>
      <c r="AGV124" s="1251"/>
      <c r="AGW124" s="1251"/>
      <c r="AGX124" s="1251"/>
      <c r="AGY124" s="1251"/>
      <c r="AGZ124" s="1251"/>
      <c r="AHA124" s="1251"/>
      <c r="AHB124" s="1251"/>
      <c r="AHC124" s="1251"/>
      <c r="AHD124" s="1251"/>
      <c r="AHE124" s="1251"/>
      <c r="AHF124" s="1251"/>
      <c r="AHG124" s="1251"/>
      <c r="AHH124" s="1251"/>
      <c r="AHI124" s="1251"/>
      <c r="AHJ124" s="1251"/>
      <c r="AHK124" s="1251"/>
      <c r="AHL124" s="1251"/>
      <c r="AHM124" s="1251"/>
      <c r="AHN124" s="1251"/>
      <c r="AHO124" s="1251"/>
      <c r="AHP124" s="1251"/>
      <c r="AHQ124" s="1251"/>
      <c r="AHR124" s="1251"/>
      <c r="AHS124" s="1251"/>
      <c r="AHT124" s="1251"/>
      <c r="AHU124" s="1251"/>
      <c r="AHV124" s="1251"/>
      <c r="AHW124" s="1251"/>
      <c r="AHX124" s="1251"/>
      <c r="AHY124" s="1251"/>
      <c r="AHZ124" s="1251"/>
      <c r="AIA124" s="1251"/>
      <c r="AIB124" s="1251"/>
      <c r="AIC124" s="1251"/>
      <c r="AID124" s="1251"/>
      <c r="AIE124" s="1251"/>
      <c r="AIF124" s="1251"/>
      <c r="AIG124" s="1251"/>
      <c r="AIH124" s="1251"/>
      <c r="AII124" s="1251"/>
      <c r="AIJ124" s="1251"/>
      <c r="AIK124" s="1251"/>
      <c r="AIL124" s="1251"/>
      <c r="AIM124" s="1251"/>
      <c r="AIN124" s="1251"/>
      <c r="AIO124" s="1251"/>
      <c r="AIP124" s="1251"/>
      <c r="AIQ124" s="1251"/>
      <c r="AIR124" s="1251"/>
      <c r="AIS124" s="1251"/>
      <c r="AIT124" s="1251"/>
      <c r="AIU124" s="1251"/>
      <c r="AIV124" s="1251"/>
      <c r="AIW124" s="1251"/>
      <c r="AIX124" s="1251"/>
      <c r="AIY124" s="1251"/>
      <c r="AIZ124" s="1251"/>
      <c r="AJA124" s="1251"/>
      <c r="AJB124" s="1251"/>
      <c r="AJC124" s="1251"/>
      <c r="AJD124" s="1251"/>
      <c r="AJE124" s="1251"/>
      <c r="AJF124" s="1251"/>
      <c r="AJG124" s="1251"/>
      <c r="AJH124" s="1251"/>
      <c r="AJI124" s="1251"/>
      <c r="AJJ124" s="1251"/>
      <c r="AJK124" s="1251"/>
      <c r="AJL124" s="1251"/>
      <c r="AJM124" s="1251"/>
      <c r="AJN124" s="1251"/>
      <c r="AJO124" s="1251"/>
      <c r="AJP124" s="1251"/>
      <c r="AJQ124" s="1251"/>
      <c r="AJR124" s="1251"/>
      <c r="AJS124" s="1251"/>
      <c r="AJT124" s="1251"/>
      <c r="AJU124" s="1251"/>
      <c r="AJV124" s="1251"/>
      <c r="AJW124" s="1251"/>
      <c r="AJX124" s="1251"/>
      <c r="AJY124" s="1251"/>
      <c r="AJZ124" s="1251"/>
      <c r="AKA124" s="1251"/>
      <c r="AKB124" s="1251"/>
      <c r="AKC124" s="1251"/>
      <c r="AKD124" s="1251"/>
      <c r="AKE124" s="1251"/>
      <c r="AKF124" s="1251"/>
      <c r="AKG124" s="1251"/>
      <c r="AKH124" s="1251"/>
      <c r="AKI124" s="1251"/>
      <c r="AKJ124" s="1251"/>
      <c r="AKK124" s="1251"/>
      <c r="AKL124" s="1251"/>
      <c r="AKM124" s="1251"/>
      <c r="AKN124" s="1251"/>
      <c r="AKO124" s="1251"/>
      <c r="AKP124" s="1251"/>
      <c r="AKQ124" s="1251"/>
      <c r="AKR124" s="1251"/>
      <c r="AKS124" s="1251"/>
      <c r="AKT124" s="1251"/>
      <c r="AKU124" s="1251"/>
      <c r="AKV124" s="1251"/>
      <c r="AKW124" s="1251"/>
      <c r="AKX124" s="1251"/>
      <c r="AKY124" s="1251"/>
      <c r="AKZ124" s="1251"/>
      <c r="ALA124" s="1251"/>
      <c r="ALB124" s="1251"/>
      <c r="ALC124" s="1251"/>
      <c r="ALD124" s="1251"/>
      <c r="ALE124" s="1251"/>
      <c r="ALF124" s="1251"/>
      <c r="ALG124" s="1251"/>
      <c r="ALH124" s="1251"/>
      <c r="ALI124" s="1251"/>
      <c r="ALJ124" s="1251"/>
      <c r="ALK124" s="1251"/>
      <c r="ALL124" s="1251"/>
      <c r="ALM124" s="1251"/>
      <c r="ALN124" s="1251"/>
      <c r="ALO124" s="1251"/>
      <c r="ALP124" s="1251"/>
      <c r="ALQ124" s="1251"/>
      <c r="ALR124" s="1251"/>
      <c r="ALS124" s="1251"/>
      <c r="ALT124" s="1251"/>
      <c r="ALU124" s="1251"/>
      <c r="ALV124" s="1251"/>
      <c r="ALW124" s="1251"/>
      <c r="ALX124" s="1251"/>
      <c r="ALY124" s="1251"/>
      <c r="ALZ124" s="1251"/>
      <c r="AMA124" s="1251"/>
      <c r="AMB124" s="1251"/>
      <c r="AMC124" s="1251"/>
      <c r="AMD124" s="1251"/>
      <c r="AME124" s="1251"/>
      <c r="AMF124" s="1251"/>
      <c r="AMG124" s="1251"/>
      <c r="AMH124" s="1251"/>
      <c r="AMI124" s="1251"/>
      <c r="AMJ124" s="1251"/>
      <c r="AMK124" s="1251"/>
      <c r="AML124" s="1251"/>
      <c r="AMM124" s="1251"/>
      <c r="AMN124" s="1251"/>
      <c r="AMO124" s="1251"/>
      <c r="AMP124" s="1251"/>
      <c r="AMQ124" s="1251"/>
      <c r="AMR124" s="1251"/>
      <c r="AMS124" s="1251"/>
      <c r="AMT124" s="1251"/>
      <c r="AMU124" s="1251"/>
      <c r="AMV124" s="1251"/>
      <c r="AMW124" s="1251"/>
      <c r="AMX124" s="1251"/>
      <c r="AMY124" s="1251"/>
      <c r="AMZ124" s="1251"/>
      <c r="ANA124" s="1251"/>
      <c r="ANB124" s="1251"/>
      <c r="ANC124" s="1251"/>
      <c r="AND124" s="1251"/>
      <c r="ANE124" s="1251"/>
      <c r="ANF124" s="1251"/>
      <c r="ANG124" s="1251"/>
      <c r="ANH124" s="1251"/>
      <c r="ANI124" s="1251"/>
      <c r="ANJ124" s="1251"/>
      <c r="ANK124" s="1251"/>
      <c r="ANL124" s="1251"/>
      <c r="ANM124" s="1251"/>
      <c r="ANN124" s="1251"/>
      <c r="ANO124" s="1251"/>
      <c r="ANP124" s="1251"/>
      <c r="ANQ124" s="1251"/>
      <c r="ANR124" s="1251"/>
      <c r="ANS124" s="1251"/>
      <c r="ANT124" s="1251"/>
      <c r="ANU124" s="1251"/>
      <c r="ANV124" s="1251"/>
      <c r="ANW124" s="1251"/>
      <c r="ANX124" s="1251"/>
      <c r="ANY124" s="1251"/>
      <c r="ANZ124" s="1251"/>
      <c r="AOA124" s="1251"/>
      <c r="AOB124" s="1251"/>
      <c r="AOC124" s="1251"/>
      <c r="AOD124" s="1251"/>
      <c r="AOE124" s="1251"/>
      <c r="AOF124" s="1251"/>
      <c r="AOG124" s="1251"/>
      <c r="AOH124" s="1251"/>
      <c r="AOI124" s="1251"/>
      <c r="AOJ124" s="1251"/>
      <c r="AOK124" s="1251"/>
      <c r="AOL124" s="1251"/>
      <c r="AOM124" s="1251"/>
      <c r="AON124" s="1251"/>
      <c r="AOO124" s="1251"/>
      <c r="AOP124" s="1251"/>
      <c r="AOQ124" s="1251"/>
      <c r="AOR124" s="1251"/>
      <c r="AOS124" s="1251"/>
      <c r="AOT124" s="1251"/>
      <c r="AOU124" s="1251"/>
      <c r="AOV124" s="1251"/>
      <c r="AOW124" s="1251"/>
      <c r="AOX124" s="1251"/>
      <c r="AOY124" s="1251"/>
      <c r="AOZ124" s="1251"/>
      <c r="APA124" s="1251"/>
      <c r="APB124" s="1251"/>
      <c r="APC124" s="1251"/>
      <c r="APD124" s="1251"/>
      <c r="APE124" s="1251"/>
      <c r="APF124" s="1251"/>
      <c r="APG124" s="1251"/>
      <c r="APH124" s="1251"/>
      <c r="API124" s="1251"/>
      <c r="APJ124" s="1251"/>
      <c r="APK124" s="1251"/>
      <c r="APL124" s="1251"/>
      <c r="APM124" s="1251"/>
      <c r="APN124" s="1251"/>
      <c r="APO124" s="1251"/>
      <c r="APP124" s="1251"/>
      <c r="APQ124" s="1251"/>
      <c r="APR124" s="1251"/>
      <c r="APS124" s="1251"/>
      <c r="APT124" s="1251"/>
      <c r="APU124" s="1251"/>
      <c r="APV124" s="1251"/>
      <c r="APW124" s="1251"/>
      <c r="APX124" s="1251"/>
      <c r="APY124" s="1251"/>
      <c r="APZ124" s="1251"/>
      <c r="AQA124" s="1251"/>
      <c r="AQB124" s="1251"/>
      <c r="AQC124" s="1251"/>
      <c r="AQD124" s="1251"/>
      <c r="AQE124" s="1251"/>
      <c r="AQF124" s="1251"/>
      <c r="AQG124" s="1251"/>
      <c r="AQH124" s="1251"/>
      <c r="AQI124" s="1251"/>
      <c r="AQJ124" s="1251"/>
      <c r="AQK124" s="1251"/>
      <c r="AQL124" s="1251"/>
      <c r="AQM124" s="1251"/>
      <c r="AQN124" s="1251"/>
      <c r="AQO124" s="1251"/>
      <c r="AQP124" s="1251"/>
      <c r="AQQ124" s="1251"/>
      <c r="AQR124" s="1251"/>
      <c r="AQS124" s="1251"/>
      <c r="AQT124" s="1251"/>
      <c r="AQU124" s="1251"/>
      <c r="AQV124" s="1251"/>
      <c r="AQW124" s="1251"/>
      <c r="AQX124" s="1251"/>
      <c r="AQY124" s="1251"/>
      <c r="AQZ124" s="1251"/>
      <c r="ARA124" s="1251"/>
      <c r="ARB124" s="1251"/>
      <c r="ARC124" s="1251"/>
      <c r="ARD124" s="1251"/>
      <c r="ARE124" s="1251"/>
      <c r="ARF124" s="1251"/>
      <c r="ARG124" s="1251"/>
      <c r="ARH124" s="1251"/>
      <c r="ARI124" s="1251"/>
      <c r="ARJ124" s="1251"/>
      <c r="ARK124" s="1251"/>
      <c r="ARL124" s="1251"/>
      <c r="ARM124" s="1251"/>
      <c r="ARN124" s="1251"/>
      <c r="ARO124" s="1251"/>
      <c r="ARP124" s="1251"/>
      <c r="ARQ124" s="1251"/>
      <c r="ARR124" s="1251"/>
      <c r="ARS124" s="1251"/>
      <c r="ART124" s="1251"/>
      <c r="ARU124" s="1251"/>
      <c r="ARV124" s="1251"/>
      <c r="ARW124" s="1251"/>
      <c r="ARX124" s="1251"/>
      <c r="ARY124" s="1251"/>
      <c r="ARZ124" s="1251"/>
      <c r="ASA124" s="1251"/>
      <c r="ASB124" s="1251"/>
      <c r="ASC124" s="1251"/>
      <c r="ASD124" s="1251"/>
      <c r="ASE124" s="1251"/>
      <c r="ASF124" s="1251"/>
      <c r="ASG124" s="1251"/>
      <c r="ASH124" s="1251"/>
      <c r="ASI124" s="1251"/>
      <c r="ASJ124" s="1251"/>
      <c r="ASK124" s="1251"/>
      <c r="ASL124" s="1251"/>
      <c r="ASM124" s="1251"/>
      <c r="ASN124" s="1251"/>
      <c r="ASO124" s="1251"/>
      <c r="ASP124" s="1251"/>
      <c r="ASQ124" s="1251"/>
      <c r="ASR124" s="1251"/>
      <c r="ASS124" s="1251"/>
      <c r="AST124" s="1251"/>
      <c r="ASU124" s="1251"/>
      <c r="ASV124" s="1251"/>
      <c r="ASW124" s="1251"/>
      <c r="ASX124" s="1251"/>
      <c r="ASY124" s="1251"/>
      <c r="ASZ124" s="1251"/>
      <c r="ATA124" s="1251"/>
      <c r="ATB124" s="1251"/>
      <c r="ATC124" s="1251"/>
      <c r="ATD124" s="1251"/>
      <c r="ATE124" s="1251"/>
      <c r="ATF124" s="1251"/>
      <c r="ATG124" s="1251"/>
      <c r="ATH124" s="1251"/>
      <c r="ATI124" s="1251"/>
      <c r="ATJ124" s="1251"/>
      <c r="ATK124" s="1251"/>
      <c r="ATL124" s="1251"/>
      <c r="ATM124" s="1251"/>
      <c r="ATN124" s="1251"/>
      <c r="ATO124" s="1251"/>
      <c r="ATP124" s="1251"/>
      <c r="ATQ124" s="1251"/>
      <c r="ATR124" s="1251"/>
      <c r="ATS124" s="1251"/>
      <c r="ATT124" s="1251"/>
      <c r="ATU124" s="1251"/>
      <c r="ATV124" s="1251"/>
      <c r="ATW124" s="1251"/>
      <c r="ATX124" s="1251"/>
      <c r="ATY124" s="1251"/>
      <c r="ATZ124" s="1251"/>
      <c r="AUA124" s="1251"/>
      <c r="AUB124" s="1251"/>
      <c r="AUC124" s="1251"/>
      <c r="AUD124" s="1251"/>
      <c r="AUE124" s="1251"/>
      <c r="AUF124" s="1251"/>
      <c r="AUG124" s="1251"/>
      <c r="AUH124" s="1251"/>
      <c r="AUI124" s="1251"/>
      <c r="AUJ124" s="1251"/>
      <c r="AUK124" s="1251"/>
      <c r="AUL124" s="1251"/>
      <c r="AUM124" s="1251"/>
      <c r="AUN124" s="1251"/>
      <c r="AUO124" s="1251"/>
      <c r="AUP124" s="1251"/>
      <c r="AUQ124" s="1251"/>
      <c r="AUR124" s="1251"/>
      <c r="AUS124" s="1251"/>
      <c r="AUT124" s="1251"/>
      <c r="AUU124" s="1251"/>
      <c r="AUV124" s="1251"/>
      <c r="AUW124" s="1251"/>
      <c r="AUX124" s="1251"/>
      <c r="AUY124" s="1251"/>
      <c r="AUZ124" s="1251"/>
      <c r="AVA124" s="1251"/>
      <c r="AVB124" s="1251"/>
      <c r="AVC124" s="1251"/>
      <c r="AVD124" s="1251"/>
      <c r="AVE124" s="1251"/>
      <c r="AVF124" s="1251"/>
      <c r="AVG124" s="1251"/>
      <c r="AVH124" s="1251"/>
      <c r="AVI124" s="1251"/>
      <c r="AVJ124" s="1251"/>
      <c r="AVK124" s="1251"/>
      <c r="AVL124" s="1251"/>
      <c r="AVM124" s="1251"/>
      <c r="AVN124" s="1251"/>
      <c r="AVO124" s="1251"/>
      <c r="AVP124" s="1251"/>
      <c r="AVQ124" s="1251"/>
      <c r="AVR124" s="1251"/>
      <c r="AVS124" s="1251"/>
      <c r="AVT124" s="1251"/>
      <c r="AVU124" s="1251"/>
      <c r="AVV124" s="1251"/>
      <c r="AVW124" s="1251"/>
      <c r="AVX124" s="1251"/>
      <c r="AVY124" s="1251"/>
      <c r="AVZ124" s="1251"/>
      <c r="AWA124" s="1251"/>
      <c r="AWB124" s="1251"/>
      <c r="AWC124" s="1251"/>
      <c r="AWD124" s="1251"/>
      <c r="AWE124" s="1251"/>
      <c r="AWF124" s="1251"/>
      <c r="AWG124" s="1251"/>
      <c r="AWH124" s="1251"/>
      <c r="AWI124" s="1251"/>
      <c r="AWJ124" s="1251"/>
      <c r="AWK124" s="1251"/>
      <c r="AWL124" s="1251"/>
      <c r="AWM124" s="1251"/>
      <c r="AWN124" s="1251"/>
      <c r="AWO124" s="1251"/>
      <c r="AWP124" s="1251"/>
      <c r="AWQ124" s="1251"/>
      <c r="AWR124" s="1251"/>
      <c r="AWS124" s="1251"/>
      <c r="AWT124" s="1251"/>
      <c r="AWU124" s="1251"/>
      <c r="AWV124" s="1251"/>
      <c r="AWW124" s="1251"/>
      <c r="AWX124" s="1251"/>
      <c r="AWY124" s="1251"/>
      <c r="AWZ124" s="1251"/>
      <c r="AXA124" s="1251"/>
      <c r="AXB124" s="1251"/>
      <c r="AXC124" s="1251"/>
      <c r="AXD124" s="1251"/>
      <c r="AXE124" s="1251"/>
      <c r="AXF124" s="1251"/>
      <c r="AXG124" s="1251"/>
      <c r="AXH124" s="1251"/>
      <c r="AXI124" s="1251"/>
      <c r="AXJ124" s="1251"/>
      <c r="AXK124" s="1251"/>
      <c r="AXL124" s="1251"/>
      <c r="AXM124" s="1251"/>
      <c r="AXN124" s="1251"/>
      <c r="AXO124" s="1251"/>
      <c r="AXP124" s="1251"/>
      <c r="AXQ124" s="1251"/>
      <c r="AXR124" s="1251"/>
      <c r="AXS124" s="1251"/>
      <c r="AXT124" s="1251"/>
      <c r="AXU124" s="1251"/>
      <c r="AXV124" s="1251"/>
      <c r="AXW124" s="1251"/>
      <c r="AXX124" s="1251"/>
      <c r="AXY124" s="1251"/>
      <c r="AXZ124" s="1251"/>
      <c r="AYA124" s="1251"/>
      <c r="AYB124" s="1251"/>
      <c r="AYC124" s="1251"/>
      <c r="AYD124" s="1251"/>
      <c r="AYE124" s="1251"/>
      <c r="AYF124" s="1251"/>
      <c r="AYG124" s="1251"/>
      <c r="AYH124" s="1251"/>
      <c r="AYI124" s="1251"/>
      <c r="AYJ124" s="1251"/>
      <c r="AYK124" s="1251"/>
      <c r="AYL124" s="1251"/>
      <c r="AYM124" s="1251"/>
      <c r="AYN124" s="1251"/>
      <c r="AYO124" s="1251"/>
      <c r="AYP124" s="1251"/>
      <c r="AYQ124" s="1251"/>
      <c r="AYR124" s="1251"/>
      <c r="AYS124" s="1251"/>
      <c r="AYT124" s="1251"/>
      <c r="AYU124" s="1251"/>
      <c r="AYV124" s="1251"/>
      <c r="AYW124" s="1251"/>
      <c r="AYX124" s="1251"/>
      <c r="AYY124" s="1251"/>
      <c r="AYZ124" s="1251"/>
      <c r="AZA124" s="1251"/>
      <c r="AZB124" s="1251"/>
      <c r="AZC124" s="1251"/>
      <c r="AZD124" s="1251"/>
      <c r="AZE124" s="1251"/>
      <c r="AZF124" s="1251"/>
      <c r="AZG124" s="1251"/>
      <c r="AZH124" s="1251"/>
      <c r="AZI124" s="1251"/>
      <c r="AZJ124" s="1251"/>
      <c r="AZK124" s="1251"/>
      <c r="AZL124" s="1251"/>
      <c r="AZM124" s="1251"/>
      <c r="AZN124" s="1251"/>
      <c r="AZO124" s="1251"/>
      <c r="AZP124" s="1251"/>
      <c r="AZQ124" s="1251"/>
      <c r="AZR124" s="1251"/>
      <c r="AZS124" s="1251"/>
      <c r="AZT124" s="1251"/>
      <c r="AZU124" s="1251"/>
      <c r="AZV124" s="1251"/>
      <c r="AZW124" s="1251"/>
      <c r="AZX124" s="1251"/>
      <c r="AZY124" s="1251"/>
      <c r="AZZ124" s="1251"/>
      <c r="BAA124" s="1251"/>
      <c r="BAB124" s="1251"/>
      <c r="BAC124" s="1251"/>
      <c r="BAD124" s="1251"/>
      <c r="BAE124" s="1251"/>
      <c r="BAF124" s="1251"/>
      <c r="BAG124" s="1251"/>
      <c r="BAH124" s="1251"/>
      <c r="BAI124" s="1251"/>
      <c r="BAJ124" s="1251"/>
      <c r="BAK124" s="1251"/>
      <c r="BAL124" s="1251"/>
      <c r="BAM124" s="1251"/>
      <c r="BAN124" s="1251"/>
      <c r="BAO124" s="1251"/>
      <c r="BAP124" s="1251"/>
      <c r="BAQ124" s="1251"/>
      <c r="BAR124" s="1251"/>
      <c r="BAS124" s="1251"/>
      <c r="BAT124" s="1251"/>
      <c r="BAU124" s="1251"/>
      <c r="BAV124" s="1251"/>
      <c r="BAW124" s="1251"/>
      <c r="BAX124" s="1251"/>
      <c r="BAY124" s="1251"/>
      <c r="BAZ124" s="1251"/>
      <c r="BBA124" s="1251"/>
      <c r="BBB124" s="1251"/>
      <c r="BBC124" s="1251"/>
      <c r="BBD124" s="1251"/>
      <c r="BBE124" s="1251"/>
      <c r="BBF124" s="1251"/>
      <c r="BBG124" s="1251"/>
      <c r="BBH124" s="1251"/>
      <c r="BBI124" s="1251"/>
      <c r="BBJ124" s="1251"/>
      <c r="BBK124" s="1251"/>
      <c r="BBL124" s="1251"/>
      <c r="BBM124" s="1251"/>
      <c r="BBN124" s="1251"/>
      <c r="BBO124" s="1251"/>
      <c r="BBP124" s="1251"/>
      <c r="BBQ124" s="1251"/>
      <c r="BBR124" s="1251"/>
      <c r="BBS124" s="1251"/>
      <c r="BBT124" s="1251"/>
      <c r="BBU124" s="1251"/>
      <c r="BBV124" s="1251"/>
      <c r="BBW124" s="1251"/>
      <c r="BBX124" s="1251"/>
      <c r="BBY124" s="1251"/>
      <c r="BBZ124" s="1251"/>
      <c r="BCA124" s="1251"/>
      <c r="BCB124" s="1251"/>
      <c r="BCC124" s="1251"/>
      <c r="BCD124" s="1251"/>
      <c r="BCE124" s="1251"/>
      <c r="BCF124" s="1251"/>
      <c r="BCG124" s="1251"/>
      <c r="BCH124" s="1251"/>
      <c r="BCI124" s="1251"/>
      <c r="BCJ124" s="1251"/>
      <c r="BCK124" s="1251"/>
      <c r="BCL124" s="1251"/>
      <c r="BCM124" s="1251"/>
      <c r="BCN124" s="1251"/>
      <c r="BCO124" s="1251"/>
      <c r="BCP124" s="1251"/>
      <c r="BCQ124" s="1251"/>
      <c r="BCR124" s="1251"/>
      <c r="BCS124" s="1251"/>
      <c r="BCT124" s="1251"/>
      <c r="BCU124" s="1251"/>
      <c r="BCV124" s="1251"/>
      <c r="BCW124" s="1251"/>
      <c r="BCX124" s="1251"/>
      <c r="BCY124" s="1251"/>
      <c r="BCZ124" s="1251"/>
      <c r="BDA124" s="1251"/>
      <c r="BDB124" s="1251"/>
      <c r="BDC124" s="1251"/>
      <c r="BDD124" s="1251"/>
      <c r="BDE124" s="1251"/>
      <c r="BDF124" s="1251"/>
      <c r="BDG124" s="1251"/>
      <c r="BDH124" s="1251"/>
      <c r="BDI124" s="1251"/>
      <c r="BDJ124" s="1251"/>
      <c r="BDK124" s="1251"/>
      <c r="BDL124" s="1251"/>
      <c r="BDM124" s="1251"/>
      <c r="BDN124" s="1251"/>
      <c r="BDO124" s="1251"/>
      <c r="BDP124" s="1251"/>
      <c r="BDQ124" s="1251"/>
      <c r="BDR124" s="1251"/>
      <c r="BDS124" s="1251"/>
      <c r="BDT124" s="1251"/>
      <c r="BDU124" s="1251"/>
      <c r="BDV124" s="1251"/>
      <c r="BDW124" s="1251"/>
      <c r="BDX124" s="1251"/>
      <c r="BDY124" s="1251"/>
      <c r="BDZ124" s="1251"/>
      <c r="BEA124" s="1251"/>
      <c r="BEB124" s="1251"/>
      <c r="BEC124" s="1251"/>
      <c r="BED124" s="1251"/>
      <c r="BEE124" s="1251"/>
      <c r="BEF124" s="1251"/>
      <c r="BEG124" s="1251"/>
      <c r="BEH124" s="1251"/>
      <c r="BEI124" s="1251"/>
      <c r="BEJ124" s="1251"/>
      <c r="BEK124" s="1251"/>
      <c r="BEL124" s="1251"/>
      <c r="BEM124" s="1251"/>
      <c r="BEN124" s="1251"/>
      <c r="BEO124" s="1251"/>
      <c r="BEP124" s="1251"/>
      <c r="BEQ124" s="1251"/>
      <c r="BER124" s="1251"/>
      <c r="BES124" s="1251"/>
      <c r="BET124" s="1251"/>
      <c r="BEU124" s="1251"/>
      <c r="BEV124" s="1251"/>
      <c r="BEW124" s="1251"/>
      <c r="BEX124" s="1251"/>
      <c r="BEY124" s="1251"/>
      <c r="BEZ124" s="1251"/>
      <c r="BFA124" s="1251"/>
      <c r="BFB124" s="1251"/>
      <c r="BFC124" s="1251"/>
      <c r="BFD124" s="1251"/>
      <c r="BFE124" s="1251"/>
      <c r="BFF124" s="1251"/>
      <c r="BFG124" s="1251"/>
      <c r="BFH124" s="1251"/>
      <c r="BFI124" s="1251"/>
      <c r="BFJ124" s="1251"/>
      <c r="BFK124" s="1251"/>
      <c r="BFL124" s="1251"/>
      <c r="BFM124" s="1251"/>
      <c r="BFN124" s="1251"/>
      <c r="BFO124" s="1251"/>
      <c r="BFP124" s="1251"/>
      <c r="BFQ124" s="1251"/>
      <c r="BFR124" s="1251"/>
      <c r="BFS124" s="1251"/>
      <c r="BFT124" s="1251"/>
      <c r="BFU124" s="1251"/>
      <c r="BFV124" s="1251"/>
      <c r="BFW124" s="1251"/>
      <c r="BFX124" s="1251"/>
      <c r="BFY124" s="1251"/>
      <c r="BFZ124" s="1251"/>
      <c r="BGA124" s="1251"/>
      <c r="BGB124" s="1251"/>
      <c r="BGC124" s="1251"/>
      <c r="BGD124" s="1251"/>
      <c r="BGE124" s="1251"/>
      <c r="BGF124" s="1251"/>
      <c r="BGG124" s="1251"/>
      <c r="BGH124" s="1251"/>
      <c r="BGI124" s="1251"/>
      <c r="BGJ124" s="1251"/>
      <c r="BGK124" s="1251"/>
      <c r="BGL124" s="1251"/>
      <c r="BGM124" s="1251"/>
      <c r="BGN124" s="1251"/>
      <c r="BGO124" s="1251"/>
      <c r="BGP124" s="1251"/>
      <c r="BGQ124" s="1251"/>
      <c r="BGR124" s="1251"/>
      <c r="BGS124" s="1251"/>
      <c r="BGT124" s="1251"/>
      <c r="BGU124" s="1251"/>
      <c r="BGV124" s="1251"/>
      <c r="BGW124" s="1251"/>
      <c r="BGX124" s="1251"/>
      <c r="BGY124" s="1251"/>
      <c r="BGZ124" s="1251"/>
      <c r="BHA124" s="1251"/>
      <c r="BHB124" s="1251"/>
      <c r="BHC124" s="1251"/>
      <c r="BHD124" s="1251"/>
      <c r="BHE124" s="1251"/>
      <c r="BHF124" s="1251"/>
      <c r="BHG124" s="1251"/>
      <c r="BHH124" s="1251"/>
      <c r="BHI124" s="1251"/>
      <c r="BHJ124" s="1251"/>
      <c r="BHK124" s="1251"/>
      <c r="BHL124" s="1251"/>
      <c r="BHM124" s="1251"/>
      <c r="BHN124" s="1251"/>
      <c r="BHO124" s="1251"/>
      <c r="BHP124" s="1251"/>
      <c r="BHQ124" s="1251"/>
      <c r="BHR124" s="1251"/>
      <c r="BHS124" s="1251"/>
      <c r="BHT124" s="1251"/>
      <c r="BHU124" s="1251"/>
      <c r="BHV124" s="1251"/>
      <c r="BHW124" s="1251"/>
      <c r="BHX124" s="1251"/>
      <c r="BHY124" s="1251"/>
      <c r="BHZ124" s="1251"/>
      <c r="BIA124" s="1251"/>
      <c r="BIB124" s="1251"/>
      <c r="BIC124" s="1251"/>
      <c r="BID124" s="1251"/>
      <c r="BIE124" s="1251"/>
      <c r="BIF124" s="1251"/>
      <c r="BIG124" s="1251"/>
      <c r="BIH124" s="1251"/>
      <c r="BII124" s="1251"/>
      <c r="BIJ124" s="1251"/>
      <c r="BIK124" s="1251"/>
      <c r="BIL124" s="1251"/>
      <c r="BIM124" s="1251"/>
      <c r="BIN124" s="1251"/>
      <c r="BIO124" s="1251"/>
      <c r="BIP124" s="1251"/>
      <c r="BIQ124" s="1251"/>
      <c r="BIR124" s="1251"/>
      <c r="BIS124" s="1251"/>
      <c r="BIT124" s="1251"/>
      <c r="BIU124" s="1251"/>
      <c r="BIV124" s="1251"/>
      <c r="BIW124" s="1251"/>
      <c r="BIX124" s="1251"/>
      <c r="BIY124" s="1251"/>
      <c r="BIZ124" s="1251"/>
      <c r="BJA124" s="1251"/>
      <c r="BJB124" s="1251"/>
      <c r="BJC124" s="1251"/>
      <c r="BJD124" s="1251"/>
      <c r="BJE124" s="1251"/>
      <c r="BJF124" s="1251"/>
      <c r="BJG124" s="1251"/>
      <c r="BJH124" s="1251"/>
      <c r="BJI124" s="1251"/>
      <c r="BJJ124" s="1251"/>
      <c r="BJK124" s="1251"/>
      <c r="BJL124" s="1251"/>
      <c r="BJM124" s="1251"/>
      <c r="BJN124" s="1251"/>
      <c r="BJO124" s="1251"/>
      <c r="BJP124" s="1251"/>
      <c r="BJQ124" s="1251"/>
      <c r="BJR124" s="1251"/>
      <c r="BJS124" s="1251"/>
      <c r="BJT124" s="1251"/>
      <c r="BJU124" s="1251"/>
      <c r="BJV124" s="1251"/>
      <c r="BJW124" s="1251"/>
      <c r="BJX124" s="1251"/>
      <c r="BJY124" s="1251"/>
      <c r="BJZ124" s="1251"/>
      <c r="BKA124" s="1251"/>
      <c r="BKB124" s="1251"/>
      <c r="BKC124" s="1251"/>
      <c r="BKD124" s="1251"/>
      <c r="BKE124" s="1251"/>
      <c r="BKF124" s="1251"/>
      <c r="BKG124" s="1251"/>
      <c r="BKH124" s="1251"/>
      <c r="BKI124" s="1251"/>
      <c r="BKJ124" s="1251"/>
      <c r="BKK124" s="1251"/>
      <c r="BKL124" s="1251"/>
      <c r="BKM124" s="1251"/>
      <c r="BKN124" s="1251"/>
      <c r="BKO124" s="1251"/>
      <c r="BKP124" s="1251"/>
      <c r="BKQ124" s="1251"/>
      <c r="BKR124" s="1251"/>
      <c r="BKS124" s="1251"/>
      <c r="BKT124" s="1251"/>
      <c r="BKU124" s="1251"/>
      <c r="BKV124" s="1251"/>
      <c r="BKW124" s="1251"/>
      <c r="BKX124" s="1251"/>
      <c r="BKY124" s="1251"/>
      <c r="BKZ124" s="1251"/>
      <c r="BLA124" s="1251"/>
      <c r="BLB124" s="1251"/>
      <c r="BLC124" s="1251"/>
      <c r="BLD124" s="1251"/>
      <c r="BLE124" s="1251"/>
      <c r="BLF124" s="1251"/>
      <c r="BLG124" s="1251"/>
      <c r="BLH124" s="1251"/>
      <c r="BLI124" s="1251"/>
      <c r="BLJ124" s="1251"/>
      <c r="BLK124" s="1251"/>
      <c r="BLL124" s="1251"/>
      <c r="BLM124" s="1251"/>
      <c r="BLN124" s="1251"/>
      <c r="BLO124" s="1251"/>
      <c r="BLP124" s="1251"/>
      <c r="BLQ124" s="1251"/>
      <c r="BLR124" s="1251"/>
      <c r="BLS124" s="1251"/>
      <c r="BLT124" s="1251"/>
      <c r="BLU124" s="1251"/>
      <c r="BLV124" s="1251"/>
      <c r="BLW124" s="1251"/>
      <c r="BLX124" s="1251"/>
      <c r="BLY124" s="1251"/>
      <c r="BLZ124" s="1251"/>
      <c r="BMA124" s="1251"/>
      <c r="BMB124" s="1251"/>
      <c r="BMC124" s="1251"/>
      <c r="BMD124" s="1251"/>
      <c r="BME124" s="1251"/>
      <c r="BMF124" s="1251"/>
      <c r="BMG124" s="1251"/>
      <c r="BMH124" s="1251"/>
      <c r="BMI124" s="1251"/>
      <c r="BMJ124" s="1251"/>
      <c r="BMK124" s="1251"/>
      <c r="BML124" s="1251"/>
      <c r="BMM124" s="1251"/>
      <c r="BMN124" s="1251"/>
      <c r="BMO124" s="1251"/>
      <c r="BMP124" s="1251"/>
      <c r="BMQ124" s="1251"/>
      <c r="BMR124" s="1251"/>
      <c r="BMS124" s="1251"/>
      <c r="BMT124" s="1251"/>
      <c r="BMU124" s="1251"/>
      <c r="BMV124" s="1251"/>
      <c r="BMW124" s="1251"/>
      <c r="BMX124" s="1251"/>
      <c r="BMY124" s="1251"/>
      <c r="BMZ124" s="1251"/>
      <c r="BNA124" s="1251"/>
      <c r="BNB124" s="1251"/>
      <c r="BNC124" s="1251"/>
      <c r="BND124" s="1251"/>
      <c r="BNE124" s="1251"/>
      <c r="BNF124" s="1251"/>
      <c r="BNG124" s="1251"/>
      <c r="BNH124" s="1251"/>
      <c r="BNI124" s="1251"/>
      <c r="BNJ124" s="1251"/>
      <c r="BNK124" s="1251"/>
      <c r="BNL124" s="1251"/>
      <c r="BNM124" s="1251"/>
      <c r="BNN124" s="1251"/>
      <c r="BNO124" s="1251"/>
      <c r="BNP124" s="1251"/>
      <c r="BNQ124" s="1251"/>
      <c r="BNR124" s="1251"/>
      <c r="BNS124" s="1251"/>
      <c r="BNT124" s="1251"/>
      <c r="BNU124" s="1251"/>
      <c r="BNV124" s="1251"/>
      <c r="BNW124" s="1251"/>
      <c r="BNX124" s="1251"/>
      <c r="BNY124" s="1251"/>
      <c r="BNZ124" s="1251"/>
      <c r="BOA124" s="1251"/>
      <c r="BOB124" s="1251"/>
      <c r="BOC124" s="1251"/>
      <c r="BOD124" s="1251"/>
      <c r="BOE124" s="1251"/>
      <c r="BOF124" s="1251"/>
      <c r="BOG124" s="1251"/>
      <c r="BOH124" s="1251"/>
      <c r="BOI124" s="1251"/>
      <c r="BOJ124" s="1251"/>
      <c r="BOK124" s="1251"/>
      <c r="BOL124" s="1251"/>
      <c r="BOM124" s="1251"/>
      <c r="BON124" s="1251"/>
      <c r="BOO124" s="1251"/>
      <c r="BOP124" s="1251"/>
      <c r="BOQ124" s="1251"/>
      <c r="BOR124" s="1251"/>
      <c r="BOS124" s="1251"/>
      <c r="BOT124" s="1251"/>
      <c r="BOU124" s="1251"/>
      <c r="BOV124" s="1251"/>
      <c r="BOW124" s="1251"/>
      <c r="BOX124" s="1251"/>
      <c r="BOY124" s="1251"/>
      <c r="BOZ124" s="1251"/>
      <c r="BPA124" s="1251"/>
      <c r="BPB124" s="1251"/>
      <c r="BPC124" s="1251"/>
      <c r="BPD124" s="1251"/>
      <c r="BPE124" s="1251"/>
      <c r="BPF124" s="1251"/>
      <c r="BPG124" s="1251"/>
      <c r="BPH124" s="1251"/>
      <c r="BPI124" s="1251"/>
      <c r="BPJ124" s="1251"/>
      <c r="BPK124" s="1251"/>
      <c r="BPL124" s="1251"/>
      <c r="BPM124" s="1251"/>
      <c r="BPN124" s="1251"/>
      <c r="BPO124" s="1251"/>
      <c r="BPP124" s="1251"/>
      <c r="BPQ124" s="1251"/>
      <c r="BPR124" s="1251"/>
      <c r="BPS124" s="1251"/>
      <c r="BPT124" s="1251"/>
      <c r="BPU124" s="1251"/>
      <c r="BPV124" s="1251"/>
      <c r="BPW124" s="1251"/>
      <c r="BPX124" s="1251"/>
      <c r="BPY124" s="1251"/>
      <c r="BPZ124" s="1251"/>
      <c r="BQA124" s="1251"/>
      <c r="BQB124" s="1251"/>
      <c r="BQC124" s="1251"/>
      <c r="BQD124" s="1251"/>
      <c r="BQE124" s="1251"/>
      <c r="BQF124" s="1251"/>
      <c r="BQG124" s="1251"/>
      <c r="BQH124" s="1251"/>
      <c r="BQI124" s="1251"/>
      <c r="BQJ124" s="1251"/>
      <c r="BQK124" s="1251"/>
      <c r="BQL124" s="1251"/>
      <c r="BQM124" s="1251"/>
      <c r="BQN124" s="1251"/>
      <c r="BQO124" s="1251"/>
      <c r="BQP124" s="1251"/>
      <c r="BQQ124" s="1251"/>
      <c r="BQR124" s="1251"/>
      <c r="BQS124" s="1251"/>
      <c r="BQT124" s="1251"/>
      <c r="BQU124" s="1251"/>
      <c r="BQV124" s="1251"/>
      <c r="BQW124" s="1251"/>
      <c r="BQX124" s="1251"/>
      <c r="BQY124" s="1251"/>
      <c r="BQZ124" s="1251"/>
      <c r="BRA124" s="1251"/>
      <c r="BRB124" s="1251"/>
      <c r="BRC124" s="1251"/>
      <c r="BRD124" s="1251"/>
      <c r="BRE124" s="1251"/>
      <c r="BRF124" s="1251"/>
      <c r="BRG124" s="1251"/>
      <c r="BRH124" s="1251"/>
      <c r="BRI124" s="1251"/>
      <c r="BRJ124" s="1251"/>
      <c r="BRK124" s="1251"/>
      <c r="BRL124" s="1251"/>
      <c r="BRM124" s="1251"/>
      <c r="BRN124" s="1251"/>
      <c r="BRO124" s="1251"/>
      <c r="BRP124" s="1251"/>
      <c r="BRQ124" s="1251"/>
      <c r="BRR124" s="1251"/>
      <c r="BRS124" s="1251"/>
      <c r="BRT124" s="1251"/>
      <c r="BRU124" s="1251"/>
      <c r="BRV124" s="1251"/>
      <c r="BRW124" s="1251"/>
      <c r="BRX124" s="1251"/>
      <c r="BRY124" s="1251"/>
      <c r="BRZ124" s="1251"/>
      <c r="BSA124" s="1251"/>
      <c r="BSB124" s="1251"/>
      <c r="BSC124" s="1251"/>
      <c r="BSD124" s="1251"/>
      <c r="BSE124" s="1251"/>
      <c r="BSF124" s="1251"/>
      <c r="BSG124" s="1251"/>
      <c r="BSH124" s="1251"/>
      <c r="BSI124" s="1251"/>
      <c r="BSJ124" s="1251"/>
      <c r="BSK124" s="1251"/>
      <c r="BSL124" s="1251"/>
      <c r="BSM124" s="1251"/>
      <c r="BSN124" s="1251"/>
      <c r="BSO124" s="1251"/>
      <c r="BSP124" s="1251"/>
      <c r="BSQ124" s="1251"/>
      <c r="BSR124" s="1251"/>
      <c r="BSS124" s="1251"/>
      <c r="BST124" s="1251"/>
      <c r="BSU124" s="1251"/>
      <c r="BSV124" s="1251"/>
      <c r="BSW124" s="1251"/>
      <c r="BSX124" s="1251"/>
      <c r="BSY124" s="1251"/>
      <c r="BSZ124" s="1251"/>
      <c r="BTA124" s="1251"/>
      <c r="BTB124" s="1251"/>
      <c r="BTC124" s="1251"/>
      <c r="BTD124" s="1251"/>
      <c r="BTE124" s="1251"/>
      <c r="BTF124" s="1251"/>
      <c r="BTG124" s="1251"/>
      <c r="BTH124" s="1251"/>
      <c r="BTI124" s="1251"/>
    </row>
    <row r="125" spans="1:1881" s="1261" customFormat="1" ht="78" hidden="1" customHeight="1" thickBot="1" x14ac:dyDescent="0.35">
      <c r="A125" s="1277">
        <v>33</v>
      </c>
      <c r="B125" s="1272" t="s">
        <v>652</v>
      </c>
      <c r="C125" s="1275" t="s">
        <v>1269</v>
      </c>
      <c r="D125" s="1275" t="s">
        <v>314</v>
      </c>
      <c r="E125" s="1249" t="e">
        <f>HLOOKUP($D$2,'2020 Data(H)'!$C$1:$CZ$426,21,FALSE)</f>
        <v>#N/A</v>
      </c>
      <c r="F125" s="1263">
        <v>0</v>
      </c>
      <c r="G125" s="727"/>
      <c r="H125" s="17"/>
      <c r="I125" s="760"/>
      <c r="J125" s="1252"/>
      <c r="K125" s="1251"/>
      <c r="L125" s="701"/>
      <c r="M125" s="1251"/>
      <c r="N125" s="1253"/>
      <c r="O125" s="1251"/>
      <c r="P125" s="1251"/>
      <c r="Q125" s="1251"/>
      <c r="R125" s="1251"/>
      <c r="S125" s="1251"/>
      <c r="T125" s="1251"/>
      <c r="U125" s="1251"/>
      <c r="V125" s="1251"/>
      <c r="W125" s="1251"/>
      <c r="X125" s="1251"/>
      <c r="Y125" s="1251"/>
      <c r="Z125" s="1274"/>
      <c r="AA125" s="1274"/>
      <c r="AB125" s="1274"/>
      <c r="AC125" s="1274"/>
      <c r="AD125" s="1274"/>
      <c r="AE125" s="1274"/>
      <c r="AF125" s="1274"/>
      <c r="AG125" s="1274"/>
      <c r="AH125" s="1274"/>
      <c r="AI125" s="1274"/>
      <c r="AJ125" s="1274"/>
      <c r="AK125" s="1274"/>
      <c r="AL125" s="1274"/>
      <c r="AM125" s="1274"/>
      <c r="AN125" s="1274"/>
      <c r="AO125" s="1274"/>
      <c r="AP125" s="1274"/>
      <c r="AQ125" s="1274"/>
      <c r="AR125" s="1274"/>
      <c r="AS125" s="1251"/>
      <c r="AT125" s="1251"/>
      <c r="AU125" s="1251"/>
      <c r="AV125" s="1251"/>
      <c r="AW125" s="1251"/>
      <c r="AX125" s="1251"/>
      <c r="AY125" s="1251"/>
      <c r="AZ125" s="1251"/>
      <c r="BA125" s="1251"/>
      <c r="BB125" s="1251"/>
      <c r="BC125" s="1251"/>
      <c r="BD125" s="1251"/>
      <c r="BE125" s="1251"/>
      <c r="BF125" s="1251"/>
      <c r="BG125" s="1251"/>
      <c r="BH125" s="1251"/>
      <c r="BI125" s="1251"/>
      <c r="BJ125" s="1251"/>
      <c r="BK125" s="1251"/>
      <c r="BL125" s="1251"/>
      <c r="BM125" s="1251"/>
      <c r="BN125" s="1251"/>
      <c r="BO125" s="1251"/>
      <c r="BP125" s="1251"/>
      <c r="BQ125" s="1251"/>
      <c r="BR125" s="1251"/>
      <c r="BS125" s="1251"/>
      <c r="BT125" s="1251"/>
      <c r="BU125" s="1251"/>
      <c r="BV125" s="1251"/>
      <c r="BW125" s="1251"/>
      <c r="BX125" s="1251"/>
      <c r="BY125" s="1251"/>
      <c r="BZ125" s="1251"/>
      <c r="CA125" s="1251"/>
      <c r="CB125" s="1251"/>
      <c r="CC125" s="1251"/>
      <c r="CD125" s="1251"/>
      <c r="CE125" s="1251"/>
      <c r="CF125" s="1251"/>
      <c r="CG125" s="1251"/>
      <c r="CH125" s="1251"/>
      <c r="CI125" s="1251"/>
      <c r="CJ125" s="1251"/>
      <c r="CK125" s="1251"/>
      <c r="CL125" s="1251"/>
      <c r="CM125" s="1251"/>
      <c r="CN125" s="1251"/>
      <c r="CO125" s="1251"/>
      <c r="CP125" s="1251"/>
      <c r="CQ125" s="1251"/>
      <c r="CR125" s="1251"/>
      <c r="CS125" s="1251"/>
      <c r="CT125" s="1251"/>
      <c r="CU125" s="1251"/>
      <c r="CV125" s="1251"/>
      <c r="CW125" s="1251"/>
      <c r="CX125" s="1251"/>
      <c r="CY125" s="1251"/>
      <c r="CZ125" s="1251"/>
      <c r="DA125" s="1251"/>
      <c r="DB125" s="1251"/>
      <c r="DC125" s="1251"/>
      <c r="DD125" s="1251"/>
      <c r="DE125" s="1251"/>
      <c r="DF125" s="1251"/>
      <c r="DG125" s="1251"/>
      <c r="DH125" s="1251"/>
      <c r="DI125" s="1251"/>
      <c r="DJ125" s="1251"/>
      <c r="DK125" s="1251"/>
      <c r="DL125" s="1251"/>
      <c r="DM125" s="1251"/>
      <c r="DN125" s="1251"/>
      <c r="DO125" s="1251"/>
      <c r="DP125" s="1251"/>
      <c r="DQ125" s="1251"/>
      <c r="DR125" s="1251"/>
      <c r="DS125" s="1251"/>
      <c r="DT125" s="1251"/>
      <c r="DU125" s="1251"/>
      <c r="DV125" s="1251"/>
      <c r="DW125" s="1251"/>
      <c r="DX125" s="1251"/>
      <c r="DY125" s="1251"/>
      <c r="DZ125" s="1251"/>
      <c r="EA125" s="1251"/>
      <c r="EB125" s="1251"/>
      <c r="EC125" s="1251"/>
      <c r="ED125" s="1251"/>
      <c r="EE125" s="1251"/>
      <c r="EF125" s="1251"/>
      <c r="EG125" s="1251"/>
      <c r="EH125" s="1251"/>
      <c r="EI125" s="1251"/>
      <c r="EJ125" s="1251"/>
      <c r="EK125" s="1251"/>
      <c r="EL125" s="1251"/>
      <c r="EM125" s="1251"/>
      <c r="EN125" s="1251"/>
      <c r="EO125" s="1251"/>
      <c r="EP125" s="1251"/>
      <c r="EQ125" s="1251"/>
      <c r="ER125" s="1251"/>
      <c r="ES125" s="1251"/>
      <c r="ET125" s="1251"/>
      <c r="EU125" s="1251"/>
      <c r="EV125" s="1251"/>
      <c r="EW125" s="1251"/>
      <c r="EX125" s="1251"/>
      <c r="EY125" s="1251"/>
      <c r="EZ125" s="1251"/>
      <c r="FA125" s="1251"/>
      <c r="FB125" s="1251"/>
      <c r="FC125" s="1251"/>
      <c r="FD125" s="1251"/>
      <c r="FE125" s="1251"/>
      <c r="FF125" s="1251"/>
      <c r="FG125" s="1251"/>
      <c r="FH125" s="1251"/>
      <c r="FI125" s="1251"/>
      <c r="FJ125" s="1251"/>
      <c r="FK125" s="1251"/>
      <c r="FL125" s="1251"/>
      <c r="FM125" s="1251"/>
      <c r="FN125" s="1251"/>
      <c r="FO125" s="1251"/>
      <c r="FP125" s="1251"/>
      <c r="FQ125" s="1251"/>
      <c r="FR125" s="1251"/>
      <c r="FS125" s="1251"/>
      <c r="FT125" s="1251"/>
      <c r="FU125" s="1251"/>
      <c r="FV125" s="1251"/>
      <c r="FW125" s="1251"/>
      <c r="FX125" s="1251"/>
      <c r="FY125" s="1251"/>
      <c r="FZ125" s="1251"/>
      <c r="GA125" s="1251"/>
      <c r="GB125" s="1251"/>
      <c r="GC125" s="1251"/>
      <c r="GD125" s="1251"/>
      <c r="GE125" s="1251"/>
      <c r="GF125" s="1251"/>
      <c r="GG125" s="1251"/>
      <c r="GH125" s="1251"/>
      <c r="GI125" s="1251"/>
      <c r="GJ125" s="1251"/>
      <c r="GK125" s="1251"/>
      <c r="GL125" s="1251"/>
      <c r="GM125" s="1251"/>
      <c r="GN125" s="1251"/>
      <c r="GO125" s="1251"/>
      <c r="GP125" s="1251"/>
      <c r="GQ125" s="1251"/>
      <c r="GR125" s="1251"/>
      <c r="GS125" s="1251"/>
      <c r="GT125" s="1251"/>
      <c r="GU125" s="1251"/>
      <c r="GV125" s="1251"/>
      <c r="GW125" s="1251"/>
      <c r="GX125" s="1251"/>
      <c r="GY125" s="1251"/>
      <c r="GZ125" s="1251"/>
      <c r="HA125" s="1251"/>
      <c r="HB125" s="1251"/>
      <c r="HC125" s="1251"/>
      <c r="HD125" s="1251"/>
      <c r="HE125" s="1251"/>
      <c r="HF125" s="1251"/>
      <c r="HG125" s="1251"/>
      <c r="HH125" s="1251"/>
      <c r="HI125" s="1251"/>
      <c r="HJ125" s="1251"/>
      <c r="HK125" s="1251"/>
      <c r="HL125" s="1251"/>
      <c r="HM125" s="1251"/>
      <c r="HN125" s="1251"/>
      <c r="HO125" s="1251"/>
      <c r="HP125" s="1251"/>
      <c r="HQ125" s="1251"/>
      <c r="HR125" s="1251"/>
      <c r="HS125" s="1251"/>
      <c r="HT125" s="1251"/>
      <c r="HU125" s="1251"/>
      <c r="HV125" s="1251"/>
      <c r="HW125" s="1251"/>
      <c r="HX125" s="1251"/>
      <c r="HY125" s="1251"/>
      <c r="HZ125" s="1251"/>
      <c r="IA125" s="1251"/>
      <c r="IB125" s="1251"/>
      <c r="IC125" s="1251"/>
      <c r="ID125" s="1251"/>
      <c r="IE125" s="1251"/>
      <c r="IF125" s="1251"/>
      <c r="IG125" s="1251"/>
      <c r="IH125" s="1251"/>
      <c r="II125" s="1251"/>
      <c r="IJ125" s="1251"/>
      <c r="IK125" s="1251"/>
      <c r="IL125" s="1251"/>
      <c r="IM125" s="1251"/>
      <c r="IN125" s="1251"/>
      <c r="IO125" s="1251"/>
      <c r="IP125" s="1251"/>
      <c r="IQ125" s="1251"/>
      <c r="IR125" s="1251"/>
      <c r="IS125" s="1251"/>
      <c r="IT125" s="1251"/>
      <c r="IU125" s="1251"/>
      <c r="IV125" s="1251"/>
      <c r="IW125" s="1251"/>
      <c r="IX125" s="1251"/>
      <c r="IY125" s="1251"/>
      <c r="IZ125" s="1251"/>
      <c r="JA125" s="1251"/>
      <c r="JB125" s="1251"/>
      <c r="JC125" s="1251"/>
      <c r="JD125" s="1251"/>
      <c r="JE125" s="1251"/>
      <c r="JF125" s="1251"/>
      <c r="JG125" s="1251"/>
      <c r="JH125" s="1251"/>
      <c r="JI125" s="1251"/>
      <c r="JJ125" s="1251"/>
      <c r="JK125" s="1251"/>
      <c r="JL125" s="1251"/>
      <c r="JM125" s="1251"/>
      <c r="JN125" s="1251"/>
      <c r="JO125" s="1251"/>
      <c r="JP125" s="1251"/>
      <c r="JQ125" s="1251"/>
      <c r="JR125" s="1251"/>
      <c r="JS125" s="1251"/>
      <c r="JT125" s="1251"/>
      <c r="JU125" s="1251"/>
      <c r="JV125" s="1251"/>
      <c r="JW125" s="1251"/>
      <c r="JX125" s="1251"/>
      <c r="JY125" s="1251"/>
      <c r="JZ125" s="1251"/>
      <c r="KA125" s="1251"/>
      <c r="KB125" s="1251"/>
      <c r="KC125" s="1251"/>
      <c r="KD125" s="1251"/>
      <c r="KE125" s="1251"/>
      <c r="KF125" s="1251"/>
      <c r="KG125" s="1251"/>
      <c r="KH125" s="1251"/>
      <c r="KI125" s="1251"/>
      <c r="KJ125" s="1251"/>
      <c r="KK125" s="1251"/>
      <c r="KL125" s="1251"/>
      <c r="KM125" s="1251"/>
      <c r="KN125" s="1251"/>
      <c r="KO125" s="1251"/>
      <c r="KP125" s="1251"/>
      <c r="KQ125" s="1251"/>
      <c r="KR125" s="1251"/>
      <c r="KS125" s="1251"/>
      <c r="KT125" s="1251"/>
      <c r="KU125" s="1251"/>
      <c r="KV125" s="1251"/>
      <c r="KW125" s="1251"/>
      <c r="KX125" s="1251"/>
      <c r="KY125" s="1251"/>
      <c r="KZ125" s="1251"/>
      <c r="LA125" s="1251"/>
      <c r="LB125" s="1251"/>
      <c r="LC125" s="1251"/>
      <c r="LD125" s="1251"/>
      <c r="LE125" s="1251"/>
      <c r="LF125" s="1251"/>
      <c r="LG125" s="1251"/>
      <c r="LH125" s="1251"/>
      <c r="LI125" s="1251"/>
      <c r="LJ125" s="1251"/>
      <c r="LK125" s="1251"/>
      <c r="LL125" s="1251"/>
      <c r="LM125" s="1251"/>
      <c r="LN125" s="1251"/>
      <c r="LO125" s="1251"/>
      <c r="LP125" s="1251"/>
      <c r="LQ125" s="1251"/>
      <c r="LR125" s="1251"/>
      <c r="LS125" s="1251"/>
      <c r="LT125" s="1251"/>
      <c r="LU125" s="1251"/>
      <c r="LV125" s="1251"/>
      <c r="LW125" s="1251"/>
      <c r="LX125" s="1251"/>
      <c r="LY125" s="1251"/>
      <c r="LZ125" s="1251"/>
      <c r="MA125" s="1251"/>
      <c r="MB125" s="1251"/>
      <c r="MC125" s="1251"/>
      <c r="MD125" s="1251"/>
      <c r="ME125" s="1251"/>
      <c r="MF125" s="1251"/>
      <c r="MG125" s="1251"/>
      <c r="MH125" s="1251"/>
      <c r="MI125" s="1251"/>
      <c r="MJ125" s="1251"/>
      <c r="MK125" s="1251"/>
      <c r="ML125" s="1251"/>
      <c r="MM125" s="1251"/>
      <c r="MN125" s="1251"/>
      <c r="MO125" s="1251"/>
      <c r="MP125" s="1251"/>
      <c r="MQ125" s="1251"/>
      <c r="MR125" s="1251"/>
      <c r="MS125" s="1251"/>
      <c r="MT125" s="1251"/>
      <c r="MU125" s="1251"/>
      <c r="MV125" s="1251"/>
      <c r="MW125" s="1251"/>
      <c r="MX125" s="1251"/>
      <c r="MY125" s="1251"/>
      <c r="MZ125" s="1251"/>
      <c r="NA125" s="1251"/>
      <c r="NB125" s="1251"/>
      <c r="NC125" s="1251"/>
      <c r="ND125" s="1251"/>
      <c r="NE125" s="1251"/>
      <c r="NF125" s="1251"/>
      <c r="NG125" s="1251"/>
      <c r="NH125" s="1251"/>
      <c r="NI125" s="1251"/>
      <c r="NJ125" s="1251"/>
      <c r="NK125" s="1251"/>
      <c r="NL125" s="1251"/>
      <c r="NM125" s="1251"/>
      <c r="NN125" s="1251"/>
      <c r="NO125" s="1251"/>
      <c r="NP125" s="1251"/>
      <c r="NQ125" s="1251"/>
      <c r="NR125" s="1251"/>
      <c r="NS125" s="1251"/>
      <c r="NT125" s="1251"/>
      <c r="NU125" s="1251"/>
      <c r="NV125" s="1251"/>
      <c r="NW125" s="1251"/>
      <c r="NX125" s="1251"/>
      <c r="NY125" s="1251"/>
      <c r="NZ125" s="1251"/>
      <c r="OA125" s="1251"/>
      <c r="OB125" s="1251"/>
      <c r="OC125" s="1251"/>
      <c r="OD125" s="1251"/>
      <c r="OE125" s="1251"/>
      <c r="OF125" s="1251"/>
      <c r="OG125" s="1251"/>
      <c r="OH125" s="1251"/>
      <c r="OI125" s="1251"/>
      <c r="OJ125" s="1251"/>
      <c r="OK125" s="1251"/>
      <c r="OL125" s="1251"/>
      <c r="OM125" s="1251"/>
      <c r="ON125" s="1251"/>
      <c r="OO125" s="1251"/>
      <c r="OP125" s="1251"/>
      <c r="OQ125" s="1251"/>
      <c r="OR125" s="1251"/>
      <c r="OS125" s="1251"/>
      <c r="OT125" s="1251"/>
      <c r="OU125" s="1251"/>
      <c r="OV125" s="1251"/>
      <c r="OW125" s="1251"/>
      <c r="OX125" s="1251"/>
      <c r="OY125" s="1251"/>
      <c r="OZ125" s="1251"/>
      <c r="PA125" s="1251"/>
      <c r="PB125" s="1251"/>
      <c r="PC125" s="1251"/>
      <c r="PD125" s="1251"/>
      <c r="PE125" s="1251"/>
      <c r="PF125" s="1251"/>
      <c r="PG125" s="1251"/>
      <c r="PH125" s="1251"/>
      <c r="PI125" s="1251"/>
      <c r="PJ125" s="1251"/>
      <c r="PK125" s="1251"/>
      <c r="PL125" s="1251"/>
      <c r="PM125" s="1251"/>
      <c r="PN125" s="1251"/>
      <c r="PO125" s="1251"/>
      <c r="PP125" s="1251"/>
      <c r="PQ125" s="1251"/>
      <c r="PR125" s="1251"/>
      <c r="PS125" s="1251"/>
      <c r="PT125" s="1251"/>
      <c r="PU125" s="1251"/>
      <c r="PV125" s="1251"/>
      <c r="PW125" s="1251"/>
      <c r="PX125" s="1251"/>
      <c r="PY125" s="1251"/>
      <c r="PZ125" s="1251"/>
      <c r="QA125" s="1251"/>
      <c r="QB125" s="1251"/>
      <c r="QC125" s="1251"/>
      <c r="QD125" s="1251"/>
      <c r="QE125" s="1251"/>
      <c r="QF125" s="1251"/>
      <c r="QG125" s="1251"/>
      <c r="QH125" s="1251"/>
      <c r="QI125" s="1251"/>
      <c r="QJ125" s="1251"/>
      <c r="QK125" s="1251"/>
      <c r="QL125" s="1251"/>
      <c r="QM125" s="1251"/>
      <c r="QN125" s="1251"/>
      <c r="QO125" s="1251"/>
      <c r="QP125" s="1251"/>
      <c r="QQ125" s="1251"/>
      <c r="QR125" s="1251"/>
      <c r="QS125" s="1251"/>
      <c r="QT125" s="1251"/>
      <c r="QU125" s="1251"/>
      <c r="QV125" s="1251"/>
      <c r="QW125" s="1251"/>
      <c r="QX125" s="1251"/>
      <c r="QY125" s="1251"/>
      <c r="QZ125" s="1251"/>
      <c r="RA125" s="1251"/>
      <c r="RB125" s="1251"/>
      <c r="RC125" s="1251"/>
      <c r="RD125" s="1251"/>
      <c r="RE125" s="1251"/>
      <c r="RF125" s="1251"/>
      <c r="RG125" s="1251"/>
      <c r="RH125" s="1251"/>
      <c r="RI125" s="1251"/>
      <c r="RJ125" s="1251"/>
      <c r="RK125" s="1251"/>
      <c r="RL125" s="1251"/>
      <c r="RM125" s="1251"/>
      <c r="RN125" s="1251"/>
      <c r="RO125" s="1251"/>
      <c r="RP125" s="1251"/>
      <c r="RQ125" s="1251"/>
      <c r="RR125" s="1251"/>
      <c r="RS125" s="1251"/>
      <c r="RT125" s="1251"/>
      <c r="RU125" s="1251"/>
      <c r="RV125" s="1251"/>
      <c r="RW125" s="1251"/>
      <c r="RX125" s="1251"/>
      <c r="RY125" s="1251"/>
      <c r="RZ125" s="1251"/>
      <c r="SA125" s="1251"/>
      <c r="SB125" s="1251"/>
      <c r="SC125" s="1251"/>
      <c r="SD125" s="1251"/>
      <c r="SE125" s="1251"/>
      <c r="SF125" s="1251"/>
      <c r="SG125" s="1251"/>
      <c r="SH125" s="1251"/>
      <c r="SI125" s="1251"/>
      <c r="SJ125" s="1251"/>
      <c r="SK125" s="1251"/>
      <c r="SL125" s="1251"/>
      <c r="SM125" s="1251"/>
      <c r="SN125" s="1251"/>
      <c r="SO125" s="1251"/>
      <c r="SP125" s="1251"/>
      <c r="SQ125" s="1251"/>
      <c r="SR125" s="1251"/>
      <c r="SS125" s="1251"/>
      <c r="ST125" s="1251"/>
      <c r="SU125" s="1251"/>
      <c r="SV125" s="1251"/>
      <c r="SW125" s="1251"/>
      <c r="SX125" s="1251"/>
      <c r="SY125" s="1251"/>
      <c r="SZ125" s="1251"/>
      <c r="TA125" s="1251"/>
      <c r="TB125" s="1251"/>
      <c r="TC125" s="1251"/>
      <c r="TD125" s="1251"/>
      <c r="TE125" s="1251"/>
      <c r="TF125" s="1251"/>
      <c r="TG125" s="1251"/>
      <c r="TH125" s="1251"/>
      <c r="TI125" s="1251"/>
      <c r="TJ125" s="1251"/>
      <c r="TK125" s="1251"/>
      <c r="TL125" s="1251"/>
      <c r="TM125" s="1251"/>
      <c r="TN125" s="1251"/>
      <c r="TO125" s="1251"/>
      <c r="TP125" s="1251"/>
      <c r="TQ125" s="1251"/>
      <c r="TR125" s="1251"/>
      <c r="TS125" s="1251"/>
      <c r="TT125" s="1251"/>
      <c r="TU125" s="1251"/>
      <c r="TV125" s="1251"/>
      <c r="TW125" s="1251"/>
      <c r="TX125" s="1251"/>
      <c r="TY125" s="1251"/>
      <c r="TZ125" s="1251"/>
      <c r="UA125" s="1251"/>
      <c r="UB125" s="1251"/>
      <c r="UC125" s="1251"/>
      <c r="UD125" s="1251"/>
      <c r="UE125" s="1251"/>
      <c r="UF125" s="1251"/>
      <c r="UG125" s="1251"/>
      <c r="UH125" s="1251"/>
      <c r="UI125" s="1251"/>
      <c r="UJ125" s="1251"/>
      <c r="UK125" s="1251"/>
      <c r="UL125" s="1251"/>
      <c r="UM125" s="1251"/>
      <c r="UN125" s="1251"/>
      <c r="UO125" s="1251"/>
      <c r="UP125" s="1251"/>
      <c r="UQ125" s="1251"/>
      <c r="UR125" s="1251"/>
      <c r="US125" s="1251"/>
      <c r="UT125" s="1251"/>
      <c r="UU125" s="1251"/>
      <c r="UV125" s="1251"/>
      <c r="UW125" s="1251"/>
      <c r="UX125" s="1251"/>
      <c r="UY125" s="1251"/>
      <c r="UZ125" s="1251"/>
      <c r="VA125" s="1251"/>
      <c r="VB125" s="1251"/>
      <c r="VC125" s="1251"/>
      <c r="VD125" s="1251"/>
      <c r="VE125" s="1251"/>
      <c r="VF125" s="1251"/>
      <c r="VG125" s="1251"/>
      <c r="VH125" s="1251"/>
      <c r="VI125" s="1251"/>
      <c r="VJ125" s="1251"/>
      <c r="VK125" s="1251"/>
      <c r="VL125" s="1251"/>
      <c r="VM125" s="1251"/>
      <c r="VN125" s="1251"/>
      <c r="VO125" s="1251"/>
      <c r="VP125" s="1251"/>
      <c r="VQ125" s="1251"/>
      <c r="VR125" s="1251"/>
      <c r="VS125" s="1251"/>
      <c r="VT125" s="1251"/>
      <c r="VU125" s="1251"/>
      <c r="VV125" s="1251"/>
      <c r="VW125" s="1251"/>
      <c r="VX125" s="1251"/>
      <c r="VY125" s="1251"/>
      <c r="VZ125" s="1251"/>
      <c r="WA125" s="1251"/>
      <c r="WB125" s="1251"/>
      <c r="WC125" s="1251"/>
      <c r="WD125" s="1251"/>
      <c r="WE125" s="1251"/>
      <c r="WF125" s="1251"/>
      <c r="WG125" s="1251"/>
      <c r="WH125" s="1251"/>
      <c r="WI125" s="1251"/>
      <c r="WJ125" s="1251"/>
      <c r="WK125" s="1251"/>
      <c r="WL125" s="1251"/>
      <c r="WM125" s="1251"/>
      <c r="WN125" s="1251"/>
      <c r="WO125" s="1251"/>
      <c r="WP125" s="1251"/>
      <c r="WQ125" s="1251"/>
      <c r="WR125" s="1251"/>
      <c r="WS125" s="1251"/>
      <c r="WT125" s="1251"/>
      <c r="WU125" s="1251"/>
      <c r="WV125" s="1251"/>
      <c r="WW125" s="1251"/>
      <c r="WX125" s="1251"/>
      <c r="WY125" s="1251"/>
      <c r="WZ125" s="1251"/>
      <c r="XA125" s="1251"/>
      <c r="XB125" s="1251"/>
      <c r="XC125" s="1251"/>
      <c r="XD125" s="1251"/>
      <c r="XE125" s="1251"/>
      <c r="XF125" s="1251"/>
      <c r="XG125" s="1251"/>
      <c r="XH125" s="1251"/>
      <c r="XI125" s="1251"/>
      <c r="XJ125" s="1251"/>
      <c r="XK125" s="1251"/>
      <c r="XL125" s="1251"/>
      <c r="XM125" s="1251"/>
      <c r="XN125" s="1251"/>
      <c r="XO125" s="1251"/>
      <c r="XP125" s="1251"/>
      <c r="XQ125" s="1251"/>
      <c r="XR125" s="1251"/>
      <c r="XS125" s="1251"/>
      <c r="XT125" s="1251"/>
      <c r="XU125" s="1251"/>
      <c r="XV125" s="1251"/>
      <c r="XW125" s="1251"/>
      <c r="XX125" s="1251"/>
      <c r="XY125" s="1251"/>
      <c r="XZ125" s="1251"/>
      <c r="YA125" s="1251"/>
      <c r="YB125" s="1251"/>
      <c r="YC125" s="1251"/>
      <c r="YD125" s="1251"/>
      <c r="YE125" s="1251"/>
      <c r="YF125" s="1251"/>
      <c r="YG125" s="1251"/>
      <c r="YH125" s="1251"/>
      <c r="YI125" s="1251"/>
      <c r="YJ125" s="1251"/>
      <c r="YK125" s="1251"/>
      <c r="YL125" s="1251"/>
      <c r="YM125" s="1251"/>
      <c r="YN125" s="1251"/>
      <c r="YO125" s="1251"/>
      <c r="YP125" s="1251"/>
      <c r="YQ125" s="1251"/>
      <c r="YR125" s="1251"/>
      <c r="YS125" s="1251"/>
      <c r="YT125" s="1251"/>
      <c r="YU125" s="1251"/>
      <c r="YV125" s="1251"/>
      <c r="YW125" s="1251"/>
      <c r="YX125" s="1251"/>
      <c r="YY125" s="1251"/>
      <c r="YZ125" s="1251"/>
      <c r="ZA125" s="1251"/>
      <c r="ZB125" s="1251"/>
      <c r="ZC125" s="1251"/>
      <c r="ZD125" s="1251"/>
      <c r="ZE125" s="1251"/>
      <c r="ZF125" s="1251"/>
      <c r="ZG125" s="1251"/>
      <c r="ZH125" s="1251"/>
      <c r="ZI125" s="1251"/>
      <c r="ZJ125" s="1251"/>
      <c r="ZK125" s="1251"/>
      <c r="ZL125" s="1251"/>
      <c r="ZM125" s="1251"/>
      <c r="ZN125" s="1251"/>
      <c r="ZO125" s="1251"/>
      <c r="ZP125" s="1251"/>
      <c r="ZQ125" s="1251"/>
      <c r="ZR125" s="1251"/>
      <c r="ZS125" s="1251"/>
      <c r="ZT125" s="1251"/>
      <c r="ZU125" s="1251"/>
      <c r="ZV125" s="1251"/>
      <c r="ZW125" s="1251"/>
      <c r="ZX125" s="1251"/>
      <c r="ZY125" s="1251"/>
      <c r="ZZ125" s="1251"/>
      <c r="AAA125" s="1251"/>
      <c r="AAB125" s="1251"/>
      <c r="AAC125" s="1251"/>
      <c r="AAD125" s="1251"/>
      <c r="AAE125" s="1251"/>
      <c r="AAF125" s="1251"/>
      <c r="AAG125" s="1251"/>
      <c r="AAH125" s="1251"/>
      <c r="AAI125" s="1251"/>
      <c r="AAJ125" s="1251"/>
      <c r="AAK125" s="1251"/>
      <c r="AAL125" s="1251"/>
      <c r="AAM125" s="1251"/>
      <c r="AAN125" s="1251"/>
      <c r="AAO125" s="1251"/>
      <c r="AAP125" s="1251"/>
      <c r="AAQ125" s="1251"/>
      <c r="AAR125" s="1251"/>
      <c r="AAS125" s="1251"/>
      <c r="AAT125" s="1251"/>
      <c r="AAU125" s="1251"/>
      <c r="AAV125" s="1251"/>
      <c r="AAW125" s="1251"/>
      <c r="AAX125" s="1251"/>
      <c r="AAY125" s="1251"/>
      <c r="AAZ125" s="1251"/>
      <c r="ABA125" s="1251"/>
      <c r="ABB125" s="1251"/>
      <c r="ABC125" s="1251"/>
      <c r="ABD125" s="1251"/>
      <c r="ABE125" s="1251"/>
      <c r="ABF125" s="1251"/>
      <c r="ABG125" s="1251"/>
      <c r="ABH125" s="1251"/>
      <c r="ABI125" s="1251"/>
      <c r="ABJ125" s="1251"/>
      <c r="ABK125" s="1251"/>
      <c r="ABL125" s="1251"/>
      <c r="ABM125" s="1251"/>
      <c r="ABN125" s="1251"/>
      <c r="ABO125" s="1251"/>
      <c r="ABP125" s="1251"/>
      <c r="ABQ125" s="1251"/>
      <c r="ABR125" s="1251"/>
      <c r="ABS125" s="1251"/>
      <c r="ABT125" s="1251"/>
      <c r="ABU125" s="1251"/>
      <c r="ABV125" s="1251"/>
      <c r="ABW125" s="1251"/>
      <c r="ABX125" s="1251"/>
      <c r="ABY125" s="1251"/>
      <c r="ABZ125" s="1251"/>
      <c r="ACA125" s="1251"/>
      <c r="ACB125" s="1251"/>
      <c r="ACC125" s="1251"/>
      <c r="ACD125" s="1251"/>
      <c r="ACE125" s="1251"/>
      <c r="ACF125" s="1251"/>
      <c r="ACG125" s="1251"/>
      <c r="ACH125" s="1251"/>
      <c r="ACI125" s="1251"/>
      <c r="ACJ125" s="1251"/>
      <c r="ACK125" s="1251"/>
      <c r="ACL125" s="1251"/>
      <c r="ACM125" s="1251"/>
      <c r="ACN125" s="1251"/>
      <c r="ACO125" s="1251"/>
      <c r="ACP125" s="1251"/>
      <c r="ACQ125" s="1251"/>
      <c r="ACR125" s="1251"/>
      <c r="ACS125" s="1251"/>
      <c r="ACT125" s="1251"/>
      <c r="ACU125" s="1251"/>
      <c r="ACV125" s="1251"/>
      <c r="ACW125" s="1251"/>
      <c r="ACX125" s="1251"/>
      <c r="ACY125" s="1251"/>
      <c r="ACZ125" s="1251"/>
      <c r="ADA125" s="1251"/>
      <c r="ADB125" s="1251"/>
      <c r="ADC125" s="1251"/>
      <c r="ADD125" s="1251"/>
      <c r="ADE125" s="1251"/>
      <c r="ADF125" s="1251"/>
      <c r="ADG125" s="1251"/>
      <c r="ADH125" s="1251"/>
      <c r="ADI125" s="1251"/>
      <c r="ADJ125" s="1251"/>
      <c r="ADK125" s="1251"/>
      <c r="ADL125" s="1251"/>
      <c r="ADM125" s="1251"/>
      <c r="ADN125" s="1251"/>
      <c r="ADO125" s="1251"/>
      <c r="ADP125" s="1251"/>
      <c r="ADQ125" s="1251"/>
      <c r="ADR125" s="1251"/>
      <c r="ADS125" s="1251"/>
      <c r="ADT125" s="1251"/>
      <c r="ADU125" s="1251"/>
      <c r="ADV125" s="1251"/>
      <c r="ADW125" s="1251"/>
      <c r="ADX125" s="1251"/>
      <c r="ADY125" s="1251"/>
      <c r="ADZ125" s="1251"/>
      <c r="AEA125" s="1251"/>
      <c r="AEB125" s="1251"/>
      <c r="AEC125" s="1251"/>
      <c r="AED125" s="1251"/>
      <c r="AEE125" s="1251"/>
      <c r="AEF125" s="1251"/>
      <c r="AEG125" s="1251"/>
      <c r="AEH125" s="1251"/>
      <c r="AEI125" s="1251"/>
      <c r="AEJ125" s="1251"/>
      <c r="AEK125" s="1251"/>
      <c r="AEL125" s="1251"/>
      <c r="AEM125" s="1251"/>
      <c r="AEN125" s="1251"/>
      <c r="AEO125" s="1251"/>
      <c r="AEP125" s="1251"/>
      <c r="AEQ125" s="1251"/>
      <c r="AER125" s="1251"/>
      <c r="AES125" s="1251"/>
      <c r="AET125" s="1251"/>
      <c r="AEU125" s="1251"/>
      <c r="AEV125" s="1251"/>
      <c r="AEW125" s="1251"/>
      <c r="AEX125" s="1251"/>
      <c r="AEY125" s="1251"/>
      <c r="AEZ125" s="1251"/>
      <c r="AFA125" s="1251"/>
      <c r="AFB125" s="1251"/>
      <c r="AFC125" s="1251"/>
      <c r="AFD125" s="1251"/>
      <c r="AFE125" s="1251"/>
      <c r="AFF125" s="1251"/>
      <c r="AFG125" s="1251"/>
      <c r="AFH125" s="1251"/>
      <c r="AFI125" s="1251"/>
      <c r="AFJ125" s="1251"/>
      <c r="AFK125" s="1251"/>
      <c r="AFL125" s="1251"/>
      <c r="AFM125" s="1251"/>
      <c r="AFN125" s="1251"/>
      <c r="AFO125" s="1251"/>
      <c r="AFP125" s="1251"/>
      <c r="AFQ125" s="1251"/>
      <c r="AFR125" s="1251"/>
      <c r="AFS125" s="1251"/>
      <c r="AFT125" s="1251"/>
      <c r="AFU125" s="1251"/>
      <c r="AFV125" s="1251"/>
      <c r="AFW125" s="1251"/>
      <c r="AFX125" s="1251"/>
      <c r="AFY125" s="1251"/>
      <c r="AFZ125" s="1251"/>
      <c r="AGA125" s="1251"/>
      <c r="AGB125" s="1251"/>
      <c r="AGC125" s="1251"/>
      <c r="AGD125" s="1251"/>
      <c r="AGE125" s="1251"/>
      <c r="AGF125" s="1251"/>
      <c r="AGG125" s="1251"/>
      <c r="AGH125" s="1251"/>
      <c r="AGI125" s="1251"/>
      <c r="AGJ125" s="1251"/>
      <c r="AGK125" s="1251"/>
      <c r="AGL125" s="1251"/>
      <c r="AGM125" s="1251"/>
      <c r="AGN125" s="1251"/>
      <c r="AGO125" s="1251"/>
      <c r="AGP125" s="1251"/>
      <c r="AGQ125" s="1251"/>
      <c r="AGR125" s="1251"/>
      <c r="AGS125" s="1251"/>
      <c r="AGT125" s="1251"/>
      <c r="AGU125" s="1251"/>
      <c r="AGV125" s="1251"/>
      <c r="AGW125" s="1251"/>
      <c r="AGX125" s="1251"/>
      <c r="AGY125" s="1251"/>
      <c r="AGZ125" s="1251"/>
      <c r="AHA125" s="1251"/>
      <c r="AHB125" s="1251"/>
      <c r="AHC125" s="1251"/>
      <c r="AHD125" s="1251"/>
      <c r="AHE125" s="1251"/>
      <c r="AHF125" s="1251"/>
      <c r="AHG125" s="1251"/>
      <c r="AHH125" s="1251"/>
      <c r="AHI125" s="1251"/>
      <c r="AHJ125" s="1251"/>
      <c r="AHK125" s="1251"/>
      <c r="AHL125" s="1251"/>
      <c r="AHM125" s="1251"/>
      <c r="AHN125" s="1251"/>
      <c r="AHO125" s="1251"/>
      <c r="AHP125" s="1251"/>
      <c r="AHQ125" s="1251"/>
      <c r="AHR125" s="1251"/>
      <c r="AHS125" s="1251"/>
      <c r="AHT125" s="1251"/>
      <c r="AHU125" s="1251"/>
      <c r="AHV125" s="1251"/>
      <c r="AHW125" s="1251"/>
      <c r="AHX125" s="1251"/>
      <c r="AHY125" s="1251"/>
      <c r="AHZ125" s="1251"/>
      <c r="AIA125" s="1251"/>
      <c r="AIB125" s="1251"/>
      <c r="AIC125" s="1251"/>
      <c r="AID125" s="1251"/>
      <c r="AIE125" s="1251"/>
      <c r="AIF125" s="1251"/>
      <c r="AIG125" s="1251"/>
      <c r="AIH125" s="1251"/>
      <c r="AII125" s="1251"/>
      <c r="AIJ125" s="1251"/>
      <c r="AIK125" s="1251"/>
      <c r="AIL125" s="1251"/>
      <c r="AIM125" s="1251"/>
      <c r="AIN125" s="1251"/>
      <c r="AIO125" s="1251"/>
      <c r="AIP125" s="1251"/>
      <c r="AIQ125" s="1251"/>
      <c r="AIR125" s="1251"/>
      <c r="AIS125" s="1251"/>
      <c r="AIT125" s="1251"/>
      <c r="AIU125" s="1251"/>
      <c r="AIV125" s="1251"/>
      <c r="AIW125" s="1251"/>
      <c r="AIX125" s="1251"/>
      <c r="AIY125" s="1251"/>
      <c r="AIZ125" s="1251"/>
      <c r="AJA125" s="1251"/>
      <c r="AJB125" s="1251"/>
      <c r="AJC125" s="1251"/>
      <c r="AJD125" s="1251"/>
      <c r="AJE125" s="1251"/>
      <c r="AJF125" s="1251"/>
      <c r="AJG125" s="1251"/>
      <c r="AJH125" s="1251"/>
      <c r="AJI125" s="1251"/>
      <c r="AJJ125" s="1251"/>
      <c r="AJK125" s="1251"/>
      <c r="AJL125" s="1251"/>
      <c r="AJM125" s="1251"/>
      <c r="AJN125" s="1251"/>
      <c r="AJO125" s="1251"/>
      <c r="AJP125" s="1251"/>
      <c r="AJQ125" s="1251"/>
      <c r="AJR125" s="1251"/>
      <c r="AJS125" s="1251"/>
      <c r="AJT125" s="1251"/>
      <c r="AJU125" s="1251"/>
      <c r="AJV125" s="1251"/>
      <c r="AJW125" s="1251"/>
      <c r="AJX125" s="1251"/>
      <c r="AJY125" s="1251"/>
      <c r="AJZ125" s="1251"/>
      <c r="AKA125" s="1251"/>
      <c r="AKB125" s="1251"/>
      <c r="AKC125" s="1251"/>
      <c r="AKD125" s="1251"/>
      <c r="AKE125" s="1251"/>
      <c r="AKF125" s="1251"/>
      <c r="AKG125" s="1251"/>
      <c r="AKH125" s="1251"/>
      <c r="AKI125" s="1251"/>
      <c r="AKJ125" s="1251"/>
      <c r="AKK125" s="1251"/>
      <c r="AKL125" s="1251"/>
      <c r="AKM125" s="1251"/>
      <c r="AKN125" s="1251"/>
      <c r="AKO125" s="1251"/>
      <c r="AKP125" s="1251"/>
      <c r="AKQ125" s="1251"/>
      <c r="AKR125" s="1251"/>
      <c r="AKS125" s="1251"/>
      <c r="AKT125" s="1251"/>
      <c r="AKU125" s="1251"/>
      <c r="AKV125" s="1251"/>
      <c r="AKW125" s="1251"/>
      <c r="AKX125" s="1251"/>
      <c r="AKY125" s="1251"/>
      <c r="AKZ125" s="1251"/>
      <c r="ALA125" s="1251"/>
      <c r="ALB125" s="1251"/>
      <c r="ALC125" s="1251"/>
      <c r="ALD125" s="1251"/>
      <c r="ALE125" s="1251"/>
      <c r="ALF125" s="1251"/>
      <c r="ALG125" s="1251"/>
      <c r="ALH125" s="1251"/>
      <c r="ALI125" s="1251"/>
      <c r="ALJ125" s="1251"/>
      <c r="ALK125" s="1251"/>
      <c r="ALL125" s="1251"/>
      <c r="ALM125" s="1251"/>
      <c r="ALN125" s="1251"/>
      <c r="ALO125" s="1251"/>
      <c r="ALP125" s="1251"/>
      <c r="ALQ125" s="1251"/>
      <c r="ALR125" s="1251"/>
      <c r="ALS125" s="1251"/>
      <c r="ALT125" s="1251"/>
      <c r="ALU125" s="1251"/>
      <c r="ALV125" s="1251"/>
      <c r="ALW125" s="1251"/>
      <c r="ALX125" s="1251"/>
      <c r="ALY125" s="1251"/>
      <c r="ALZ125" s="1251"/>
      <c r="AMA125" s="1251"/>
      <c r="AMB125" s="1251"/>
      <c r="AMC125" s="1251"/>
      <c r="AMD125" s="1251"/>
      <c r="AME125" s="1251"/>
      <c r="AMF125" s="1251"/>
      <c r="AMG125" s="1251"/>
      <c r="AMH125" s="1251"/>
      <c r="AMI125" s="1251"/>
      <c r="AMJ125" s="1251"/>
      <c r="AMK125" s="1251"/>
      <c r="AML125" s="1251"/>
      <c r="AMM125" s="1251"/>
      <c r="AMN125" s="1251"/>
      <c r="AMO125" s="1251"/>
      <c r="AMP125" s="1251"/>
      <c r="AMQ125" s="1251"/>
      <c r="AMR125" s="1251"/>
      <c r="AMS125" s="1251"/>
      <c r="AMT125" s="1251"/>
      <c r="AMU125" s="1251"/>
      <c r="AMV125" s="1251"/>
      <c r="AMW125" s="1251"/>
      <c r="AMX125" s="1251"/>
      <c r="AMY125" s="1251"/>
      <c r="AMZ125" s="1251"/>
      <c r="ANA125" s="1251"/>
      <c r="ANB125" s="1251"/>
      <c r="ANC125" s="1251"/>
      <c r="AND125" s="1251"/>
      <c r="ANE125" s="1251"/>
      <c r="ANF125" s="1251"/>
      <c r="ANG125" s="1251"/>
      <c r="ANH125" s="1251"/>
      <c r="ANI125" s="1251"/>
      <c r="ANJ125" s="1251"/>
      <c r="ANK125" s="1251"/>
      <c r="ANL125" s="1251"/>
      <c r="ANM125" s="1251"/>
      <c r="ANN125" s="1251"/>
      <c r="ANO125" s="1251"/>
      <c r="ANP125" s="1251"/>
      <c r="ANQ125" s="1251"/>
      <c r="ANR125" s="1251"/>
      <c r="ANS125" s="1251"/>
      <c r="ANT125" s="1251"/>
      <c r="ANU125" s="1251"/>
      <c r="ANV125" s="1251"/>
      <c r="ANW125" s="1251"/>
      <c r="ANX125" s="1251"/>
      <c r="ANY125" s="1251"/>
      <c r="ANZ125" s="1251"/>
      <c r="AOA125" s="1251"/>
      <c r="AOB125" s="1251"/>
      <c r="AOC125" s="1251"/>
      <c r="AOD125" s="1251"/>
      <c r="AOE125" s="1251"/>
      <c r="AOF125" s="1251"/>
      <c r="AOG125" s="1251"/>
      <c r="AOH125" s="1251"/>
      <c r="AOI125" s="1251"/>
      <c r="AOJ125" s="1251"/>
      <c r="AOK125" s="1251"/>
      <c r="AOL125" s="1251"/>
      <c r="AOM125" s="1251"/>
      <c r="AON125" s="1251"/>
      <c r="AOO125" s="1251"/>
      <c r="AOP125" s="1251"/>
      <c r="AOQ125" s="1251"/>
      <c r="AOR125" s="1251"/>
      <c r="AOS125" s="1251"/>
      <c r="AOT125" s="1251"/>
      <c r="AOU125" s="1251"/>
      <c r="AOV125" s="1251"/>
      <c r="AOW125" s="1251"/>
      <c r="AOX125" s="1251"/>
      <c r="AOY125" s="1251"/>
      <c r="AOZ125" s="1251"/>
      <c r="APA125" s="1251"/>
      <c r="APB125" s="1251"/>
      <c r="APC125" s="1251"/>
      <c r="APD125" s="1251"/>
      <c r="APE125" s="1251"/>
      <c r="APF125" s="1251"/>
      <c r="APG125" s="1251"/>
      <c r="APH125" s="1251"/>
      <c r="API125" s="1251"/>
      <c r="APJ125" s="1251"/>
      <c r="APK125" s="1251"/>
      <c r="APL125" s="1251"/>
      <c r="APM125" s="1251"/>
      <c r="APN125" s="1251"/>
      <c r="APO125" s="1251"/>
      <c r="APP125" s="1251"/>
      <c r="APQ125" s="1251"/>
      <c r="APR125" s="1251"/>
      <c r="APS125" s="1251"/>
      <c r="APT125" s="1251"/>
      <c r="APU125" s="1251"/>
      <c r="APV125" s="1251"/>
      <c r="APW125" s="1251"/>
      <c r="APX125" s="1251"/>
      <c r="APY125" s="1251"/>
      <c r="APZ125" s="1251"/>
      <c r="AQA125" s="1251"/>
      <c r="AQB125" s="1251"/>
      <c r="AQC125" s="1251"/>
      <c r="AQD125" s="1251"/>
      <c r="AQE125" s="1251"/>
      <c r="AQF125" s="1251"/>
      <c r="AQG125" s="1251"/>
      <c r="AQH125" s="1251"/>
      <c r="AQI125" s="1251"/>
      <c r="AQJ125" s="1251"/>
      <c r="AQK125" s="1251"/>
      <c r="AQL125" s="1251"/>
      <c r="AQM125" s="1251"/>
      <c r="AQN125" s="1251"/>
      <c r="AQO125" s="1251"/>
      <c r="AQP125" s="1251"/>
      <c r="AQQ125" s="1251"/>
      <c r="AQR125" s="1251"/>
      <c r="AQS125" s="1251"/>
      <c r="AQT125" s="1251"/>
      <c r="AQU125" s="1251"/>
      <c r="AQV125" s="1251"/>
      <c r="AQW125" s="1251"/>
      <c r="AQX125" s="1251"/>
      <c r="AQY125" s="1251"/>
      <c r="AQZ125" s="1251"/>
      <c r="ARA125" s="1251"/>
      <c r="ARB125" s="1251"/>
      <c r="ARC125" s="1251"/>
      <c r="ARD125" s="1251"/>
      <c r="ARE125" s="1251"/>
      <c r="ARF125" s="1251"/>
      <c r="ARG125" s="1251"/>
      <c r="ARH125" s="1251"/>
      <c r="ARI125" s="1251"/>
      <c r="ARJ125" s="1251"/>
      <c r="ARK125" s="1251"/>
      <c r="ARL125" s="1251"/>
      <c r="ARM125" s="1251"/>
      <c r="ARN125" s="1251"/>
      <c r="ARO125" s="1251"/>
      <c r="ARP125" s="1251"/>
      <c r="ARQ125" s="1251"/>
      <c r="ARR125" s="1251"/>
      <c r="ARS125" s="1251"/>
      <c r="ART125" s="1251"/>
      <c r="ARU125" s="1251"/>
      <c r="ARV125" s="1251"/>
      <c r="ARW125" s="1251"/>
      <c r="ARX125" s="1251"/>
      <c r="ARY125" s="1251"/>
      <c r="ARZ125" s="1251"/>
      <c r="ASA125" s="1251"/>
      <c r="ASB125" s="1251"/>
      <c r="ASC125" s="1251"/>
      <c r="ASD125" s="1251"/>
      <c r="ASE125" s="1251"/>
      <c r="ASF125" s="1251"/>
      <c r="ASG125" s="1251"/>
      <c r="ASH125" s="1251"/>
      <c r="ASI125" s="1251"/>
      <c r="ASJ125" s="1251"/>
      <c r="ASK125" s="1251"/>
      <c r="ASL125" s="1251"/>
      <c r="ASM125" s="1251"/>
      <c r="ASN125" s="1251"/>
      <c r="ASO125" s="1251"/>
      <c r="ASP125" s="1251"/>
      <c r="ASQ125" s="1251"/>
      <c r="ASR125" s="1251"/>
      <c r="ASS125" s="1251"/>
      <c r="AST125" s="1251"/>
      <c r="ASU125" s="1251"/>
      <c r="ASV125" s="1251"/>
      <c r="ASW125" s="1251"/>
      <c r="ASX125" s="1251"/>
      <c r="ASY125" s="1251"/>
      <c r="ASZ125" s="1251"/>
      <c r="ATA125" s="1251"/>
      <c r="ATB125" s="1251"/>
      <c r="ATC125" s="1251"/>
      <c r="ATD125" s="1251"/>
      <c r="ATE125" s="1251"/>
      <c r="ATF125" s="1251"/>
      <c r="ATG125" s="1251"/>
      <c r="ATH125" s="1251"/>
      <c r="ATI125" s="1251"/>
      <c r="ATJ125" s="1251"/>
      <c r="ATK125" s="1251"/>
      <c r="ATL125" s="1251"/>
      <c r="ATM125" s="1251"/>
      <c r="ATN125" s="1251"/>
      <c r="ATO125" s="1251"/>
      <c r="ATP125" s="1251"/>
      <c r="ATQ125" s="1251"/>
      <c r="ATR125" s="1251"/>
      <c r="ATS125" s="1251"/>
      <c r="ATT125" s="1251"/>
      <c r="ATU125" s="1251"/>
      <c r="ATV125" s="1251"/>
      <c r="ATW125" s="1251"/>
      <c r="ATX125" s="1251"/>
      <c r="ATY125" s="1251"/>
      <c r="ATZ125" s="1251"/>
      <c r="AUA125" s="1251"/>
      <c r="AUB125" s="1251"/>
      <c r="AUC125" s="1251"/>
      <c r="AUD125" s="1251"/>
      <c r="AUE125" s="1251"/>
      <c r="AUF125" s="1251"/>
      <c r="AUG125" s="1251"/>
      <c r="AUH125" s="1251"/>
      <c r="AUI125" s="1251"/>
      <c r="AUJ125" s="1251"/>
      <c r="AUK125" s="1251"/>
      <c r="AUL125" s="1251"/>
      <c r="AUM125" s="1251"/>
      <c r="AUN125" s="1251"/>
      <c r="AUO125" s="1251"/>
      <c r="AUP125" s="1251"/>
      <c r="AUQ125" s="1251"/>
      <c r="AUR125" s="1251"/>
      <c r="AUS125" s="1251"/>
      <c r="AUT125" s="1251"/>
      <c r="AUU125" s="1251"/>
      <c r="AUV125" s="1251"/>
      <c r="AUW125" s="1251"/>
      <c r="AUX125" s="1251"/>
      <c r="AUY125" s="1251"/>
      <c r="AUZ125" s="1251"/>
      <c r="AVA125" s="1251"/>
      <c r="AVB125" s="1251"/>
      <c r="AVC125" s="1251"/>
      <c r="AVD125" s="1251"/>
      <c r="AVE125" s="1251"/>
      <c r="AVF125" s="1251"/>
      <c r="AVG125" s="1251"/>
      <c r="AVH125" s="1251"/>
      <c r="AVI125" s="1251"/>
      <c r="AVJ125" s="1251"/>
      <c r="AVK125" s="1251"/>
      <c r="AVL125" s="1251"/>
      <c r="AVM125" s="1251"/>
      <c r="AVN125" s="1251"/>
      <c r="AVO125" s="1251"/>
      <c r="AVP125" s="1251"/>
      <c r="AVQ125" s="1251"/>
      <c r="AVR125" s="1251"/>
      <c r="AVS125" s="1251"/>
      <c r="AVT125" s="1251"/>
      <c r="AVU125" s="1251"/>
      <c r="AVV125" s="1251"/>
      <c r="AVW125" s="1251"/>
      <c r="AVX125" s="1251"/>
      <c r="AVY125" s="1251"/>
      <c r="AVZ125" s="1251"/>
      <c r="AWA125" s="1251"/>
      <c r="AWB125" s="1251"/>
      <c r="AWC125" s="1251"/>
      <c r="AWD125" s="1251"/>
      <c r="AWE125" s="1251"/>
      <c r="AWF125" s="1251"/>
      <c r="AWG125" s="1251"/>
      <c r="AWH125" s="1251"/>
      <c r="AWI125" s="1251"/>
      <c r="AWJ125" s="1251"/>
      <c r="AWK125" s="1251"/>
      <c r="AWL125" s="1251"/>
      <c r="AWM125" s="1251"/>
      <c r="AWN125" s="1251"/>
      <c r="AWO125" s="1251"/>
      <c r="AWP125" s="1251"/>
      <c r="AWQ125" s="1251"/>
      <c r="AWR125" s="1251"/>
      <c r="AWS125" s="1251"/>
      <c r="AWT125" s="1251"/>
      <c r="AWU125" s="1251"/>
      <c r="AWV125" s="1251"/>
      <c r="AWW125" s="1251"/>
      <c r="AWX125" s="1251"/>
      <c r="AWY125" s="1251"/>
      <c r="AWZ125" s="1251"/>
      <c r="AXA125" s="1251"/>
      <c r="AXB125" s="1251"/>
      <c r="AXC125" s="1251"/>
      <c r="AXD125" s="1251"/>
      <c r="AXE125" s="1251"/>
      <c r="AXF125" s="1251"/>
      <c r="AXG125" s="1251"/>
      <c r="AXH125" s="1251"/>
      <c r="AXI125" s="1251"/>
      <c r="AXJ125" s="1251"/>
      <c r="AXK125" s="1251"/>
      <c r="AXL125" s="1251"/>
      <c r="AXM125" s="1251"/>
      <c r="AXN125" s="1251"/>
      <c r="AXO125" s="1251"/>
      <c r="AXP125" s="1251"/>
      <c r="AXQ125" s="1251"/>
      <c r="AXR125" s="1251"/>
      <c r="AXS125" s="1251"/>
      <c r="AXT125" s="1251"/>
      <c r="AXU125" s="1251"/>
      <c r="AXV125" s="1251"/>
      <c r="AXW125" s="1251"/>
      <c r="AXX125" s="1251"/>
      <c r="AXY125" s="1251"/>
      <c r="AXZ125" s="1251"/>
      <c r="AYA125" s="1251"/>
      <c r="AYB125" s="1251"/>
      <c r="AYC125" s="1251"/>
      <c r="AYD125" s="1251"/>
      <c r="AYE125" s="1251"/>
      <c r="AYF125" s="1251"/>
      <c r="AYG125" s="1251"/>
      <c r="AYH125" s="1251"/>
      <c r="AYI125" s="1251"/>
      <c r="AYJ125" s="1251"/>
      <c r="AYK125" s="1251"/>
      <c r="AYL125" s="1251"/>
      <c r="AYM125" s="1251"/>
      <c r="AYN125" s="1251"/>
      <c r="AYO125" s="1251"/>
      <c r="AYP125" s="1251"/>
      <c r="AYQ125" s="1251"/>
      <c r="AYR125" s="1251"/>
      <c r="AYS125" s="1251"/>
      <c r="AYT125" s="1251"/>
      <c r="AYU125" s="1251"/>
      <c r="AYV125" s="1251"/>
      <c r="AYW125" s="1251"/>
      <c r="AYX125" s="1251"/>
      <c r="AYY125" s="1251"/>
      <c r="AYZ125" s="1251"/>
      <c r="AZA125" s="1251"/>
      <c r="AZB125" s="1251"/>
      <c r="AZC125" s="1251"/>
      <c r="AZD125" s="1251"/>
      <c r="AZE125" s="1251"/>
      <c r="AZF125" s="1251"/>
      <c r="AZG125" s="1251"/>
      <c r="AZH125" s="1251"/>
      <c r="AZI125" s="1251"/>
      <c r="AZJ125" s="1251"/>
      <c r="AZK125" s="1251"/>
      <c r="AZL125" s="1251"/>
      <c r="AZM125" s="1251"/>
      <c r="AZN125" s="1251"/>
      <c r="AZO125" s="1251"/>
      <c r="AZP125" s="1251"/>
      <c r="AZQ125" s="1251"/>
      <c r="AZR125" s="1251"/>
      <c r="AZS125" s="1251"/>
      <c r="AZT125" s="1251"/>
      <c r="AZU125" s="1251"/>
      <c r="AZV125" s="1251"/>
      <c r="AZW125" s="1251"/>
      <c r="AZX125" s="1251"/>
      <c r="AZY125" s="1251"/>
      <c r="AZZ125" s="1251"/>
      <c r="BAA125" s="1251"/>
      <c r="BAB125" s="1251"/>
      <c r="BAC125" s="1251"/>
      <c r="BAD125" s="1251"/>
      <c r="BAE125" s="1251"/>
      <c r="BAF125" s="1251"/>
      <c r="BAG125" s="1251"/>
      <c r="BAH125" s="1251"/>
      <c r="BAI125" s="1251"/>
      <c r="BAJ125" s="1251"/>
      <c r="BAK125" s="1251"/>
      <c r="BAL125" s="1251"/>
      <c r="BAM125" s="1251"/>
      <c r="BAN125" s="1251"/>
      <c r="BAO125" s="1251"/>
      <c r="BAP125" s="1251"/>
      <c r="BAQ125" s="1251"/>
      <c r="BAR125" s="1251"/>
      <c r="BAS125" s="1251"/>
      <c r="BAT125" s="1251"/>
      <c r="BAU125" s="1251"/>
      <c r="BAV125" s="1251"/>
      <c r="BAW125" s="1251"/>
      <c r="BAX125" s="1251"/>
      <c r="BAY125" s="1251"/>
      <c r="BAZ125" s="1251"/>
      <c r="BBA125" s="1251"/>
      <c r="BBB125" s="1251"/>
      <c r="BBC125" s="1251"/>
      <c r="BBD125" s="1251"/>
      <c r="BBE125" s="1251"/>
      <c r="BBF125" s="1251"/>
      <c r="BBG125" s="1251"/>
      <c r="BBH125" s="1251"/>
      <c r="BBI125" s="1251"/>
      <c r="BBJ125" s="1251"/>
      <c r="BBK125" s="1251"/>
      <c r="BBL125" s="1251"/>
      <c r="BBM125" s="1251"/>
      <c r="BBN125" s="1251"/>
      <c r="BBO125" s="1251"/>
      <c r="BBP125" s="1251"/>
      <c r="BBQ125" s="1251"/>
      <c r="BBR125" s="1251"/>
      <c r="BBS125" s="1251"/>
      <c r="BBT125" s="1251"/>
      <c r="BBU125" s="1251"/>
      <c r="BBV125" s="1251"/>
      <c r="BBW125" s="1251"/>
      <c r="BBX125" s="1251"/>
      <c r="BBY125" s="1251"/>
      <c r="BBZ125" s="1251"/>
      <c r="BCA125" s="1251"/>
      <c r="BCB125" s="1251"/>
      <c r="BCC125" s="1251"/>
      <c r="BCD125" s="1251"/>
      <c r="BCE125" s="1251"/>
      <c r="BCF125" s="1251"/>
      <c r="BCG125" s="1251"/>
      <c r="BCH125" s="1251"/>
      <c r="BCI125" s="1251"/>
      <c r="BCJ125" s="1251"/>
      <c r="BCK125" s="1251"/>
      <c r="BCL125" s="1251"/>
      <c r="BCM125" s="1251"/>
      <c r="BCN125" s="1251"/>
      <c r="BCO125" s="1251"/>
      <c r="BCP125" s="1251"/>
      <c r="BCQ125" s="1251"/>
      <c r="BCR125" s="1251"/>
      <c r="BCS125" s="1251"/>
      <c r="BCT125" s="1251"/>
      <c r="BCU125" s="1251"/>
      <c r="BCV125" s="1251"/>
      <c r="BCW125" s="1251"/>
      <c r="BCX125" s="1251"/>
      <c r="BCY125" s="1251"/>
      <c r="BCZ125" s="1251"/>
      <c r="BDA125" s="1251"/>
      <c r="BDB125" s="1251"/>
      <c r="BDC125" s="1251"/>
      <c r="BDD125" s="1251"/>
      <c r="BDE125" s="1251"/>
      <c r="BDF125" s="1251"/>
      <c r="BDG125" s="1251"/>
      <c r="BDH125" s="1251"/>
      <c r="BDI125" s="1251"/>
      <c r="BDJ125" s="1251"/>
      <c r="BDK125" s="1251"/>
      <c r="BDL125" s="1251"/>
      <c r="BDM125" s="1251"/>
      <c r="BDN125" s="1251"/>
      <c r="BDO125" s="1251"/>
      <c r="BDP125" s="1251"/>
      <c r="BDQ125" s="1251"/>
      <c r="BDR125" s="1251"/>
      <c r="BDS125" s="1251"/>
      <c r="BDT125" s="1251"/>
      <c r="BDU125" s="1251"/>
      <c r="BDV125" s="1251"/>
      <c r="BDW125" s="1251"/>
      <c r="BDX125" s="1251"/>
      <c r="BDY125" s="1251"/>
      <c r="BDZ125" s="1251"/>
      <c r="BEA125" s="1251"/>
      <c r="BEB125" s="1251"/>
      <c r="BEC125" s="1251"/>
      <c r="BED125" s="1251"/>
      <c r="BEE125" s="1251"/>
      <c r="BEF125" s="1251"/>
      <c r="BEG125" s="1251"/>
      <c r="BEH125" s="1251"/>
      <c r="BEI125" s="1251"/>
      <c r="BEJ125" s="1251"/>
      <c r="BEK125" s="1251"/>
      <c r="BEL125" s="1251"/>
      <c r="BEM125" s="1251"/>
      <c r="BEN125" s="1251"/>
      <c r="BEO125" s="1251"/>
      <c r="BEP125" s="1251"/>
      <c r="BEQ125" s="1251"/>
      <c r="BER125" s="1251"/>
      <c r="BES125" s="1251"/>
      <c r="BET125" s="1251"/>
      <c r="BEU125" s="1251"/>
      <c r="BEV125" s="1251"/>
      <c r="BEW125" s="1251"/>
      <c r="BEX125" s="1251"/>
      <c r="BEY125" s="1251"/>
      <c r="BEZ125" s="1251"/>
      <c r="BFA125" s="1251"/>
      <c r="BFB125" s="1251"/>
      <c r="BFC125" s="1251"/>
      <c r="BFD125" s="1251"/>
      <c r="BFE125" s="1251"/>
      <c r="BFF125" s="1251"/>
      <c r="BFG125" s="1251"/>
      <c r="BFH125" s="1251"/>
      <c r="BFI125" s="1251"/>
      <c r="BFJ125" s="1251"/>
      <c r="BFK125" s="1251"/>
      <c r="BFL125" s="1251"/>
      <c r="BFM125" s="1251"/>
      <c r="BFN125" s="1251"/>
      <c r="BFO125" s="1251"/>
      <c r="BFP125" s="1251"/>
      <c r="BFQ125" s="1251"/>
      <c r="BFR125" s="1251"/>
      <c r="BFS125" s="1251"/>
      <c r="BFT125" s="1251"/>
      <c r="BFU125" s="1251"/>
      <c r="BFV125" s="1251"/>
      <c r="BFW125" s="1251"/>
      <c r="BFX125" s="1251"/>
      <c r="BFY125" s="1251"/>
      <c r="BFZ125" s="1251"/>
      <c r="BGA125" s="1251"/>
      <c r="BGB125" s="1251"/>
      <c r="BGC125" s="1251"/>
      <c r="BGD125" s="1251"/>
      <c r="BGE125" s="1251"/>
      <c r="BGF125" s="1251"/>
      <c r="BGG125" s="1251"/>
      <c r="BGH125" s="1251"/>
      <c r="BGI125" s="1251"/>
      <c r="BGJ125" s="1251"/>
      <c r="BGK125" s="1251"/>
      <c r="BGL125" s="1251"/>
      <c r="BGM125" s="1251"/>
      <c r="BGN125" s="1251"/>
      <c r="BGO125" s="1251"/>
      <c r="BGP125" s="1251"/>
      <c r="BGQ125" s="1251"/>
      <c r="BGR125" s="1251"/>
      <c r="BGS125" s="1251"/>
      <c r="BGT125" s="1251"/>
      <c r="BGU125" s="1251"/>
      <c r="BGV125" s="1251"/>
      <c r="BGW125" s="1251"/>
      <c r="BGX125" s="1251"/>
      <c r="BGY125" s="1251"/>
      <c r="BGZ125" s="1251"/>
      <c r="BHA125" s="1251"/>
      <c r="BHB125" s="1251"/>
      <c r="BHC125" s="1251"/>
      <c r="BHD125" s="1251"/>
      <c r="BHE125" s="1251"/>
      <c r="BHF125" s="1251"/>
      <c r="BHG125" s="1251"/>
      <c r="BHH125" s="1251"/>
      <c r="BHI125" s="1251"/>
      <c r="BHJ125" s="1251"/>
      <c r="BHK125" s="1251"/>
      <c r="BHL125" s="1251"/>
      <c r="BHM125" s="1251"/>
      <c r="BHN125" s="1251"/>
      <c r="BHO125" s="1251"/>
      <c r="BHP125" s="1251"/>
      <c r="BHQ125" s="1251"/>
      <c r="BHR125" s="1251"/>
      <c r="BHS125" s="1251"/>
      <c r="BHT125" s="1251"/>
      <c r="BHU125" s="1251"/>
      <c r="BHV125" s="1251"/>
      <c r="BHW125" s="1251"/>
      <c r="BHX125" s="1251"/>
      <c r="BHY125" s="1251"/>
      <c r="BHZ125" s="1251"/>
      <c r="BIA125" s="1251"/>
      <c r="BIB125" s="1251"/>
      <c r="BIC125" s="1251"/>
      <c r="BID125" s="1251"/>
      <c r="BIE125" s="1251"/>
      <c r="BIF125" s="1251"/>
      <c r="BIG125" s="1251"/>
      <c r="BIH125" s="1251"/>
      <c r="BII125" s="1251"/>
      <c r="BIJ125" s="1251"/>
      <c r="BIK125" s="1251"/>
      <c r="BIL125" s="1251"/>
      <c r="BIM125" s="1251"/>
      <c r="BIN125" s="1251"/>
      <c r="BIO125" s="1251"/>
      <c r="BIP125" s="1251"/>
      <c r="BIQ125" s="1251"/>
      <c r="BIR125" s="1251"/>
      <c r="BIS125" s="1251"/>
      <c r="BIT125" s="1251"/>
      <c r="BIU125" s="1251"/>
      <c r="BIV125" s="1251"/>
      <c r="BIW125" s="1251"/>
      <c r="BIX125" s="1251"/>
      <c r="BIY125" s="1251"/>
      <c r="BIZ125" s="1251"/>
      <c r="BJA125" s="1251"/>
      <c r="BJB125" s="1251"/>
      <c r="BJC125" s="1251"/>
      <c r="BJD125" s="1251"/>
      <c r="BJE125" s="1251"/>
      <c r="BJF125" s="1251"/>
      <c r="BJG125" s="1251"/>
      <c r="BJH125" s="1251"/>
      <c r="BJI125" s="1251"/>
      <c r="BJJ125" s="1251"/>
      <c r="BJK125" s="1251"/>
      <c r="BJL125" s="1251"/>
      <c r="BJM125" s="1251"/>
      <c r="BJN125" s="1251"/>
      <c r="BJO125" s="1251"/>
      <c r="BJP125" s="1251"/>
      <c r="BJQ125" s="1251"/>
      <c r="BJR125" s="1251"/>
      <c r="BJS125" s="1251"/>
      <c r="BJT125" s="1251"/>
      <c r="BJU125" s="1251"/>
      <c r="BJV125" s="1251"/>
      <c r="BJW125" s="1251"/>
      <c r="BJX125" s="1251"/>
      <c r="BJY125" s="1251"/>
      <c r="BJZ125" s="1251"/>
      <c r="BKA125" s="1251"/>
      <c r="BKB125" s="1251"/>
      <c r="BKC125" s="1251"/>
      <c r="BKD125" s="1251"/>
      <c r="BKE125" s="1251"/>
      <c r="BKF125" s="1251"/>
      <c r="BKG125" s="1251"/>
      <c r="BKH125" s="1251"/>
      <c r="BKI125" s="1251"/>
      <c r="BKJ125" s="1251"/>
      <c r="BKK125" s="1251"/>
      <c r="BKL125" s="1251"/>
      <c r="BKM125" s="1251"/>
      <c r="BKN125" s="1251"/>
      <c r="BKO125" s="1251"/>
      <c r="BKP125" s="1251"/>
      <c r="BKQ125" s="1251"/>
      <c r="BKR125" s="1251"/>
      <c r="BKS125" s="1251"/>
      <c r="BKT125" s="1251"/>
      <c r="BKU125" s="1251"/>
      <c r="BKV125" s="1251"/>
      <c r="BKW125" s="1251"/>
      <c r="BKX125" s="1251"/>
      <c r="BKY125" s="1251"/>
      <c r="BKZ125" s="1251"/>
      <c r="BLA125" s="1251"/>
      <c r="BLB125" s="1251"/>
      <c r="BLC125" s="1251"/>
      <c r="BLD125" s="1251"/>
      <c r="BLE125" s="1251"/>
      <c r="BLF125" s="1251"/>
      <c r="BLG125" s="1251"/>
      <c r="BLH125" s="1251"/>
      <c r="BLI125" s="1251"/>
      <c r="BLJ125" s="1251"/>
      <c r="BLK125" s="1251"/>
      <c r="BLL125" s="1251"/>
      <c r="BLM125" s="1251"/>
      <c r="BLN125" s="1251"/>
      <c r="BLO125" s="1251"/>
      <c r="BLP125" s="1251"/>
      <c r="BLQ125" s="1251"/>
      <c r="BLR125" s="1251"/>
      <c r="BLS125" s="1251"/>
      <c r="BLT125" s="1251"/>
      <c r="BLU125" s="1251"/>
      <c r="BLV125" s="1251"/>
      <c r="BLW125" s="1251"/>
      <c r="BLX125" s="1251"/>
      <c r="BLY125" s="1251"/>
      <c r="BLZ125" s="1251"/>
      <c r="BMA125" s="1251"/>
      <c r="BMB125" s="1251"/>
      <c r="BMC125" s="1251"/>
      <c r="BMD125" s="1251"/>
      <c r="BME125" s="1251"/>
      <c r="BMF125" s="1251"/>
      <c r="BMG125" s="1251"/>
      <c r="BMH125" s="1251"/>
      <c r="BMI125" s="1251"/>
      <c r="BMJ125" s="1251"/>
      <c r="BMK125" s="1251"/>
      <c r="BML125" s="1251"/>
      <c r="BMM125" s="1251"/>
      <c r="BMN125" s="1251"/>
      <c r="BMO125" s="1251"/>
      <c r="BMP125" s="1251"/>
      <c r="BMQ125" s="1251"/>
      <c r="BMR125" s="1251"/>
      <c r="BMS125" s="1251"/>
      <c r="BMT125" s="1251"/>
      <c r="BMU125" s="1251"/>
      <c r="BMV125" s="1251"/>
      <c r="BMW125" s="1251"/>
      <c r="BMX125" s="1251"/>
      <c r="BMY125" s="1251"/>
      <c r="BMZ125" s="1251"/>
      <c r="BNA125" s="1251"/>
      <c r="BNB125" s="1251"/>
      <c r="BNC125" s="1251"/>
      <c r="BND125" s="1251"/>
      <c r="BNE125" s="1251"/>
      <c r="BNF125" s="1251"/>
      <c r="BNG125" s="1251"/>
      <c r="BNH125" s="1251"/>
      <c r="BNI125" s="1251"/>
      <c r="BNJ125" s="1251"/>
      <c r="BNK125" s="1251"/>
      <c r="BNL125" s="1251"/>
      <c r="BNM125" s="1251"/>
      <c r="BNN125" s="1251"/>
      <c r="BNO125" s="1251"/>
      <c r="BNP125" s="1251"/>
      <c r="BNQ125" s="1251"/>
      <c r="BNR125" s="1251"/>
      <c r="BNS125" s="1251"/>
      <c r="BNT125" s="1251"/>
      <c r="BNU125" s="1251"/>
      <c r="BNV125" s="1251"/>
      <c r="BNW125" s="1251"/>
      <c r="BNX125" s="1251"/>
      <c r="BNY125" s="1251"/>
      <c r="BNZ125" s="1251"/>
      <c r="BOA125" s="1251"/>
      <c r="BOB125" s="1251"/>
      <c r="BOC125" s="1251"/>
      <c r="BOD125" s="1251"/>
      <c r="BOE125" s="1251"/>
      <c r="BOF125" s="1251"/>
      <c r="BOG125" s="1251"/>
      <c r="BOH125" s="1251"/>
      <c r="BOI125" s="1251"/>
      <c r="BOJ125" s="1251"/>
      <c r="BOK125" s="1251"/>
      <c r="BOL125" s="1251"/>
      <c r="BOM125" s="1251"/>
      <c r="BON125" s="1251"/>
      <c r="BOO125" s="1251"/>
      <c r="BOP125" s="1251"/>
      <c r="BOQ125" s="1251"/>
      <c r="BOR125" s="1251"/>
      <c r="BOS125" s="1251"/>
      <c r="BOT125" s="1251"/>
      <c r="BOU125" s="1251"/>
      <c r="BOV125" s="1251"/>
      <c r="BOW125" s="1251"/>
      <c r="BOX125" s="1251"/>
      <c r="BOY125" s="1251"/>
      <c r="BOZ125" s="1251"/>
      <c r="BPA125" s="1251"/>
      <c r="BPB125" s="1251"/>
      <c r="BPC125" s="1251"/>
      <c r="BPD125" s="1251"/>
      <c r="BPE125" s="1251"/>
      <c r="BPF125" s="1251"/>
      <c r="BPG125" s="1251"/>
      <c r="BPH125" s="1251"/>
      <c r="BPI125" s="1251"/>
      <c r="BPJ125" s="1251"/>
      <c r="BPK125" s="1251"/>
      <c r="BPL125" s="1251"/>
      <c r="BPM125" s="1251"/>
      <c r="BPN125" s="1251"/>
      <c r="BPO125" s="1251"/>
      <c r="BPP125" s="1251"/>
      <c r="BPQ125" s="1251"/>
      <c r="BPR125" s="1251"/>
      <c r="BPS125" s="1251"/>
      <c r="BPT125" s="1251"/>
      <c r="BPU125" s="1251"/>
      <c r="BPV125" s="1251"/>
      <c r="BPW125" s="1251"/>
      <c r="BPX125" s="1251"/>
      <c r="BPY125" s="1251"/>
      <c r="BPZ125" s="1251"/>
      <c r="BQA125" s="1251"/>
      <c r="BQB125" s="1251"/>
      <c r="BQC125" s="1251"/>
      <c r="BQD125" s="1251"/>
      <c r="BQE125" s="1251"/>
      <c r="BQF125" s="1251"/>
      <c r="BQG125" s="1251"/>
      <c r="BQH125" s="1251"/>
      <c r="BQI125" s="1251"/>
      <c r="BQJ125" s="1251"/>
      <c r="BQK125" s="1251"/>
      <c r="BQL125" s="1251"/>
      <c r="BQM125" s="1251"/>
      <c r="BQN125" s="1251"/>
      <c r="BQO125" s="1251"/>
      <c r="BQP125" s="1251"/>
      <c r="BQQ125" s="1251"/>
      <c r="BQR125" s="1251"/>
      <c r="BQS125" s="1251"/>
      <c r="BQT125" s="1251"/>
      <c r="BQU125" s="1251"/>
      <c r="BQV125" s="1251"/>
      <c r="BQW125" s="1251"/>
      <c r="BQX125" s="1251"/>
      <c r="BQY125" s="1251"/>
      <c r="BQZ125" s="1251"/>
      <c r="BRA125" s="1251"/>
      <c r="BRB125" s="1251"/>
      <c r="BRC125" s="1251"/>
      <c r="BRD125" s="1251"/>
      <c r="BRE125" s="1251"/>
      <c r="BRF125" s="1251"/>
      <c r="BRG125" s="1251"/>
      <c r="BRH125" s="1251"/>
      <c r="BRI125" s="1251"/>
      <c r="BRJ125" s="1251"/>
      <c r="BRK125" s="1251"/>
      <c r="BRL125" s="1251"/>
      <c r="BRM125" s="1251"/>
      <c r="BRN125" s="1251"/>
      <c r="BRO125" s="1251"/>
      <c r="BRP125" s="1251"/>
      <c r="BRQ125" s="1251"/>
      <c r="BRR125" s="1251"/>
      <c r="BRS125" s="1251"/>
      <c r="BRT125" s="1251"/>
      <c r="BRU125" s="1251"/>
      <c r="BRV125" s="1251"/>
      <c r="BRW125" s="1251"/>
      <c r="BRX125" s="1251"/>
      <c r="BRY125" s="1251"/>
      <c r="BRZ125" s="1251"/>
      <c r="BSA125" s="1251"/>
      <c r="BSB125" s="1251"/>
      <c r="BSC125" s="1251"/>
      <c r="BSD125" s="1251"/>
      <c r="BSE125" s="1251"/>
      <c r="BSF125" s="1251"/>
      <c r="BSG125" s="1251"/>
      <c r="BSH125" s="1251"/>
      <c r="BSI125" s="1251"/>
      <c r="BSJ125" s="1251"/>
      <c r="BSK125" s="1251"/>
      <c r="BSL125" s="1251"/>
      <c r="BSM125" s="1251"/>
      <c r="BSN125" s="1251"/>
      <c r="BSO125" s="1251"/>
      <c r="BSP125" s="1251"/>
      <c r="BSQ125" s="1251"/>
      <c r="BSR125" s="1251"/>
      <c r="BSS125" s="1251"/>
      <c r="BST125" s="1251"/>
      <c r="BSU125" s="1251"/>
      <c r="BSV125" s="1251"/>
      <c r="BSW125" s="1251"/>
      <c r="BSX125" s="1251"/>
      <c r="BSY125" s="1251"/>
      <c r="BSZ125" s="1251"/>
      <c r="BTA125" s="1251"/>
      <c r="BTB125" s="1251"/>
      <c r="BTC125" s="1251"/>
      <c r="BTD125" s="1251"/>
      <c r="BTE125" s="1251"/>
      <c r="BTF125" s="1251"/>
      <c r="BTG125" s="1251"/>
      <c r="BTH125" s="1251"/>
      <c r="BTI125" s="1251"/>
    </row>
    <row r="126" spans="1:1881" s="1261" customFormat="1" ht="55.5" hidden="1" customHeight="1" thickBot="1" x14ac:dyDescent="0.35">
      <c r="A126" s="1274">
        <v>104</v>
      </c>
      <c r="B126" s="1272" t="s">
        <v>652</v>
      </c>
      <c r="C126" s="659" t="s">
        <v>1285</v>
      </c>
      <c r="D126" s="659" t="s">
        <v>1286</v>
      </c>
      <c r="E126" s="1249" t="e">
        <f>HLOOKUP($D$2,'2020 Data(H)'!$C$1:$CZ$426,64,FALSE)</f>
        <v>#N/A</v>
      </c>
      <c r="F126" s="1263">
        <v>0</v>
      </c>
      <c r="G126" s="727"/>
      <c r="H126" s="17"/>
      <c r="I126" s="760"/>
      <c r="J126" s="1252"/>
      <c r="K126" s="1251"/>
      <c r="L126" s="701"/>
      <c r="M126" s="1251"/>
      <c r="N126" s="1253"/>
      <c r="O126" s="1251"/>
      <c r="P126" s="1251"/>
      <c r="Q126" s="1251"/>
      <c r="R126" s="1251"/>
      <c r="S126" s="1251"/>
      <c r="T126" s="1251"/>
      <c r="U126" s="1251"/>
      <c r="V126" s="1251"/>
      <c r="W126" s="1251"/>
      <c r="X126" s="1251"/>
      <c r="Y126" s="1251"/>
      <c r="Z126" s="1274"/>
      <c r="AA126" s="1274"/>
      <c r="AB126" s="1274"/>
      <c r="AC126" s="1274"/>
      <c r="AD126" s="1274"/>
      <c r="AE126" s="1274"/>
      <c r="AF126" s="1274"/>
      <c r="AG126" s="1274"/>
      <c r="AH126" s="1274"/>
      <c r="AI126" s="1274"/>
      <c r="AJ126" s="1274"/>
      <c r="AK126" s="1274"/>
      <c r="AL126" s="1274"/>
      <c r="AM126" s="1274"/>
      <c r="AN126" s="1274"/>
      <c r="AO126" s="1274"/>
      <c r="AP126" s="1274"/>
      <c r="AQ126" s="1274"/>
      <c r="AR126" s="1274"/>
      <c r="AS126" s="1251"/>
      <c r="AT126" s="1251"/>
      <c r="AU126" s="1251"/>
      <c r="AV126" s="1251"/>
      <c r="AW126" s="1251"/>
      <c r="AX126" s="1251"/>
      <c r="AY126" s="1251"/>
      <c r="AZ126" s="1251"/>
      <c r="BA126" s="1251"/>
      <c r="BB126" s="1251"/>
      <c r="BC126" s="1251"/>
      <c r="BD126" s="1251"/>
      <c r="BE126" s="1251"/>
      <c r="BF126" s="1251"/>
      <c r="BG126" s="1251"/>
      <c r="BH126" s="1251"/>
      <c r="BI126" s="1251"/>
      <c r="BJ126" s="1251"/>
      <c r="BK126" s="1251"/>
      <c r="BL126" s="1251"/>
      <c r="BM126" s="1251"/>
      <c r="BN126" s="1251"/>
      <c r="BO126" s="1251"/>
      <c r="BP126" s="1251"/>
      <c r="BQ126" s="1251"/>
      <c r="BR126" s="1251"/>
      <c r="BS126" s="1251"/>
      <c r="BT126" s="1251"/>
      <c r="BU126" s="1251"/>
      <c r="BV126" s="1251"/>
      <c r="BW126" s="1251"/>
      <c r="BX126" s="1251"/>
      <c r="BY126" s="1251"/>
      <c r="BZ126" s="1251"/>
      <c r="CA126" s="1251"/>
      <c r="CB126" s="1251"/>
      <c r="CC126" s="1251"/>
      <c r="CD126" s="1251"/>
      <c r="CE126" s="1251"/>
      <c r="CF126" s="1251"/>
      <c r="CG126" s="1251"/>
      <c r="CH126" s="1251"/>
      <c r="CI126" s="1251"/>
      <c r="CJ126" s="1251"/>
      <c r="CK126" s="1251"/>
      <c r="CL126" s="1251"/>
      <c r="CM126" s="1251"/>
      <c r="CN126" s="1251"/>
      <c r="CO126" s="1251"/>
      <c r="CP126" s="1251"/>
      <c r="CQ126" s="1251"/>
      <c r="CR126" s="1251"/>
      <c r="CS126" s="1251"/>
      <c r="CT126" s="1251"/>
      <c r="CU126" s="1251"/>
      <c r="CV126" s="1251"/>
      <c r="CW126" s="1251"/>
      <c r="CX126" s="1251"/>
      <c r="CY126" s="1251"/>
      <c r="CZ126" s="1251"/>
      <c r="DA126" s="1251"/>
      <c r="DB126" s="1251"/>
      <c r="DC126" s="1251"/>
      <c r="DD126" s="1251"/>
      <c r="DE126" s="1251"/>
      <c r="DF126" s="1251"/>
      <c r="DG126" s="1251"/>
      <c r="DH126" s="1251"/>
      <c r="DI126" s="1251"/>
      <c r="DJ126" s="1251"/>
      <c r="DK126" s="1251"/>
      <c r="DL126" s="1251"/>
      <c r="DM126" s="1251"/>
      <c r="DN126" s="1251"/>
      <c r="DO126" s="1251"/>
      <c r="DP126" s="1251"/>
      <c r="DQ126" s="1251"/>
      <c r="DR126" s="1251"/>
      <c r="DS126" s="1251"/>
      <c r="DT126" s="1251"/>
      <c r="DU126" s="1251"/>
      <c r="DV126" s="1251"/>
      <c r="DW126" s="1251"/>
      <c r="DX126" s="1251"/>
      <c r="DY126" s="1251"/>
      <c r="DZ126" s="1251"/>
      <c r="EA126" s="1251"/>
      <c r="EB126" s="1251"/>
      <c r="EC126" s="1251"/>
      <c r="ED126" s="1251"/>
      <c r="EE126" s="1251"/>
      <c r="EF126" s="1251"/>
      <c r="EG126" s="1251"/>
      <c r="EH126" s="1251"/>
      <c r="EI126" s="1251"/>
      <c r="EJ126" s="1251"/>
      <c r="EK126" s="1251"/>
      <c r="EL126" s="1251"/>
      <c r="EM126" s="1251"/>
      <c r="EN126" s="1251"/>
      <c r="EO126" s="1251"/>
      <c r="EP126" s="1251"/>
      <c r="EQ126" s="1251"/>
      <c r="ER126" s="1251"/>
      <c r="ES126" s="1251"/>
      <c r="ET126" s="1251"/>
      <c r="EU126" s="1251"/>
      <c r="EV126" s="1251"/>
      <c r="EW126" s="1251"/>
      <c r="EX126" s="1251"/>
      <c r="EY126" s="1251"/>
      <c r="EZ126" s="1251"/>
      <c r="FA126" s="1251"/>
      <c r="FB126" s="1251"/>
      <c r="FC126" s="1251"/>
      <c r="FD126" s="1251"/>
      <c r="FE126" s="1251"/>
      <c r="FF126" s="1251"/>
      <c r="FG126" s="1251"/>
      <c r="FH126" s="1251"/>
      <c r="FI126" s="1251"/>
      <c r="FJ126" s="1251"/>
      <c r="FK126" s="1251"/>
      <c r="FL126" s="1251"/>
      <c r="FM126" s="1251"/>
      <c r="FN126" s="1251"/>
      <c r="FO126" s="1251"/>
      <c r="FP126" s="1251"/>
      <c r="FQ126" s="1251"/>
      <c r="FR126" s="1251"/>
      <c r="FS126" s="1251"/>
      <c r="FT126" s="1251"/>
      <c r="FU126" s="1251"/>
      <c r="FV126" s="1251"/>
      <c r="FW126" s="1251"/>
      <c r="FX126" s="1251"/>
      <c r="FY126" s="1251"/>
      <c r="FZ126" s="1251"/>
      <c r="GA126" s="1251"/>
      <c r="GB126" s="1251"/>
      <c r="GC126" s="1251"/>
      <c r="GD126" s="1251"/>
      <c r="GE126" s="1251"/>
      <c r="GF126" s="1251"/>
      <c r="GG126" s="1251"/>
      <c r="GH126" s="1251"/>
      <c r="GI126" s="1251"/>
      <c r="GJ126" s="1251"/>
      <c r="GK126" s="1251"/>
      <c r="GL126" s="1251"/>
      <c r="GM126" s="1251"/>
      <c r="GN126" s="1251"/>
      <c r="GO126" s="1251"/>
      <c r="GP126" s="1251"/>
      <c r="GQ126" s="1251"/>
      <c r="GR126" s="1251"/>
      <c r="GS126" s="1251"/>
      <c r="GT126" s="1251"/>
      <c r="GU126" s="1251"/>
      <c r="GV126" s="1251"/>
      <c r="GW126" s="1251"/>
      <c r="GX126" s="1251"/>
      <c r="GY126" s="1251"/>
      <c r="GZ126" s="1251"/>
      <c r="HA126" s="1251"/>
      <c r="HB126" s="1251"/>
      <c r="HC126" s="1251"/>
      <c r="HD126" s="1251"/>
      <c r="HE126" s="1251"/>
      <c r="HF126" s="1251"/>
      <c r="HG126" s="1251"/>
      <c r="HH126" s="1251"/>
      <c r="HI126" s="1251"/>
      <c r="HJ126" s="1251"/>
      <c r="HK126" s="1251"/>
      <c r="HL126" s="1251"/>
      <c r="HM126" s="1251"/>
      <c r="HN126" s="1251"/>
      <c r="HO126" s="1251"/>
      <c r="HP126" s="1251"/>
      <c r="HQ126" s="1251"/>
      <c r="HR126" s="1251"/>
      <c r="HS126" s="1251"/>
      <c r="HT126" s="1251"/>
      <c r="HU126" s="1251"/>
      <c r="HV126" s="1251"/>
      <c r="HW126" s="1251"/>
      <c r="HX126" s="1251"/>
      <c r="HY126" s="1251"/>
      <c r="HZ126" s="1251"/>
      <c r="IA126" s="1251"/>
      <c r="IB126" s="1251"/>
      <c r="IC126" s="1251"/>
      <c r="ID126" s="1251"/>
      <c r="IE126" s="1251"/>
      <c r="IF126" s="1251"/>
      <c r="IG126" s="1251"/>
      <c r="IH126" s="1251"/>
      <c r="II126" s="1251"/>
      <c r="IJ126" s="1251"/>
      <c r="IK126" s="1251"/>
      <c r="IL126" s="1251"/>
      <c r="IM126" s="1251"/>
      <c r="IN126" s="1251"/>
      <c r="IO126" s="1251"/>
      <c r="IP126" s="1251"/>
      <c r="IQ126" s="1251"/>
      <c r="IR126" s="1251"/>
      <c r="IS126" s="1251"/>
      <c r="IT126" s="1251"/>
      <c r="IU126" s="1251"/>
      <c r="IV126" s="1251"/>
      <c r="IW126" s="1251"/>
      <c r="IX126" s="1251"/>
      <c r="IY126" s="1251"/>
      <c r="IZ126" s="1251"/>
      <c r="JA126" s="1251"/>
      <c r="JB126" s="1251"/>
      <c r="JC126" s="1251"/>
      <c r="JD126" s="1251"/>
      <c r="JE126" s="1251"/>
      <c r="JF126" s="1251"/>
      <c r="JG126" s="1251"/>
      <c r="JH126" s="1251"/>
      <c r="JI126" s="1251"/>
      <c r="JJ126" s="1251"/>
      <c r="JK126" s="1251"/>
      <c r="JL126" s="1251"/>
      <c r="JM126" s="1251"/>
      <c r="JN126" s="1251"/>
      <c r="JO126" s="1251"/>
      <c r="JP126" s="1251"/>
      <c r="JQ126" s="1251"/>
      <c r="JR126" s="1251"/>
      <c r="JS126" s="1251"/>
      <c r="JT126" s="1251"/>
      <c r="JU126" s="1251"/>
      <c r="JV126" s="1251"/>
      <c r="JW126" s="1251"/>
      <c r="JX126" s="1251"/>
      <c r="JY126" s="1251"/>
      <c r="JZ126" s="1251"/>
      <c r="KA126" s="1251"/>
      <c r="KB126" s="1251"/>
      <c r="KC126" s="1251"/>
      <c r="KD126" s="1251"/>
      <c r="KE126" s="1251"/>
      <c r="KF126" s="1251"/>
      <c r="KG126" s="1251"/>
      <c r="KH126" s="1251"/>
      <c r="KI126" s="1251"/>
      <c r="KJ126" s="1251"/>
      <c r="KK126" s="1251"/>
      <c r="KL126" s="1251"/>
      <c r="KM126" s="1251"/>
      <c r="KN126" s="1251"/>
      <c r="KO126" s="1251"/>
      <c r="KP126" s="1251"/>
      <c r="KQ126" s="1251"/>
      <c r="KR126" s="1251"/>
      <c r="KS126" s="1251"/>
      <c r="KT126" s="1251"/>
      <c r="KU126" s="1251"/>
      <c r="KV126" s="1251"/>
      <c r="KW126" s="1251"/>
      <c r="KX126" s="1251"/>
      <c r="KY126" s="1251"/>
      <c r="KZ126" s="1251"/>
      <c r="LA126" s="1251"/>
      <c r="LB126" s="1251"/>
      <c r="LC126" s="1251"/>
      <c r="LD126" s="1251"/>
      <c r="LE126" s="1251"/>
      <c r="LF126" s="1251"/>
      <c r="LG126" s="1251"/>
      <c r="LH126" s="1251"/>
      <c r="LI126" s="1251"/>
      <c r="LJ126" s="1251"/>
      <c r="LK126" s="1251"/>
      <c r="LL126" s="1251"/>
      <c r="LM126" s="1251"/>
      <c r="LN126" s="1251"/>
      <c r="LO126" s="1251"/>
      <c r="LP126" s="1251"/>
      <c r="LQ126" s="1251"/>
      <c r="LR126" s="1251"/>
      <c r="LS126" s="1251"/>
      <c r="LT126" s="1251"/>
      <c r="LU126" s="1251"/>
      <c r="LV126" s="1251"/>
      <c r="LW126" s="1251"/>
      <c r="LX126" s="1251"/>
      <c r="LY126" s="1251"/>
      <c r="LZ126" s="1251"/>
      <c r="MA126" s="1251"/>
      <c r="MB126" s="1251"/>
      <c r="MC126" s="1251"/>
      <c r="MD126" s="1251"/>
      <c r="ME126" s="1251"/>
      <c r="MF126" s="1251"/>
      <c r="MG126" s="1251"/>
      <c r="MH126" s="1251"/>
      <c r="MI126" s="1251"/>
      <c r="MJ126" s="1251"/>
      <c r="MK126" s="1251"/>
      <c r="ML126" s="1251"/>
      <c r="MM126" s="1251"/>
      <c r="MN126" s="1251"/>
      <c r="MO126" s="1251"/>
      <c r="MP126" s="1251"/>
      <c r="MQ126" s="1251"/>
      <c r="MR126" s="1251"/>
      <c r="MS126" s="1251"/>
      <c r="MT126" s="1251"/>
      <c r="MU126" s="1251"/>
      <c r="MV126" s="1251"/>
      <c r="MW126" s="1251"/>
      <c r="MX126" s="1251"/>
      <c r="MY126" s="1251"/>
      <c r="MZ126" s="1251"/>
      <c r="NA126" s="1251"/>
      <c r="NB126" s="1251"/>
      <c r="NC126" s="1251"/>
      <c r="ND126" s="1251"/>
      <c r="NE126" s="1251"/>
      <c r="NF126" s="1251"/>
      <c r="NG126" s="1251"/>
      <c r="NH126" s="1251"/>
      <c r="NI126" s="1251"/>
      <c r="NJ126" s="1251"/>
      <c r="NK126" s="1251"/>
      <c r="NL126" s="1251"/>
      <c r="NM126" s="1251"/>
      <c r="NN126" s="1251"/>
      <c r="NO126" s="1251"/>
      <c r="NP126" s="1251"/>
      <c r="NQ126" s="1251"/>
      <c r="NR126" s="1251"/>
      <c r="NS126" s="1251"/>
      <c r="NT126" s="1251"/>
      <c r="NU126" s="1251"/>
      <c r="NV126" s="1251"/>
      <c r="NW126" s="1251"/>
      <c r="NX126" s="1251"/>
      <c r="NY126" s="1251"/>
      <c r="NZ126" s="1251"/>
      <c r="OA126" s="1251"/>
      <c r="OB126" s="1251"/>
      <c r="OC126" s="1251"/>
      <c r="OD126" s="1251"/>
      <c r="OE126" s="1251"/>
      <c r="OF126" s="1251"/>
      <c r="OG126" s="1251"/>
      <c r="OH126" s="1251"/>
      <c r="OI126" s="1251"/>
      <c r="OJ126" s="1251"/>
      <c r="OK126" s="1251"/>
      <c r="OL126" s="1251"/>
      <c r="OM126" s="1251"/>
      <c r="ON126" s="1251"/>
      <c r="OO126" s="1251"/>
      <c r="OP126" s="1251"/>
      <c r="OQ126" s="1251"/>
      <c r="OR126" s="1251"/>
      <c r="OS126" s="1251"/>
      <c r="OT126" s="1251"/>
      <c r="OU126" s="1251"/>
      <c r="OV126" s="1251"/>
      <c r="OW126" s="1251"/>
      <c r="OX126" s="1251"/>
      <c r="OY126" s="1251"/>
      <c r="OZ126" s="1251"/>
      <c r="PA126" s="1251"/>
      <c r="PB126" s="1251"/>
      <c r="PC126" s="1251"/>
      <c r="PD126" s="1251"/>
      <c r="PE126" s="1251"/>
      <c r="PF126" s="1251"/>
      <c r="PG126" s="1251"/>
      <c r="PH126" s="1251"/>
      <c r="PI126" s="1251"/>
      <c r="PJ126" s="1251"/>
      <c r="PK126" s="1251"/>
      <c r="PL126" s="1251"/>
      <c r="PM126" s="1251"/>
      <c r="PN126" s="1251"/>
      <c r="PO126" s="1251"/>
      <c r="PP126" s="1251"/>
      <c r="PQ126" s="1251"/>
      <c r="PR126" s="1251"/>
      <c r="PS126" s="1251"/>
      <c r="PT126" s="1251"/>
      <c r="PU126" s="1251"/>
      <c r="PV126" s="1251"/>
      <c r="PW126" s="1251"/>
      <c r="PX126" s="1251"/>
      <c r="PY126" s="1251"/>
      <c r="PZ126" s="1251"/>
      <c r="QA126" s="1251"/>
      <c r="QB126" s="1251"/>
      <c r="QC126" s="1251"/>
      <c r="QD126" s="1251"/>
      <c r="QE126" s="1251"/>
      <c r="QF126" s="1251"/>
      <c r="QG126" s="1251"/>
      <c r="QH126" s="1251"/>
      <c r="QI126" s="1251"/>
      <c r="QJ126" s="1251"/>
      <c r="QK126" s="1251"/>
      <c r="QL126" s="1251"/>
      <c r="QM126" s="1251"/>
      <c r="QN126" s="1251"/>
      <c r="QO126" s="1251"/>
      <c r="QP126" s="1251"/>
      <c r="QQ126" s="1251"/>
      <c r="QR126" s="1251"/>
      <c r="QS126" s="1251"/>
      <c r="QT126" s="1251"/>
      <c r="QU126" s="1251"/>
      <c r="QV126" s="1251"/>
      <c r="QW126" s="1251"/>
      <c r="QX126" s="1251"/>
      <c r="QY126" s="1251"/>
      <c r="QZ126" s="1251"/>
      <c r="RA126" s="1251"/>
      <c r="RB126" s="1251"/>
      <c r="RC126" s="1251"/>
      <c r="RD126" s="1251"/>
      <c r="RE126" s="1251"/>
      <c r="RF126" s="1251"/>
      <c r="RG126" s="1251"/>
      <c r="RH126" s="1251"/>
      <c r="RI126" s="1251"/>
      <c r="RJ126" s="1251"/>
      <c r="RK126" s="1251"/>
      <c r="RL126" s="1251"/>
      <c r="RM126" s="1251"/>
      <c r="RN126" s="1251"/>
      <c r="RO126" s="1251"/>
      <c r="RP126" s="1251"/>
      <c r="RQ126" s="1251"/>
      <c r="RR126" s="1251"/>
      <c r="RS126" s="1251"/>
      <c r="RT126" s="1251"/>
      <c r="RU126" s="1251"/>
      <c r="RV126" s="1251"/>
      <c r="RW126" s="1251"/>
      <c r="RX126" s="1251"/>
      <c r="RY126" s="1251"/>
      <c r="RZ126" s="1251"/>
      <c r="SA126" s="1251"/>
      <c r="SB126" s="1251"/>
      <c r="SC126" s="1251"/>
      <c r="SD126" s="1251"/>
      <c r="SE126" s="1251"/>
      <c r="SF126" s="1251"/>
      <c r="SG126" s="1251"/>
      <c r="SH126" s="1251"/>
      <c r="SI126" s="1251"/>
      <c r="SJ126" s="1251"/>
      <c r="SK126" s="1251"/>
      <c r="SL126" s="1251"/>
      <c r="SM126" s="1251"/>
      <c r="SN126" s="1251"/>
      <c r="SO126" s="1251"/>
      <c r="SP126" s="1251"/>
      <c r="SQ126" s="1251"/>
      <c r="SR126" s="1251"/>
      <c r="SS126" s="1251"/>
      <c r="ST126" s="1251"/>
      <c r="SU126" s="1251"/>
      <c r="SV126" s="1251"/>
      <c r="SW126" s="1251"/>
      <c r="SX126" s="1251"/>
      <c r="SY126" s="1251"/>
      <c r="SZ126" s="1251"/>
      <c r="TA126" s="1251"/>
      <c r="TB126" s="1251"/>
      <c r="TC126" s="1251"/>
      <c r="TD126" s="1251"/>
      <c r="TE126" s="1251"/>
      <c r="TF126" s="1251"/>
      <c r="TG126" s="1251"/>
      <c r="TH126" s="1251"/>
      <c r="TI126" s="1251"/>
      <c r="TJ126" s="1251"/>
      <c r="TK126" s="1251"/>
      <c r="TL126" s="1251"/>
      <c r="TM126" s="1251"/>
      <c r="TN126" s="1251"/>
      <c r="TO126" s="1251"/>
      <c r="TP126" s="1251"/>
      <c r="TQ126" s="1251"/>
      <c r="TR126" s="1251"/>
      <c r="TS126" s="1251"/>
      <c r="TT126" s="1251"/>
      <c r="TU126" s="1251"/>
      <c r="TV126" s="1251"/>
      <c r="TW126" s="1251"/>
      <c r="TX126" s="1251"/>
      <c r="TY126" s="1251"/>
      <c r="TZ126" s="1251"/>
      <c r="UA126" s="1251"/>
      <c r="UB126" s="1251"/>
      <c r="UC126" s="1251"/>
      <c r="UD126" s="1251"/>
      <c r="UE126" s="1251"/>
      <c r="UF126" s="1251"/>
      <c r="UG126" s="1251"/>
      <c r="UH126" s="1251"/>
      <c r="UI126" s="1251"/>
      <c r="UJ126" s="1251"/>
      <c r="UK126" s="1251"/>
      <c r="UL126" s="1251"/>
      <c r="UM126" s="1251"/>
      <c r="UN126" s="1251"/>
      <c r="UO126" s="1251"/>
      <c r="UP126" s="1251"/>
      <c r="UQ126" s="1251"/>
      <c r="UR126" s="1251"/>
      <c r="US126" s="1251"/>
      <c r="UT126" s="1251"/>
      <c r="UU126" s="1251"/>
      <c r="UV126" s="1251"/>
      <c r="UW126" s="1251"/>
      <c r="UX126" s="1251"/>
      <c r="UY126" s="1251"/>
      <c r="UZ126" s="1251"/>
      <c r="VA126" s="1251"/>
      <c r="VB126" s="1251"/>
      <c r="VC126" s="1251"/>
      <c r="VD126" s="1251"/>
      <c r="VE126" s="1251"/>
      <c r="VF126" s="1251"/>
      <c r="VG126" s="1251"/>
      <c r="VH126" s="1251"/>
      <c r="VI126" s="1251"/>
      <c r="VJ126" s="1251"/>
      <c r="VK126" s="1251"/>
      <c r="VL126" s="1251"/>
      <c r="VM126" s="1251"/>
      <c r="VN126" s="1251"/>
      <c r="VO126" s="1251"/>
      <c r="VP126" s="1251"/>
      <c r="VQ126" s="1251"/>
      <c r="VR126" s="1251"/>
      <c r="VS126" s="1251"/>
      <c r="VT126" s="1251"/>
      <c r="VU126" s="1251"/>
      <c r="VV126" s="1251"/>
      <c r="VW126" s="1251"/>
      <c r="VX126" s="1251"/>
      <c r="VY126" s="1251"/>
      <c r="VZ126" s="1251"/>
      <c r="WA126" s="1251"/>
      <c r="WB126" s="1251"/>
      <c r="WC126" s="1251"/>
      <c r="WD126" s="1251"/>
      <c r="WE126" s="1251"/>
      <c r="WF126" s="1251"/>
      <c r="WG126" s="1251"/>
      <c r="WH126" s="1251"/>
      <c r="WI126" s="1251"/>
      <c r="WJ126" s="1251"/>
      <c r="WK126" s="1251"/>
      <c r="WL126" s="1251"/>
      <c r="WM126" s="1251"/>
      <c r="WN126" s="1251"/>
      <c r="WO126" s="1251"/>
      <c r="WP126" s="1251"/>
      <c r="WQ126" s="1251"/>
      <c r="WR126" s="1251"/>
      <c r="WS126" s="1251"/>
      <c r="WT126" s="1251"/>
      <c r="WU126" s="1251"/>
      <c r="WV126" s="1251"/>
      <c r="WW126" s="1251"/>
      <c r="WX126" s="1251"/>
      <c r="WY126" s="1251"/>
      <c r="WZ126" s="1251"/>
      <c r="XA126" s="1251"/>
      <c r="XB126" s="1251"/>
      <c r="XC126" s="1251"/>
      <c r="XD126" s="1251"/>
      <c r="XE126" s="1251"/>
      <c r="XF126" s="1251"/>
      <c r="XG126" s="1251"/>
      <c r="XH126" s="1251"/>
      <c r="XI126" s="1251"/>
      <c r="XJ126" s="1251"/>
      <c r="XK126" s="1251"/>
      <c r="XL126" s="1251"/>
      <c r="XM126" s="1251"/>
      <c r="XN126" s="1251"/>
      <c r="XO126" s="1251"/>
      <c r="XP126" s="1251"/>
      <c r="XQ126" s="1251"/>
      <c r="XR126" s="1251"/>
      <c r="XS126" s="1251"/>
      <c r="XT126" s="1251"/>
      <c r="XU126" s="1251"/>
      <c r="XV126" s="1251"/>
      <c r="XW126" s="1251"/>
      <c r="XX126" s="1251"/>
      <c r="XY126" s="1251"/>
      <c r="XZ126" s="1251"/>
      <c r="YA126" s="1251"/>
      <c r="YB126" s="1251"/>
      <c r="YC126" s="1251"/>
      <c r="YD126" s="1251"/>
      <c r="YE126" s="1251"/>
      <c r="YF126" s="1251"/>
      <c r="YG126" s="1251"/>
      <c r="YH126" s="1251"/>
      <c r="YI126" s="1251"/>
      <c r="YJ126" s="1251"/>
      <c r="YK126" s="1251"/>
      <c r="YL126" s="1251"/>
      <c r="YM126" s="1251"/>
      <c r="YN126" s="1251"/>
      <c r="YO126" s="1251"/>
      <c r="YP126" s="1251"/>
      <c r="YQ126" s="1251"/>
      <c r="YR126" s="1251"/>
      <c r="YS126" s="1251"/>
      <c r="YT126" s="1251"/>
      <c r="YU126" s="1251"/>
      <c r="YV126" s="1251"/>
      <c r="YW126" s="1251"/>
      <c r="YX126" s="1251"/>
      <c r="YY126" s="1251"/>
      <c r="YZ126" s="1251"/>
      <c r="ZA126" s="1251"/>
      <c r="ZB126" s="1251"/>
      <c r="ZC126" s="1251"/>
      <c r="ZD126" s="1251"/>
      <c r="ZE126" s="1251"/>
      <c r="ZF126" s="1251"/>
      <c r="ZG126" s="1251"/>
      <c r="ZH126" s="1251"/>
      <c r="ZI126" s="1251"/>
      <c r="ZJ126" s="1251"/>
      <c r="ZK126" s="1251"/>
      <c r="ZL126" s="1251"/>
      <c r="ZM126" s="1251"/>
      <c r="ZN126" s="1251"/>
      <c r="ZO126" s="1251"/>
      <c r="ZP126" s="1251"/>
      <c r="ZQ126" s="1251"/>
      <c r="ZR126" s="1251"/>
      <c r="ZS126" s="1251"/>
      <c r="ZT126" s="1251"/>
      <c r="ZU126" s="1251"/>
      <c r="ZV126" s="1251"/>
      <c r="ZW126" s="1251"/>
      <c r="ZX126" s="1251"/>
      <c r="ZY126" s="1251"/>
      <c r="ZZ126" s="1251"/>
      <c r="AAA126" s="1251"/>
      <c r="AAB126" s="1251"/>
      <c r="AAC126" s="1251"/>
      <c r="AAD126" s="1251"/>
      <c r="AAE126" s="1251"/>
      <c r="AAF126" s="1251"/>
      <c r="AAG126" s="1251"/>
      <c r="AAH126" s="1251"/>
      <c r="AAI126" s="1251"/>
      <c r="AAJ126" s="1251"/>
      <c r="AAK126" s="1251"/>
      <c r="AAL126" s="1251"/>
      <c r="AAM126" s="1251"/>
      <c r="AAN126" s="1251"/>
      <c r="AAO126" s="1251"/>
      <c r="AAP126" s="1251"/>
      <c r="AAQ126" s="1251"/>
      <c r="AAR126" s="1251"/>
      <c r="AAS126" s="1251"/>
      <c r="AAT126" s="1251"/>
      <c r="AAU126" s="1251"/>
      <c r="AAV126" s="1251"/>
      <c r="AAW126" s="1251"/>
      <c r="AAX126" s="1251"/>
      <c r="AAY126" s="1251"/>
      <c r="AAZ126" s="1251"/>
      <c r="ABA126" s="1251"/>
      <c r="ABB126" s="1251"/>
      <c r="ABC126" s="1251"/>
      <c r="ABD126" s="1251"/>
      <c r="ABE126" s="1251"/>
      <c r="ABF126" s="1251"/>
      <c r="ABG126" s="1251"/>
      <c r="ABH126" s="1251"/>
      <c r="ABI126" s="1251"/>
      <c r="ABJ126" s="1251"/>
      <c r="ABK126" s="1251"/>
      <c r="ABL126" s="1251"/>
      <c r="ABM126" s="1251"/>
      <c r="ABN126" s="1251"/>
      <c r="ABO126" s="1251"/>
      <c r="ABP126" s="1251"/>
      <c r="ABQ126" s="1251"/>
      <c r="ABR126" s="1251"/>
      <c r="ABS126" s="1251"/>
      <c r="ABT126" s="1251"/>
      <c r="ABU126" s="1251"/>
      <c r="ABV126" s="1251"/>
      <c r="ABW126" s="1251"/>
      <c r="ABX126" s="1251"/>
      <c r="ABY126" s="1251"/>
      <c r="ABZ126" s="1251"/>
      <c r="ACA126" s="1251"/>
      <c r="ACB126" s="1251"/>
      <c r="ACC126" s="1251"/>
      <c r="ACD126" s="1251"/>
      <c r="ACE126" s="1251"/>
      <c r="ACF126" s="1251"/>
      <c r="ACG126" s="1251"/>
      <c r="ACH126" s="1251"/>
      <c r="ACI126" s="1251"/>
      <c r="ACJ126" s="1251"/>
      <c r="ACK126" s="1251"/>
      <c r="ACL126" s="1251"/>
      <c r="ACM126" s="1251"/>
      <c r="ACN126" s="1251"/>
      <c r="ACO126" s="1251"/>
      <c r="ACP126" s="1251"/>
      <c r="ACQ126" s="1251"/>
      <c r="ACR126" s="1251"/>
      <c r="ACS126" s="1251"/>
      <c r="ACT126" s="1251"/>
      <c r="ACU126" s="1251"/>
      <c r="ACV126" s="1251"/>
      <c r="ACW126" s="1251"/>
      <c r="ACX126" s="1251"/>
      <c r="ACY126" s="1251"/>
      <c r="ACZ126" s="1251"/>
      <c r="ADA126" s="1251"/>
      <c r="ADB126" s="1251"/>
      <c r="ADC126" s="1251"/>
      <c r="ADD126" s="1251"/>
      <c r="ADE126" s="1251"/>
      <c r="ADF126" s="1251"/>
      <c r="ADG126" s="1251"/>
      <c r="ADH126" s="1251"/>
      <c r="ADI126" s="1251"/>
      <c r="ADJ126" s="1251"/>
      <c r="ADK126" s="1251"/>
      <c r="ADL126" s="1251"/>
      <c r="ADM126" s="1251"/>
      <c r="ADN126" s="1251"/>
      <c r="ADO126" s="1251"/>
      <c r="ADP126" s="1251"/>
      <c r="ADQ126" s="1251"/>
      <c r="ADR126" s="1251"/>
      <c r="ADS126" s="1251"/>
      <c r="ADT126" s="1251"/>
      <c r="ADU126" s="1251"/>
      <c r="ADV126" s="1251"/>
      <c r="ADW126" s="1251"/>
      <c r="ADX126" s="1251"/>
      <c r="ADY126" s="1251"/>
      <c r="ADZ126" s="1251"/>
      <c r="AEA126" s="1251"/>
      <c r="AEB126" s="1251"/>
      <c r="AEC126" s="1251"/>
      <c r="AED126" s="1251"/>
      <c r="AEE126" s="1251"/>
      <c r="AEF126" s="1251"/>
      <c r="AEG126" s="1251"/>
      <c r="AEH126" s="1251"/>
      <c r="AEI126" s="1251"/>
      <c r="AEJ126" s="1251"/>
      <c r="AEK126" s="1251"/>
      <c r="AEL126" s="1251"/>
      <c r="AEM126" s="1251"/>
      <c r="AEN126" s="1251"/>
      <c r="AEO126" s="1251"/>
      <c r="AEP126" s="1251"/>
      <c r="AEQ126" s="1251"/>
      <c r="AER126" s="1251"/>
      <c r="AES126" s="1251"/>
      <c r="AET126" s="1251"/>
      <c r="AEU126" s="1251"/>
      <c r="AEV126" s="1251"/>
      <c r="AEW126" s="1251"/>
      <c r="AEX126" s="1251"/>
      <c r="AEY126" s="1251"/>
      <c r="AEZ126" s="1251"/>
      <c r="AFA126" s="1251"/>
      <c r="AFB126" s="1251"/>
      <c r="AFC126" s="1251"/>
      <c r="AFD126" s="1251"/>
      <c r="AFE126" s="1251"/>
      <c r="AFF126" s="1251"/>
      <c r="AFG126" s="1251"/>
      <c r="AFH126" s="1251"/>
      <c r="AFI126" s="1251"/>
      <c r="AFJ126" s="1251"/>
      <c r="AFK126" s="1251"/>
      <c r="AFL126" s="1251"/>
      <c r="AFM126" s="1251"/>
      <c r="AFN126" s="1251"/>
      <c r="AFO126" s="1251"/>
      <c r="AFP126" s="1251"/>
      <c r="AFQ126" s="1251"/>
      <c r="AFR126" s="1251"/>
      <c r="AFS126" s="1251"/>
      <c r="AFT126" s="1251"/>
      <c r="AFU126" s="1251"/>
      <c r="AFV126" s="1251"/>
      <c r="AFW126" s="1251"/>
      <c r="AFX126" s="1251"/>
      <c r="AFY126" s="1251"/>
      <c r="AFZ126" s="1251"/>
      <c r="AGA126" s="1251"/>
      <c r="AGB126" s="1251"/>
      <c r="AGC126" s="1251"/>
      <c r="AGD126" s="1251"/>
      <c r="AGE126" s="1251"/>
      <c r="AGF126" s="1251"/>
      <c r="AGG126" s="1251"/>
      <c r="AGH126" s="1251"/>
      <c r="AGI126" s="1251"/>
      <c r="AGJ126" s="1251"/>
      <c r="AGK126" s="1251"/>
      <c r="AGL126" s="1251"/>
      <c r="AGM126" s="1251"/>
      <c r="AGN126" s="1251"/>
      <c r="AGO126" s="1251"/>
      <c r="AGP126" s="1251"/>
      <c r="AGQ126" s="1251"/>
      <c r="AGR126" s="1251"/>
      <c r="AGS126" s="1251"/>
      <c r="AGT126" s="1251"/>
      <c r="AGU126" s="1251"/>
      <c r="AGV126" s="1251"/>
      <c r="AGW126" s="1251"/>
      <c r="AGX126" s="1251"/>
      <c r="AGY126" s="1251"/>
      <c r="AGZ126" s="1251"/>
      <c r="AHA126" s="1251"/>
      <c r="AHB126" s="1251"/>
      <c r="AHC126" s="1251"/>
      <c r="AHD126" s="1251"/>
      <c r="AHE126" s="1251"/>
      <c r="AHF126" s="1251"/>
      <c r="AHG126" s="1251"/>
      <c r="AHH126" s="1251"/>
      <c r="AHI126" s="1251"/>
      <c r="AHJ126" s="1251"/>
      <c r="AHK126" s="1251"/>
      <c r="AHL126" s="1251"/>
      <c r="AHM126" s="1251"/>
      <c r="AHN126" s="1251"/>
      <c r="AHO126" s="1251"/>
      <c r="AHP126" s="1251"/>
      <c r="AHQ126" s="1251"/>
      <c r="AHR126" s="1251"/>
      <c r="AHS126" s="1251"/>
      <c r="AHT126" s="1251"/>
      <c r="AHU126" s="1251"/>
      <c r="AHV126" s="1251"/>
      <c r="AHW126" s="1251"/>
      <c r="AHX126" s="1251"/>
      <c r="AHY126" s="1251"/>
      <c r="AHZ126" s="1251"/>
      <c r="AIA126" s="1251"/>
      <c r="AIB126" s="1251"/>
      <c r="AIC126" s="1251"/>
      <c r="AID126" s="1251"/>
      <c r="AIE126" s="1251"/>
      <c r="AIF126" s="1251"/>
      <c r="AIG126" s="1251"/>
      <c r="AIH126" s="1251"/>
      <c r="AII126" s="1251"/>
      <c r="AIJ126" s="1251"/>
      <c r="AIK126" s="1251"/>
      <c r="AIL126" s="1251"/>
      <c r="AIM126" s="1251"/>
      <c r="AIN126" s="1251"/>
      <c r="AIO126" s="1251"/>
      <c r="AIP126" s="1251"/>
      <c r="AIQ126" s="1251"/>
      <c r="AIR126" s="1251"/>
      <c r="AIS126" s="1251"/>
      <c r="AIT126" s="1251"/>
      <c r="AIU126" s="1251"/>
      <c r="AIV126" s="1251"/>
      <c r="AIW126" s="1251"/>
      <c r="AIX126" s="1251"/>
      <c r="AIY126" s="1251"/>
      <c r="AIZ126" s="1251"/>
      <c r="AJA126" s="1251"/>
      <c r="AJB126" s="1251"/>
      <c r="AJC126" s="1251"/>
      <c r="AJD126" s="1251"/>
      <c r="AJE126" s="1251"/>
      <c r="AJF126" s="1251"/>
      <c r="AJG126" s="1251"/>
      <c r="AJH126" s="1251"/>
      <c r="AJI126" s="1251"/>
      <c r="AJJ126" s="1251"/>
      <c r="AJK126" s="1251"/>
      <c r="AJL126" s="1251"/>
      <c r="AJM126" s="1251"/>
      <c r="AJN126" s="1251"/>
      <c r="AJO126" s="1251"/>
      <c r="AJP126" s="1251"/>
      <c r="AJQ126" s="1251"/>
      <c r="AJR126" s="1251"/>
      <c r="AJS126" s="1251"/>
      <c r="AJT126" s="1251"/>
      <c r="AJU126" s="1251"/>
      <c r="AJV126" s="1251"/>
      <c r="AJW126" s="1251"/>
      <c r="AJX126" s="1251"/>
      <c r="AJY126" s="1251"/>
      <c r="AJZ126" s="1251"/>
      <c r="AKA126" s="1251"/>
      <c r="AKB126" s="1251"/>
      <c r="AKC126" s="1251"/>
      <c r="AKD126" s="1251"/>
      <c r="AKE126" s="1251"/>
      <c r="AKF126" s="1251"/>
      <c r="AKG126" s="1251"/>
      <c r="AKH126" s="1251"/>
      <c r="AKI126" s="1251"/>
      <c r="AKJ126" s="1251"/>
      <c r="AKK126" s="1251"/>
      <c r="AKL126" s="1251"/>
      <c r="AKM126" s="1251"/>
      <c r="AKN126" s="1251"/>
      <c r="AKO126" s="1251"/>
      <c r="AKP126" s="1251"/>
      <c r="AKQ126" s="1251"/>
      <c r="AKR126" s="1251"/>
      <c r="AKS126" s="1251"/>
      <c r="AKT126" s="1251"/>
      <c r="AKU126" s="1251"/>
      <c r="AKV126" s="1251"/>
      <c r="AKW126" s="1251"/>
      <c r="AKX126" s="1251"/>
      <c r="AKY126" s="1251"/>
      <c r="AKZ126" s="1251"/>
      <c r="ALA126" s="1251"/>
      <c r="ALB126" s="1251"/>
      <c r="ALC126" s="1251"/>
      <c r="ALD126" s="1251"/>
      <c r="ALE126" s="1251"/>
      <c r="ALF126" s="1251"/>
      <c r="ALG126" s="1251"/>
      <c r="ALH126" s="1251"/>
      <c r="ALI126" s="1251"/>
      <c r="ALJ126" s="1251"/>
      <c r="ALK126" s="1251"/>
      <c r="ALL126" s="1251"/>
      <c r="ALM126" s="1251"/>
      <c r="ALN126" s="1251"/>
      <c r="ALO126" s="1251"/>
      <c r="ALP126" s="1251"/>
      <c r="ALQ126" s="1251"/>
      <c r="ALR126" s="1251"/>
      <c r="ALS126" s="1251"/>
      <c r="ALT126" s="1251"/>
      <c r="ALU126" s="1251"/>
      <c r="ALV126" s="1251"/>
      <c r="ALW126" s="1251"/>
      <c r="ALX126" s="1251"/>
      <c r="ALY126" s="1251"/>
      <c r="ALZ126" s="1251"/>
      <c r="AMA126" s="1251"/>
      <c r="AMB126" s="1251"/>
      <c r="AMC126" s="1251"/>
      <c r="AMD126" s="1251"/>
      <c r="AME126" s="1251"/>
      <c r="AMF126" s="1251"/>
      <c r="AMG126" s="1251"/>
      <c r="AMH126" s="1251"/>
      <c r="AMI126" s="1251"/>
      <c r="AMJ126" s="1251"/>
      <c r="AMK126" s="1251"/>
      <c r="AML126" s="1251"/>
      <c r="AMM126" s="1251"/>
      <c r="AMN126" s="1251"/>
      <c r="AMO126" s="1251"/>
      <c r="AMP126" s="1251"/>
      <c r="AMQ126" s="1251"/>
      <c r="AMR126" s="1251"/>
      <c r="AMS126" s="1251"/>
      <c r="AMT126" s="1251"/>
      <c r="AMU126" s="1251"/>
      <c r="AMV126" s="1251"/>
      <c r="AMW126" s="1251"/>
      <c r="AMX126" s="1251"/>
      <c r="AMY126" s="1251"/>
      <c r="AMZ126" s="1251"/>
      <c r="ANA126" s="1251"/>
      <c r="ANB126" s="1251"/>
      <c r="ANC126" s="1251"/>
      <c r="AND126" s="1251"/>
      <c r="ANE126" s="1251"/>
      <c r="ANF126" s="1251"/>
      <c r="ANG126" s="1251"/>
      <c r="ANH126" s="1251"/>
      <c r="ANI126" s="1251"/>
      <c r="ANJ126" s="1251"/>
      <c r="ANK126" s="1251"/>
      <c r="ANL126" s="1251"/>
      <c r="ANM126" s="1251"/>
      <c r="ANN126" s="1251"/>
      <c r="ANO126" s="1251"/>
      <c r="ANP126" s="1251"/>
      <c r="ANQ126" s="1251"/>
      <c r="ANR126" s="1251"/>
      <c r="ANS126" s="1251"/>
      <c r="ANT126" s="1251"/>
      <c r="ANU126" s="1251"/>
      <c r="ANV126" s="1251"/>
      <c r="ANW126" s="1251"/>
      <c r="ANX126" s="1251"/>
      <c r="ANY126" s="1251"/>
      <c r="ANZ126" s="1251"/>
      <c r="AOA126" s="1251"/>
      <c r="AOB126" s="1251"/>
      <c r="AOC126" s="1251"/>
      <c r="AOD126" s="1251"/>
      <c r="AOE126" s="1251"/>
      <c r="AOF126" s="1251"/>
      <c r="AOG126" s="1251"/>
      <c r="AOH126" s="1251"/>
      <c r="AOI126" s="1251"/>
      <c r="AOJ126" s="1251"/>
      <c r="AOK126" s="1251"/>
      <c r="AOL126" s="1251"/>
      <c r="AOM126" s="1251"/>
      <c r="AON126" s="1251"/>
      <c r="AOO126" s="1251"/>
      <c r="AOP126" s="1251"/>
      <c r="AOQ126" s="1251"/>
      <c r="AOR126" s="1251"/>
      <c r="AOS126" s="1251"/>
      <c r="AOT126" s="1251"/>
      <c r="AOU126" s="1251"/>
      <c r="AOV126" s="1251"/>
      <c r="AOW126" s="1251"/>
      <c r="AOX126" s="1251"/>
      <c r="AOY126" s="1251"/>
      <c r="AOZ126" s="1251"/>
      <c r="APA126" s="1251"/>
      <c r="APB126" s="1251"/>
      <c r="APC126" s="1251"/>
      <c r="APD126" s="1251"/>
      <c r="APE126" s="1251"/>
      <c r="APF126" s="1251"/>
      <c r="APG126" s="1251"/>
      <c r="APH126" s="1251"/>
      <c r="API126" s="1251"/>
      <c r="APJ126" s="1251"/>
      <c r="APK126" s="1251"/>
      <c r="APL126" s="1251"/>
      <c r="APM126" s="1251"/>
      <c r="APN126" s="1251"/>
      <c r="APO126" s="1251"/>
      <c r="APP126" s="1251"/>
      <c r="APQ126" s="1251"/>
      <c r="APR126" s="1251"/>
      <c r="APS126" s="1251"/>
      <c r="APT126" s="1251"/>
      <c r="APU126" s="1251"/>
      <c r="APV126" s="1251"/>
      <c r="APW126" s="1251"/>
      <c r="APX126" s="1251"/>
      <c r="APY126" s="1251"/>
      <c r="APZ126" s="1251"/>
      <c r="AQA126" s="1251"/>
      <c r="AQB126" s="1251"/>
      <c r="AQC126" s="1251"/>
      <c r="AQD126" s="1251"/>
      <c r="AQE126" s="1251"/>
      <c r="AQF126" s="1251"/>
      <c r="AQG126" s="1251"/>
      <c r="AQH126" s="1251"/>
      <c r="AQI126" s="1251"/>
      <c r="AQJ126" s="1251"/>
      <c r="AQK126" s="1251"/>
      <c r="AQL126" s="1251"/>
      <c r="AQM126" s="1251"/>
      <c r="AQN126" s="1251"/>
      <c r="AQO126" s="1251"/>
      <c r="AQP126" s="1251"/>
      <c r="AQQ126" s="1251"/>
      <c r="AQR126" s="1251"/>
      <c r="AQS126" s="1251"/>
      <c r="AQT126" s="1251"/>
      <c r="AQU126" s="1251"/>
      <c r="AQV126" s="1251"/>
      <c r="AQW126" s="1251"/>
      <c r="AQX126" s="1251"/>
      <c r="AQY126" s="1251"/>
      <c r="AQZ126" s="1251"/>
      <c r="ARA126" s="1251"/>
      <c r="ARB126" s="1251"/>
      <c r="ARC126" s="1251"/>
      <c r="ARD126" s="1251"/>
      <c r="ARE126" s="1251"/>
      <c r="ARF126" s="1251"/>
      <c r="ARG126" s="1251"/>
      <c r="ARH126" s="1251"/>
      <c r="ARI126" s="1251"/>
      <c r="ARJ126" s="1251"/>
      <c r="ARK126" s="1251"/>
      <c r="ARL126" s="1251"/>
      <c r="ARM126" s="1251"/>
      <c r="ARN126" s="1251"/>
      <c r="ARO126" s="1251"/>
      <c r="ARP126" s="1251"/>
      <c r="ARQ126" s="1251"/>
      <c r="ARR126" s="1251"/>
      <c r="ARS126" s="1251"/>
      <c r="ART126" s="1251"/>
      <c r="ARU126" s="1251"/>
      <c r="ARV126" s="1251"/>
      <c r="ARW126" s="1251"/>
      <c r="ARX126" s="1251"/>
      <c r="ARY126" s="1251"/>
      <c r="ARZ126" s="1251"/>
      <c r="ASA126" s="1251"/>
      <c r="ASB126" s="1251"/>
      <c r="ASC126" s="1251"/>
      <c r="ASD126" s="1251"/>
      <c r="ASE126" s="1251"/>
      <c r="ASF126" s="1251"/>
      <c r="ASG126" s="1251"/>
      <c r="ASH126" s="1251"/>
      <c r="ASI126" s="1251"/>
      <c r="ASJ126" s="1251"/>
      <c r="ASK126" s="1251"/>
      <c r="ASL126" s="1251"/>
      <c r="ASM126" s="1251"/>
      <c r="ASN126" s="1251"/>
      <c r="ASO126" s="1251"/>
      <c r="ASP126" s="1251"/>
      <c r="ASQ126" s="1251"/>
      <c r="ASR126" s="1251"/>
      <c r="ASS126" s="1251"/>
      <c r="AST126" s="1251"/>
      <c r="ASU126" s="1251"/>
      <c r="ASV126" s="1251"/>
      <c r="ASW126" s="1251"/>
      <c r="ASX126" s="1251"/>
      <c r="ASY126" s="1251"/>
      <c r="ASZ126" s="1251"/>
      <c r="ATA126" s="1251"/>
      <c r="ATB126" s="1251"/>
      <c r="ATC126" s="1251"/>
      <c r="ATD126" s="1251"/>
      <c r="ATE126" s="1251"/>
      <c r="ATF126" s="1251"/>
      <c r="ATG126" s="1251"/>
      <c r="ATH126" s="1251"/>
      <c r="ATI126" s="1251"/>
      <c r="ATJ126" s="1251"/>
      <c r="ATK126" s="1251"/>
      <c r="ATL126" s="1251"/>
      <c r="ATM126" s="1251"/>
      <c r="ATN126" s="1251"/>
      <c r="ATO126" s="1251"/>
      <c r="ATP126" s="1251"/>
      <c r="ATQ126" s="1251"/>
      <c r="ATR126" s="1251"/>
      <c r="ATS126" s="1251"/>
      <c r="ATT126" s="1251"/>
      <c r="ATU126" s="1251"/>
      <c r="ATV126" s="1251"/>
      <c r="ATW126" s="1251"/>
      <c r="ATX126" s="1251"/>
      <c r="ATY126" s="1251"/>
      <c r="ATZ126" s="1251"/>
      <c r="AUA126" s="1251"/>
      <c r="AUB126" s="1251"/>
      <c r="AUC126" s="1251"/>
      <c r="AUD126" s="1251"/>
      <c r="AUE126" s="1251"/>
      <c r="AUF126" s="1251"/>
      <c r="AUG126" s="1251"/>
      <c r="AUH126" s="1251"/>
      <c r="AUI126" s="1251"/>
      <c r="AUJ126" s="1251"/>
      <c r="AUK126" s="1251"/>
      <c r="AUL126" s="1251"/>
      <c r="AUM126" s="1251"/>
      <c r="AUN126" s="1251"/>
      <c r="AUO126" s="1251"/>
      <c r="AUP126" s="1251"/>
      <c r="AUQ126" s="1251"/>
      <c r="AUR126" s="1251"/>
      <c r="AUS126" s="1251"/>
      <c r="AUT126" s="1251"/>
      <c r="AUU126" s="1251"/>
      <c r="AUV126" s="1251"/>
      <c r="AUW126" s="1251"/>
      <c r="AUX126" s="1251"/>
      <c r="AUY126" s="1251"/>
      <c r="AUZ126" s="1251"/>
      <c r="AVA126" s="1251"/>
      <c r="AVB126" s="1251"/>
      <c r="AVC126" s="1251"/>
      <c r="AVD126" s="1251"/>
      <c r="AVE126" s="1251"/>
      <c r="AVF126" s="1251"/>
      <c r="AVG126" s="1251"/>
      <c r="AVH126" s="1251"/>
      <c r="AVI126" s="1251"/>
      <c r="AVJ126" s="1251"/>
      <c r="AVK126" s="1251"/>
      <c r="AVL126" s="1251"/>
      <c r="AVM126" s="1251"/>
      <c r="AVN126" s="1251"/>
      <c r="AVO126" s="1251"/>
      <c r="AVP126" s="1251"/>
      <c r="AVQ126" s="1251"/>
      <c r="AVR126" s="1251"/>
      <c r="AVS126" s="1251"/>
      <c r="AVT126" s="1251"/>
      <c r="AVU126" s="1251"/>
      <c r="AVV126" s="1251"/>
      <c r="AVW126" s="1251"/>
      <c r="AVX126" s="1251"/>
      <c r="AVY126" s="1251"/>
      <c r="AVZ126" s="1251"/>
      <c r="AWA126" s="1251"/>
      <c r="AWB126" s="1251"/>
      <c r="AWC126" s="1251"/>
      <c r="AWD126" s="1251"/>
      <c r="AWE126" s="1251"/>
      <c r="AWF126" s="1251"/>
      <c r="AWG126" s="1251"/>
      <c r="AWH126" s="1251"/>
      <c r="AWI126" s="1251"/>
      <c r="AWJ126" s="1251"/>
      <c r="AWK126" s="1251"/>
      <c r="AWL126" s="1251"/>
      <c r="AWM126" s="1251"/>
      <c r="AWN126" s="1251"/>
      <c r="AWO126" s="1251"/>
      <c r="AWP126" s="1251"/>
      <c r="AWQ126" s="1251"/>
      <c r="AWR126" s="1251"/>
      <c r="AWS126" s="1251"/>
      <c r="AWT126" s="1251"/>
      <c r="AWU126" s="1251"/>
      <c r="AWV126" s="1251"/>
      <c r="AWW126" s="1251"/>
      <c r="AWX126" s="1251"/>
      <c r="AWY126" s="1251"/>
      <c r="AWZ126" s="1251"/>
      <c r="AXA126" s="1251"/>
      <c r="AXB126" s="1251"/>
      <c r="AXC126" s="1251"/>
      <c r="AXD126" s="1251"/>
      <c r="AXE126" s="1251"/>
      <c r="AXF126" s="1251"/>
      <c r="AXG126" s="1251"/>
      <c r="AXH126" s="1251"/>
      <c r="AXI126" s="1251"/>
      <c r="AXJ126" s="1251"/>
      <c r="AXK126" s="1251"/>
      <c r="AXL126" s="1251"/>
      <c r="AXM126" s="1251"/>
      <c r="AXN126" s="1251"/>
      <c r="AXO126" s="1251"/>
      <c r="AXP126" s="1251"/>
      <c r="AXQ126" s="1251"/>
      <c r="AXR126" s="1251"/>
      <c r="AXS126" s="1251"/>
      <c r="AXT126" s="1251"/>
      <c r="AXU126" s="1251"/>
      <c r="AXV126" s="1251"/>
      <c r="AXW126" s="1251"/>
      <c r="AXX126" s="1251"/>
      <c r="AXY126" s="1251"/>
      <c r="AXZ126" s="1251"/>
      <c r="AYA126" s="1251"/>
      <c r="AYB126" s="1251"/>
      <c r="AYC126" s="1251"/>
      <c r="AYD126" s="1251"/>
      <c r="AYE126" s="1251"/>
      <c r="AYF126" s="1251"/>
      <c r="AYG126" s="1251"/>
      <c r="AYH126" s="1251"/>
      <c r="AYI126" s="1251"/>
      <c r="AYJ126" s="1251"/>
      <c r="AYK126" s="1251"/>
      <c r="AYL126" s="1251"/>
      <c r="AYM126" s="1251"/>
      <c r="AYN126" s="1251"/>
      <c r="AYO126" s="1251"/>
      <c r="AYP126" s="1251"/>
      <c r="AYQ126" s="1251"/>
      <c r="AYR126" s="1251"/>
      <c r="AYS126" s="1251"/>
      <c r="AYT126" s="1251"/>
      <c r="AYU126" s="1251"/>
      <c r="AYV126" s="1251"/>
      <c r="AYW126" s="1251"/>
      <c r="AYX126" s="1251"/>
      <c r="AYY126" s="1251"/>
      <c r="AYZ126" s="1251"/>
      <c r="AZA126" s="1251"/>
      <c r="AZB126" s="1251"/>
      <c r="AZC126" s="1251"/>
      <c r="AZD126" s="1251"/>
      <c r="AZE126" s="1251"/>
      <c r="AZF126" s="1251"/>
      <c r="AZG126" s="1251"/>
      <c r="AZH126" s="1251"/>
      <c r="AZI126" s="1251"/>
      <c r="AZJ126" s="1251"/>
      <c r="AZK126" s="1251"/>
      <c r="AZL126" s="1251"/>
      <c r="AZM126" s="1251"/>
      <c r="AZN126" s="1251"/>
      <c r="AZO126" s="1251"/>
      <c r="AZP126" s="1251"/>
      <c r="AZQ126" s="1251"/>
      <c r="AZR126" s="1251"/>
      <c r="AZS126" s="1251"/>
      <c r="AZT126" s="1251"/>
      <c r="AZU126" s="1251"/>
      <c r="AZV126" s="1251"/>
      <c r="AZW126" s="1251"/>
      <c r="AZX126" s="1251"/>
      <c r="AZY126" s="1251"/>
      <c r="AZZ126" s="1251"/>
      <c r="BAA126" s="1251"/>
      <c r="BAB126" s="1251"/>
      <c r="BAC126" s="1251"/>
      <c r="BAD126" s="1251"/>
      <c r="BAE126" s="1251"/>
      <c r="BAF126" s="1251"/>
      <c r="BAG126" s="1251"/>
      <c r="BAH126" s="1251"/>
      <c r="BAI126" s="1251"/>
      <c r="BAJ126" s="1251"/>
      <c r="BAK126" s="1251"/>
      <c r="BAL126" s="1251"/>
      <c r="BAM126" s="1251"/>
      <c r="BAN126" s="1251"/>
      <c r="BAO126" s="1251"/>
      <c r="BAP126" s="1251"/>
      <c r="BAQ126" s="1251"/>
      <c r="BAR126" s="1251"/>
      <c r="BAS126" s="1251"/>
      <c r="BAT126" s="1251"/>
      <c r="BAU126" s="1251"/>
      <c r="BAV126" s="1251"/>
      <c r="BAW126" s="1251"/>
      <c r="BAX126" s="1251"/>
      <c r="BAY126" s="1251"/>
      <c r="BAZ126" s="1251"/>
      <c r="BBA126" s="1251"/>
      <c r="BBB126" s="1251"/>
      <c r="BBC126" s="1251"/>
      <c r="BBD126" s="1251"/>
      <c r="BBE126" s="1251"/>
      <c r="BBF126" s="1251"/>
      <c r="BBG126" s="1251"/>
      <c r="BBH126" s="1251"/>
      <c r="BBI126" s="1251"/>
      <c r="BBJ126" s="1251"/>
      <c r="BBK126" s="1251"/>
      <c r="BBL126" s="1251"/>
      <c r="BBM126" s="1251"/>
      <c r="BBN126" s="1251"/>
      <c r="BBO126" s="1251"/>
      <c r="BBP126" s="1251"/>
      <c r="BBQ126" s="1251"/>
      <c r="BBR126" s="1251"/>
      <c r="BBS126" s="1251"/>
      <c r="BBT126" s="1251"/>
      <c r="BBU126" s="1251"/>
      <c r="BBV126" s="1251"/>
      <c r="BBW126" s="1251"/>
      <c r="BBX126" s="1251"/>
      <c r="BBY126" s="1251"/>
      <c r="BBZ126" s="1251"/>
      <c r="BCA126" s="1251"/>
      <c r="BCB126" s="1251"/>
      <c r="BCC126" s="1251"/>
      <c r="BCD126" s="1251"/>
      <c r="BCE126" s="1251"/>
      <c r="BCF126" s="1251"/>
      <c r="BCG126" s="1251"/>
      <c r="BCH126" s="1251"/>
      <c r="BCI126" s="1251"/>
      <c r="BCJ126" s="1251"/>
      <c r="BCK126" s="1251"/>
      <c r="BCL126" s="1251"/>
      <c r="BCM126" s="1251"/>
      <c r="BCN126" s="1251"/>
      <c r="BCO126" s="1251"/>
      <c r="BCP126" s="1251"/>
      <c r="BCQ126" s="1251"/>
      <c r="BCR126" s="1251"/>
      <c r="BCS126" s="1251"/>
      <c r="BCT126" s="1251"/>
      <c r="BCU126" s="1251"/>
      <c r="BCV126" s="1251"/>
      <c r="BCW126" s="1251"/>
      <c r="BCX126" s="1251"/>
      <c r="BCY126" s="1251"/>
      <c r="BCZ126" s="1251"/>
      <c r="BDA126" s="1251"/>
      <c r="BDB126" s="1251"/>
      <c r="BDC126" s="1251"/>
      <c r="BDD126" s="1251"/>
      <c r="BDE126" s="1251"/>
      <c r="BDF126" s="1251"/>
      <c r="BDG126" s="1251"/>
      <c r="BDH126" s="1251"/>
      <c r="BDI126" s="1251"/>
      <c r="BDJ126" s="1251"/>
      <c r="BDK126" s="1251"/>
      <c r="BDL126" s="1251"/>
      <c r="BDM126" s="1251"/>
      <c r="BDN126" s="1251"/>
      <c r="BDO126" s="1251"/>
      <c r="BDP126" s="1251"/>
      <c r="BDQ126" s="1251"/>
      <c r="BDR126" s="1251"/>
      <c r="BDS126" s="1251"/>
      <c r="BDT126" s="1251"/>
      <c r="BDU126" s="1251"/>
      <c r="BDV126" s="1251"/>
      <c r="BDW126" s="1251"/>
      <c r="BDX126" s="1251"/>
      <c r="BDY126" s="1251"/>
      <c r="BDZ126" s="1251"/>
      <c r="BEA126" s="1251"/>
      <c r="BEB126" s="1251"/>
      <c r="BEC126" s="1251"/>
      <c r="BED126" s="1251"/>
      <c r="BEE126" s="1251"/>
      <c r="BEF126" s="1251"/>
      <c r="BEG126" s="1251"/>
      <c r="BEH126" s="1251"/>
      <c r="BEI126" s="1251"/>
      <c r="BEJ126" s="1251"/>
      <c r="BEK126" s="1251"/>
      <c r="BEL126" s="1251"/>
      <c r="BEM126" s="1251"/>
      <c r="BEN126" s="1251"/>
      <c r="BEO126" s="1251"/>
      <c r="BEP126" s="1251"/>
      <c r="BEQ126" s="1251"/>
      <c r="BER126" s="1251"/>
      <c r="BES126" s="1251"/>
      <c r="BET126" s="1251"/>
      <c r="BEU126" s="1251"/>
      <c r="BEV126" s="1251"/>
      <c r="BEW126" s="1251"/>
      <c r="BEX126" s="1251"/>
      <c r="BEY126" s="1251"/>
      <c r="BEZ126" s="1251"/>
      <c r="BFA126" s="1251"/>
      <c r="BFB126" s="1251"/>
      <c r="BFC126" s="1251"/>
      <c r="BFD126" s="1251"/>
      <c r="BFE126" s="1251"/>
      <c r="BFF126" s="1251"/>
      <c r="BFG126" s="1251"/>
      <c r="BFH126" s="1251"/>
      <c r="BFI126" s="1251"/>
      <c r="BFJ126" s="1251"/>
      <c r="BFK126" s="1251"/>
      <c r="BFL126" s="1251"/>
      <c r="BFM126" s="1251"/>
      <c r="BFN126" s="1251"/>
      <c r="BFO126" s="1251"/>
      <c r="BFP126" s="1251"/>
      <c r="BFQ126" s="1251"/>
      <c r="BFR126" s="1251"/>
      <c r="BFS126" s="1251"/>
      <c r="BFT126" s="1251"/>
      <c r="BFU126" s="1251"/>
      <c r="BFV126" s="1251"/>
      <c r="BFW126" s="1251"/>
      <c r="BFX126" s="1251"/>
      <c r="BFY126" s="1251"/>
      <c r="BFZ126" s="1251"/>
      <c r="BGA126" s="1251"/>
      <c r="BGB126" s="1251"/>
      <c r="BGC126" s="1251"/>
      <c r="BGD126" s="1251"/>
      <c r="BGE126" s="1251"/>
      <c r="BGF126" s="1251"/>
      <c r="BGG126" s="1251"/>
      <c r="BGH126" s="1251"/>
      <c r="BGI126" s="1251"/>
      <c r="BGJ126" s="1251"/>
      <c r="BGK126" s="1251"/>
      <c r="BGL126" s="1251"/>
      <c r="BGM126" s="1251"/>
      <c r="BGN126" s="1251"/>
      <c r="BGO126" s="1251"/>
      <c r="BGP126" s="1251"/>
      <c r="BGQ126" s="1251"/>
      <c r="BGR126" s="1251"/>
      <c r="BGS126" s="1251"/>
      <c r="BGT126" s="1251"/>
      <c r="BGU126" s="1251"/>
      <c r="BGV126" s="1251"/>
      <c r="BGW126" s="1251"/>
      <c r="BGX126" s="1251"/>
      <c r="BGY126" s="1251"/>
      <c r="BGZ126" s="1251"/>
      <c r="BHA126" s="1251"/>
      <c r="BHB126" s="1251"/>
      <c r="BHC126" s="1251"/>
      <c r="BHD126" s="1251"/>
      <c r="BHE126" s="1251"/>
      <c r="BHF126" s="1251"/>
      <c r="BHG126" s="1251"/>
      <c r="BHH126" s="1251"/>
      <c r="BHI126" s="1251"/>
      <c r="BHJ126" s="1251"/>
      <c r="BHK126" s="1251"/>
      <c r="BHL126" s="1251"/>
      <c r="BHM126" s="1251"/>
      <c r="BHN126" s="1251"/>
      <c r="BHO126" s="1251"/>
      <c r="BHP126" s="1251"/>
      <c r="BHQ126" s="1251"/>
      <c r="BHR126" s="1251"/>
      <c r="BHS126" s="1251"/>
      <c r="BHT126" s="1251"/>
      <c r="BHU126" s="1251"/>
      <c r="BHV126" s="1251"/>
      <c r="BHW126" s="1251"/>
      <c r="BHX126" s="1251"/>
      <c r="BHY126" s="1251"/>
      <c r="BHZ126" s="1251"/>
      <c r="BIA126" s="1251"/>
      <c r="BIB126" s="1251"/>
      <c r="BIC126" s="1251"/>
      <c r="BID126" s="1251"/>
      <c r="BIE126" s="1251"/>
      <c r="BIF126" s="1251"/>
      <c r="BIG126" s="1251"/>
      <c r="BIH126" s="1251"/>
      <c r="BII126" s="1251"/>
      <c r="BIJ126" s="1251"/>
      <c r="BIK126" s="1251"/>
      <c r="BIL126" s="1251"/>
      <c r="BIM126" s="1251"/>
      <c r="BIN126" s="1251"/>
      <c r="BIO126" s="1251"/>
      <c r="BIP126" s="1251"/>
      <c r="BIQ126" s="1251"/>
      <c r="BIR126" s="1251"/>
      <c r="BIS126" s="1251"/>
      <c r="BIT126" s="1251"/>
      <c r="BIU126" s="1251"/>
      <c r="BIV126" s="1251"/>
      <c r="BIW126" s="1251"/>
      <c r="BIX126" s="1251"/>
      <c r="BIY126" s="1251"/>
      <c r="BIZ126" s="1251"/>
      <c r="BJA126" s="1251"/>
      <c r="BJB126" s="1251"/>
      <c r="BJC126" s="1251"/>
      <c r="BJD126" s="1251"/>
      <c r="BJE126" s="1251"/>
      <c r="BJF126" s="1251"/>
      <c r="BJG126" s="1251"/>
      <c r="BJH126" s="1251"/>
      <c r="BJI126" s="1251"/>
      <c r="BJJ126" s="1251"/>
      <c r="BJK126" s="1251"/>
      <c r="BJL126" s="1251"/>
      <c r="BJM126" s="1251"/>
      <c r="BJN126" s="1251"/>
      <c r="BJO126" s="1251"/>
      <c r="BJP126" s="1251"/>
      <c r="BJQ126" s="1251"/>
      <c r="BJR126" s="1251"/>
      <c r="BJS126" s="1251"/>
      <c r="BJT126" s="1251"/>
      <c r="BJU126" s="1251"/>
      <c r="BJV126" s="1251"/>
      <c r="BJW126" s="1251"/>
      <c r="BJX126" s="1251"/>
      <c r="BJY126" s="1251"/>
      <c r="BJZ126" s="1251"/>
      <c r="BKA126" s="1251"/>
      <c r="BKB126" s="1251"/>
      <c r="BKC126" s="1251"/>
      <c r="BKD126" s="1251"/>
      <c r="BKE126" s="1251"/>
      <c r="BKF126" s="1251"/>
      <c r="BKG126" s="1251"/>
      <c r="BKH126" s="1251"/>
      <c r="BKI126" s="1251"/>
      <c r="BKJ126" s="1251"/>
      <c r="BKK126" s="1251"/>
      <c r="BKL126" s="1251"/>
      <c r="BKM126" s="1251"/>
      <c r="BKN126" s="1251"/>
      <c r="BKO126" s="1251"/>
      <c r="BKP126" s="1251"/>
      <c r="BKQ126" s="1251"/>
      <c r="BKR126" s="1251"/>
      <c r="BKS126" s="1251"/>
      <c r="BKT126" s="1251"/>
      <c r="BKU126" s="1251"/>
      <c r="BKV126" s="1251"/>
      <c r="BKW126" s="1251"/>
      <c r="BKX126" s="1251"/>
      <c r="BKY126" s="1251"/>
      <c r="BKZ126" s="1251"/>
      <c r="BLA126" s="1251"/>
      <c r="BLB126" s="1251"/>
      <c r="BLC126" s="1251"/>
      <c r="BLD126" s="1251"/>
      <c r="BLE126" s="1251"/>
      <c r="BLF126" s="1251"/>
      <c r="BLG126" s="1251"/>
      <c r="BLH126" s="1251"/>
      <c r="BLI126" s="1251"/>
      <c r="BLJ126" s="1251"/>
      <c r="BLK126" s="1251"/>
      <c r="BLL126" s="1251"/>
      <c r="BLM126" s="1251"/>
      <c r="BLN126" s="1251"/>
      <c r="BLO126" s="1251"/>
      <c r="BLP126" s="1251"/>
      <c r="BLQ126" s="1251"/>
      <c r="BLR126" s="1251"/>
      <c r="BLS126" s="1251"/>
      <c r="BLT126" s="1251"/>
      <c r="BLU126" s="1251"/>
      <c r="BLV126" s="1251"/>
      <c r="BLW126" s="1251"/>
      <c r="BLX126" s="1251"/>
      <c r="BLY126" s="1251"/>
      <c r="BLZ126" s="1251"/>
      <c r="BMA126" s="1251"/>
      <c r="BMB126" s="1251"/>
      <c r="BMC126" s="1251"/>
      <c r="BMD126" s="1251"/>
      <c r="BME126" s="1251"/>
      <c r="BMF126" s="1251"/>
      <c r="BMG126" s="1251"/>
      <c r="BMH126" s="1251"/>
      <c r="BMI126" s="1251"/>
      <c r="BMJ126" s="1251"/>
      <c r="BMK126" s="1251"/>
      <c r="BML126" s="1251"/>
      <c r="BMM126" s="1251"/>
      <c r="BMN126" s="1251"/>
      <c r="BMO126" s="1251"/>
      <c r="BMP126" s="1251"/>
      <c r="BMQ126" s="1251"/>
      <c r="BMR126" s="1251"/>
      <c r="BMS126" s="1251"/>
      <c r="BMT126" s="1251"/>
      <c r="BMU126" s="1251"/>
      <c r="BMV126" s="1251"/>
      <c r="BMW126" s="1251"/>
      <c r="BMX126" s="1251"/>
      <c r="BMY126" s="1251"/>
      <c r="BMZ126" s="1251"/>
      <c r="BNA126" s="1251"/>
      <c r="BNB126" s="1251"/>
      <c r="BNC126" s="1251"/>
      <c r="BND126" s="1251"/>
      <c r="BNE126" s="1251"/>
      <c r="BNF126" s="1251"/>
      <c r="BNG126" s="1251"/>
      <c r="BNH126" s="1251"/>
      <c r="BNI126" s="1251"/>
      <c r="BNJ126" s="1251"/>
      <c r="BNK126" s="1251"/>
      <c r="BNL126" s="1251"/>
      <c r="BNM126" s="1251"/>
      <c r="BNN126" s="1251"/>
      <c r="BNO126" s="1251"/>
      <c r="BNP126" s="1251"/>
      <c r="BNQ126" s="1251"/>
      <c r="BNR126" s="1251"/>
      <c r="BNS126" s="1251"/>
      <c r="BNT126" s="1251"/>
      <c r="BNU126" s="1251"/>
      <c r="BNV126" s="1251"/>
      <c r="BNW126" s="1251"/>
      <c r="BNX126" s="1251"/>
      <c r="BNY126" s="1251"/>
      <c r="BNZ126" s="1251"/>
      <c r="BOA126" s="1251"/>
      <c r="BOB126" s="1251"/>
      <c r="BOC126" s="1251"/>
      <c r="BOD126" s="1251"/>
      <c r="BOE126" s="1251"/>
      <c r="BOF126" s="1251"/>
      <c r="BOG126" s="1251"/>
      <c r="BOH126" s="1251"/>
      <c r="BOI126" s="1251"/>
      <c r="BOJ126" s="1251"/>
      <c r="BOK126" s="1251"/>
      <c r="BOL126" s="1251"/>
      <c r="BOM126" s="1251"/>
      <c r="BON126" s="1251"/>
      <c r="BOO126" s="1251"/>
      <c r="BOP126" s="1251"/>
      <c r="BOQ126" s="1251"/>
      <c r="BOR126" s="1251"/>
      <c r="BOS126" s="1251"/>
      <c r="BOT126" s="1251"/>
      <c r="BOU126" s="1251"/>
      <c r="BOV126" s="1251"/>
      <c r="BOW126" s="1251"/>
      <c r="BOX126" s="1251"/>
      <c r="BOY126" s="1251"/>
      <c r="BOZ126" s="1251"/>
      <c r="BPA126" s="1251"/>
      <c r="BPB126" s="1251"/>
      <c r="BPC126" s="1251"/>
      <c r="BPD126" s="1251"/>
      <c r="BPE126" s="1251"/>
      <c r="BPF126" s="1251"/>
      <c r="BPG126" s="1251"/>
      <c r="BPH126" s="1251"/>
      <c r="BPI126" s="1251"/>
      <c r="BPJ126" s="1251"/>
      <c r="BPK126" s="1251"/>
      <c r="BPL126" s="1251"/>
      <c r="BPM126" s="1251"/>
      <c r="BPN126" s="1251"/>
      <c r="BPO126" s="1251"/>
      <c r="BPP126" s="1251"/>
      <c r="BPQ126" s="1251"/>
      <c r="BPR126" s="1251"/>
      <c r="BPS126" s="1251"/>
      <c r="BPT126" s="1251"/>
      <c r="BPU126" s="1251"/>
      <c r="BPV126" s="1251"/>
      <c r="BPW126" s="1251"/>
      <c r="BPX126" s="1251"/>
      <c r="BPY126" s="1251"/>
      <c r="BPZ126" s="1251"/>
      <c r="BQA126" s="1251"/>
      <c r="BQB126" s="1251"/>
      <c r="BQC126" s="1251"/>
      <c r="BQD126" s="1251"/>
      <c r="BQE126" s="1251"/>
      <c r="BQF126" s="1251"/>
      <c r="BQG126" s="1251"/>
      <c r="BQH126" s="1251"/>
      <c r="BQI126" s="1251"/>
      <c r="BQJ126" s="1251"/>
      <c r="BQK126" s="1251"/>
      <c r="BQL126" s="1251"/>
      <c r="BQM126" s="1251"/>
      <c r="BQN126" s="1251"/>
      <c r="BQO126" s="1251"/>
      <c r="BQP126" s="1251"/>
      <c r="BQQ126" s="1251"/>
      <c r="BQR126" s="1251"/>
      <c r="BQS126" s="1251"/>
      <c r="BQT126" s="1251"/>
      <c r="BQU126" s="1251"/>
      <c r="BQV126" s="1251"/>
      <c r="BQW126" s="1251"/>
      <c r="BQX126" s="1251"/>
      <c r="BQY126" s="1251"/>
      <c r="BQZ126" s="1251"/>
      <c r="BRA126" s="1251"/>
      <c r="BRB126" s="1251"/>
      <c r="BRC126" s="1251"/>
      <c r="BRD126" s="1251"/>
      <c r="BRE126" s="1251"/>
      <c r="BRF126" s="1251"/>
      <c r="BRG126" s="1251"/>
      <c r="BRH126" s="1251"/>
      <c r="BRI126" s="1251"/>
      <c r="BRJ126" s="1251"/>
      <c r="BRK126" s="1251"/>
      <c r="BRL126" s="1251"/>
      <c r="BRM126" s="1251"/>
      <c r="BRN126" s="1251"/>
      <c r="BRO126" s="1251"/>
      <c r="BRP126" s="1251"/>
      <c r="BRQ126" s="1251"/>
      <c r="BRR126" s="1251"/>
      <c r="BRS126" s="1251"/>
      <c r="BRT126" s="1251"/>
      <c r="BRU126" s="1251"/>
      <c r="BRV126" s="1251"/>
      <c r="BRW126" s="1251"/>
      <c r="BRX126" s="1251"/>
      <c r="BRY126" s="1251"/>
      <c r="BRZ126" s="1251"/>
      <c r="BSA126" s="1251"/>
      <c r="BSB126" s="1251"/>
      <c r="BSC126" s="1251"/>
      <c r="BSD126" s="1251"/>
      <c r="BSE126" s="1251"/>
      <c r="BSF126" s="1251"/>
      <c r="BSG126" s="1251"/>
      <c r="BSH126" s="1251"/>
      <c r="BSI126" s="1251"/>
      <c r="BSJ126" s="1251"/>
      <c r="BSK126" s="1251"/>
      <c r="BSL126" s="1251"/>
      <c r="BSM126" s="1251"/>
      <c r="BSN126" s="1251"/>
      <c r="BSO126" s="1251"/>
      <c r="BSP126" s="1251"/>
      <c r="BSQ126" s="1251"/>
      <c r="BSR126" s="1251"/>
      <c r="BSS126" s="1251"/>
      <c r="BST126" s="1251"/>
      <c r="BSU126" s="1251"/>
      <c r="BSV126" s="1251"/>
      <c r="BSW126" s="1251"/>
      <c r="BSX126" s="1251"/>
      <c r="BSY126" s="1251"/>
      <c r="BSZ126" s="1251"/>
      <c r="BTA126" s="1251"/>
      <c r="BTB126" s="1251"/>
      <c r="BTC126" s="1251"/>
      <c r="BTD126" s="1251"/>
      <c r="BTE126" s="1251"/>
      <c r="BTF126" s="1251"/>
      <c r="BTG126" s="1251"/>
      <c r="BTH126" s="1251"/>
      <c r="BTI126" s="1251"/>
    </row>
    <row r="127" spans="1:1881" s="1261" customFormat="1" ht="70.5" hidden="1" customHeight="1" thickBot="1" x14ac:dyDescent="0.35">
      <c r="A127" s="1274">
        <v>39</v>
      </c>
      <c r="B127" s="1272" t="s">
        <v>652</v>
      </c>
      <c r="C127" s="659" t="s">
        <v>1285</v>
      </c>
      <c r="D127" s="24" t="s">
        <v>1287</v>
      </c>
      <c r="E127" s="1249" t="e">
        <f>HLOOKUP($D$2,'2020 Data(H)'!$C$1:$CZ$426,27,FALSE)</f>
        <v>#N/A</v>
      </c>
      <c r="F127" s="1263">
        <v>0</v>
      </c>
      <c r="G127" s="727"/>
      <c r="H127" s="17"/>
      <c r="I127" s="760"/>
      <c r="J127" s="1252"/>
      <c r="K127" s="1251"/>
      <c r="L127" s="701"/>
      <c r="M127" s="1251"/>
      <c r="N127" s="1253"/>
      <c r="O127" s="1251"/>
      <c r="P127" s="1251"/>
      <c r="Q127" s="1251"/>
      <c r="R127" s="1251"/>
      <c r="S127" s="1251"/>
      <c r="T127" s="1251"/>
      <c r="U127" s="1251"/>
      <c r="V127" s="1251"/>
      <c r="W127" s="1251"/>
      <c r="X127" s="1251"/>
      <c r="Y127" s="1251"/>
      <c r="Z127" s="1274"/>
      <c r="AA127" s="1274"/>
      <c r="AB127" s="1274"/>
      <c r="AC127" s="1274"/>
      <c r="AD127" s="1274"/>
      <c r="AE127" s="1274"/>
      <c r="AF127" s="1274"/>
      <c r="AG127" s="1274"/>
      <c r="AH127" s="1274"/>
      <c r="AI127" s="1274"/>
      <c r="AJ127" s="1274"/>
      <c r="AK127" s="1274"/>
      <c r="AL127" s="1274"/>
      <c r="AM127" s="1274"/>
      <c r="AN127" s="1274"/>
      <c r="AO127" s="1274"/>
      <c r="AP127" s="1274"/>
      <c r="AQ127" s="1274"/>
      <c r="AR127" s="1274"/>
      <c r="AS127" s="1251"/>
      <c r="AT127" s="1251"/>
      <c r="AU127" s="1251"/>
      <c r="AV127" s="1251"/>
      <c r="AW127" s="1251"/>
      <c r="AX127" s="1251"/>
      <c r="AY127" s="1251"/>
      <c r="AZ127" s="1251"/>
      <c r="BA127" s="1251"/>
      <c r="BB127" s="1251"/>
      <c r="BC127" s="1251"/>
      <c r="BD127" s="1251"/>
      <c r="BE127" s="1251"/>
      <c r="BF127" s="1251"/>
      <c r="BG127" s="1251"/>
      <c r="BH127" s="1251"/>
      <c r="BI127" s="1251"/>
      <c r="BJ127" s="1251"/>
      <c r="BK127" s="1251"/>
      <c r="BL127" s="1251"/>
      <c r="BM127" s="1251"/>
      <c r="BN127" s="1251"/>
      <c r="BO127" s="1251"/>
      <c r="BP127" s="1251"/>
      <c r="BQ127" s="1251"/>
      <c r="BR127" s="1251"/>
      <c r="BS127" s="1251"/>
      <c r="BT127" s="1251"/>
      <c r="BU127" s="1251"/>
      <c r="BV127" s="1251"/>
      <c r="BW127" s="1251"/>
      <c r="BX127" s="1251"/>
      <c r="BY127" s="1251"/>
      <c r="BZ127" s="1251"/>
      <c r="CA127" s="1251"/>
      <c r="CB127" s="1251"/>
      <c r="CC127" s="1251"/>
      <c r="CD127" s="1251"/>
      <c r="CE127" s="1251"/>
      <c r="CF127" s="1251"/>
      <c r="CG127" s="1251"/>
      <c r="CH127" s="1251"/>
      <c r="CI127" s="1251"/>
      <c r="CJ127" s="1251"/>
      <c r="CK127" s="1251"/>
      <c r="CL127" s="1251"/>
      <c r="CM127" s="1251"/>
      <c r="CN127" s="1251"/>
      <c r="CO127" s="1251"/>
      <c r="CP127" s="1251"/>
      <c r="CQ127" s="1251"/>
      <c r="CR127" s="1251"/>
      <c r="CS127" s="1251"/>
      <c r="CT127" s="1251"/>
      <c r="CU127" s="1251"/>
      <c r="CV127" s="1251"/>
      <c r="CW127" s="1251"/>
      <c r="CX127" s="1251"/>
      <c r="CY127" s="1251"/>
      <c r="CZ127" s="1251"/>
      <c r="DA127" s="1251"/>
      <c r="DB127" s="1251"/>
      <c r="DC127" s="1251"/>
      <c r="DD127" s="1251"/>
      <c r="DE127" s="1251"/>
      <c r="DF127" s="1251"/>
      <c r="DG127" s="1251"/>
      <c r="DH127" s="1251"/>
      <c r="DI127" s="1251"/>
      <c r="DJ127" s="1251"/>
      <c r="DK127" s="1251"/>
      <c r="DL127" s="1251"/>
      <c r="DM127" s="1251"/>
      <c r="DN127" s="1251"/>
      <c r="DO127" s="1251"/>
      <c r="DP127" s="1251"/>
      <c r="DQ127" s="1251"/>
      <c r="DR127" s="1251"/>
      <c r="DS127" s="1251"/>
      <c r="DT127" s="1251"/>
      <c r="DU127" s="1251"/>
      <c r="DV127" s="1251"/>
      <c r="DW127" s="1251"/>
      <c r="DX127" s="1251"/>
      <c r="DY127" s="1251"/>
      <c r="DZ127" s="1251"/>
      <c r="EA127" s="1251"/>
      <c r="EB127" s="1251"/>
      <c r="EC127" s="1251"/>
      <c r="ED127" s="1251"/>
      <c r="EE127" s="1251"/>
      <c r="EF127" s="1251"/>
      <c r="EG127" s="1251"/>
      <c r="EH127" s="1251"/>
      <c r="EI127" s="1251"/>
      <c r="EJ127" s="1251"/>
      <c r="EK127" s="1251"/>
      <c r="EL127" s="1251"/>
      <c r="EM127" s="1251"/>
      <c r="EN127" s="1251"/>
      <c r="EO127" s="1251"/>
      <c r="EP127" s="1251"/>
      <c r="EQ127" s="1251"/>
      <c r="ER127" s="1251"/>
      <c r="ES127" s="1251"/>
      <c r="ET127" s="1251"/>
      <c r="EU127" s="1251"/>
      <c r="EV127" s="1251"/>
      <c r="EW127" s="1251"/>
      <c r="EX127" s="1251"/>
      <c r="EY127" s="1251"/>
      <c r="EZ127" s="1251"/>
      <c r="FA127" s="1251"/>
      <c r="FB127" s="1251"/>
      <c r="FC127" s="1251"/>
      <c r="FD127" s="1251"/>
      <c r="FE127" s="1251"/>
      <c r="FF127" s="1251"/>
      <c r="FG127" s="1251"/>
      <c r="FH127" s="1251"/>
      <c r="FI127" s="1251"/>
      <c r="FJ127" s="1251"/>
      <c r="FK127" s="1251"/>
      <c r="FL127" s="1251"/>
      <c r="FM127" s="1251"/>
      <c r="FN127" s="1251"/>
      <c r="FO127" s="1251"/>
      <c r="FP127" s="1251"/>
      <c r="FQ127" s="1251"/>
      <c r="FR127" s="1251"/>
      <c r="FS127" s="1251"/>
      <c r="FT127" s="1251"/>
      <c r="FU127" s="1251"/>
      <c r="FV127" s="1251"/>
      <c r="FW127" s="1251"/>
      <c r="FX127" s="1251"/>
      <c r="FY127" s="1251"/>
      <c r="FZ127" s="1251"/>
      <c r="GA127" s="1251"/>
      <c r="GB127" s="1251"/>
      <c r="GC127" s="1251"/>
      <c r="GD127" s="1251"/>
      <c r="GE127" s="1251"/>
      <c r="GF127" s="1251"/>
      <c r="GG127" s="1251"/>
      <c r="GH127" s="1251"/>
      <c r="GI127" s="1251"/>
      <c r="GJ127" s="1251"/>
      <c r="GK127" s="1251"/>
      <c r="GL127" s="1251"/>
      <c r="GM127" s="1251"/>
      <c r="GN127" s="1251"/>
      <c r="GO127" s="1251"/>
      <c r="GP127" s="1251"/>
      <c r="GQ127" s="1251"/>
      <c r="GR127" s="1251"/>
      <c r="GS127" s="1251"/>
      <c r="GT127" s="1251"/>
      <c r="GU127" s="1251"/>
      <c r="GV127" s="1251"/>
      <c r="GW127" s="1251"/>
      <c r="GX127" s="1251"/>
      <c r="GY127" s="1251"/>
      <c r="GZ127" s="1251"/>
      <c r="HA127" s="1251"/>
      <c r="HB127" s="1251"/>
      <c r="HC127" s="1251"/>
      <c r="HD127" s="1251"/>
      <c r="HE127" s="1251"/>
      <c r="HF127" s="1251"/>
      <c r="HG127" s="1251"/>
      <c r="HH127" s="1251"/>
      <c r="HI127" s="1251"/>
      <c r="HJ127" s="1251"/>
      <c r="HK127" s="1251"/>
      <c r="HL127" s="1251"/>
      <c r="HM127" s="1251"/>
      <c r="HN127" s="1251"/>
      <c r="HO127" s="1251"/>
      <c r="HP127" s="1251"/>
      <c r="HQ127" s="1251"/>
      <c r="HR127" s="1251"/>
      <c r="HS127" s="1251"/>
      <c r="HT127" s="1251"/>
      <c r="HU127" s="1251"/>
      <c r="HV127" s="1251"/>
      <c r="HW127" s="1251"/>
      <c r="HX127" s="1251"/>
      <c r="HY127" s="1251"/>
      <c r="HZ127" s="1251"/>
      <c r="IA127" s="1251"/>
      <c r="IB127" s="1251"/>
      <c r="IC127" s="1251"/>
      <c r="ID127" s="1251"/>
      <c r="IE127" s="1251"/>
      <c r="IF127" s="1251"/>
      <c r="IG127" s="1251"/>
      <c r="IH127" s="1251"/>
      <c r="II127" s="1251"/>
      <c r="IJ127" s="1251"/>
      <c r="IK127" s="1251"/>
      <c r="IL127" s="1251"/>
      <c r="IM127" s="1251"/>
      <c r="IN127" s="1251"/>
      <c r="IO127" s="1251"/>
      <c r="IP127" s="1251"/>
      <c r="IQ127" s="1251"/>
      <c r="IR127" s="1251"/>
      <c r="IS127" s="1251"/>
      <c r="IT127" s="1251"/>
      <c r="IU127" s="1251"/>
      <c r="IV127" s="1251"/>
      <c r="IW127" s="1251"/>
      <c r="IX127" s="1251"/>
      <c r="IY127" s="1251"/>
      <c r="IZ127" s="1251"/>
      <c r="JA127" s="1251"/>
      <c r="JB127" s="1251"/>
      <c r="JC127" s="1251"/>
      <c r="JD127" s="1251"/>
      <c r="JE127" s="1251"/>
      <c r="JF127" s="1251"/>
      <c r="JG127" s="1251"/>
      <c r="JH127" s="1251"/>
      <c r="JI127" s="1251"/>
      <c r="JJ127" s="1251"/>
      <c r="JK127" s="1251"/>
      <c r="JL127" s="1251"/>
      <c r="JM127" s="1251"/>
      <c r="JN127" s="1251"/>
      <c r="JO127" s="1251"/>
      <c r="JP127" s="1251"/>
      <c r="JQ127" s="1251"/>
      <c r="JR127" s="1251"/>
      <c r="JS127" s="1251"/>
      <c r="JT127" s="1251"/>
      <c r="JU127" s="1251"/>
      <c r="JV127" s="1251"/>
      <c r="JW127" s="1251"/>
      <c r="JX127" s="1251"/>
      <c r="JY127" s="1251"/>
      <c r="JZ127" s="1251"/>
      <c r="KA127" s="1251"/>
      <c r="KB127" s="1251"/>
      <c r="KC127" s="1251"/>
      <c r="KD127" s="1251"/>
      <c r="KE127" s="1251"/>
      <c r="KF127" s="1251"/>
      <c r="KG127" s="1251"/>
      <c r="KH127" s="1251"/>
      <c r="KI127" s="1251"/>
      <c r="KJ127" s="1251"/>
      <c r="KK127" s="1251"/>
      <c r="KL127" s="1251"/>
      <c r="KM127" s="1251"/>
      <c r="KN127" s="1251"/>
      <c r="KO127" s="1251"/>
      <c r="KP127" s="1251"/>
      <c r="KQ127" s="1251"/>
      <c r="KR127" s="1251"/>
      <c r="KS127" s="1251"/>
      <c r="KT127" s="1251"/>
      <c r="KU127" s="1251"/>
      <c r="KV127" s="1251"/>
      <c r="KW127" s="1251"/>
      <c r="KX127" s="1251"/>
      <c r="KY127" s="1251"/>
      <c r="KZ127" s="1251"/>
      <c r="LA127" s="1251"/>
      <c r="LB127" s="1251"/>
      <c r="LC127" s="1251"/>
      <c r="LD127" s="1251"/>
      <c r="LE127" s="1251"/>
      <c r="LF127" s="1251"/>
      <c r="LG127" s="1251"/>
      <c r="LH127" s="1251"/>
      <c r="LI127" s="1251"/>
      <c r="LJ127" s="1251"/>
      <c r="LK127" s="1251"/>
      <c r="LL127" s="1251"/>
      <c r="LM127" s="1251"/>
      <c r="LN127" s="1251"/>
      <c r="LO127" s="1251"/>
      <c r="LP127" s="1251"/>
      <c r="LQ127" s="1251"/>
      <c r="LR127" s="1251"/>
      <c r="LS127" s="1251"/>
      <c r="LT127" s="1251"/>
      <c r="LU127" s="1251"/>
      <c r="LV127" s="1251"/>
      <c r="LW127" s="1251"/>
      <c r="LX127" s="1251"/>
      <c r="LY127" s="1251"/>
      <c r="LZ127" s="1251"/>
      <c r="MA127" s="1251"/>
      <c r="MB127" s="1251"/>
      <c r="MC127" s="1251"/>
      <c r="MD127" s="1251"/>
      <c r="ME127" s="1251"/>
      <c r="MF127" s="1251"/>
      <c r="MG127" s="1251"/>
      <c r="MH127" s="1251"/>
      <c r="MI127" s="1251"/>
      <c r="MJ127" s="1251"/>
      <c r="MK127" s="1251"/>
      <c r="ML127" s="1251"/>
      <c r="MM127" s="1251"/>
      <c r="MN127" s="1251"/>
      <c r="MO127" s="1251"/>
      <c r="MP127" s="1251"/>
      <c r="MQ127" s="1251"/>
      <c r="MR127" s="1251"/>
      <c r="MS127" s="1251"/>
      <c r="MT127" s="1251"/>
      <c r="MU127" s="1251"/>
      <c r="MV127" s="1251"/>
      <c r="MW127" s="1251"/>
      <c r="MX127" s="1251"/>
      <c r="MY127" s="1251"/>
      <c r="MZ127" s="1251"/>
      <c r="NA127" s="1251"/>
      <c r="NB127" s="1251"/>
      <c r="NC127" s="1251"/>
      <c r="ND127" s="1251"/>
      <c r="NE127" s="1251"/>
      <c r="NF127" s="1251"/>
      <c r="NG127" s="1251"/>
      <c r="NH127" s="1251"/>
      <c r="NI127" s="1251"/>
      <c r="NJ127" s="1251"/>
      <c r="NK127" s="1251"/>
      <c r="NL127" s="1251"/>
      <c r="NM127" s="1251"/>
      <c r="NN127" s="1251"/>
      <c r="NO127" s="1251"/>
      <c r="NP127" s="1251"/>
      <c r="NQ127" s="1251"/>
      <c r="NR127" s="1251"/>
      <c r="NS127" s="1251"/>
      <c r="NT127" s="1251"/>
      <c r="NU127" s="1251"/>
      <c r="NV127" s="1251"/>
      <c r="NW127" s="1251"/>
      <c r="NX127" s="1251"/>
      <c r="NY127" s="1251"/>
      <c r="NZ127" s="1251"/>
      <c r="OA127" s="1251"/>
      <c r="OB127" s="1251"/>
      <c r="OC127" s="1251"/>
      <c r="OD127" s="1251"/>
      <c r="OE127" s="1251"/>
      <c r="OF127" s="1251"/>
      <c r="OG127" s="1251"/>
      <c r="OH127" s="1251"/>
      <c r="OI127" s="1251"/>
      <c r="OJ127" s="1251"/>
      <c r="OK127" s="1251"/>
      <c r="OL127" s="1251"/>
      <c r="OM127" s="1251"/>
      <c r="ON127" s="1251"/>
      <c r="OO127" s="1251"/>
      <c r="OP127" s="1251"/>
      <c r="OQ127" s="1251"/>
      <c r="OR127" s="1251"/>
      <c r="OS127" s="1251"/>
      <c r="OT127" s="1251"/>
      <c r="OU127" s="1251"/>
      <c r="OV127" s="1251"/>
      <c r="OW127" s="1251"/>
      <c r="OX127" s="1251"/>
      <c r="OY127" s="1251"/>
      <c r="OZ127" s="1251"/>
      <c r="PA127" s="1251"/>
      <c r="PB127" s="1251"/>
      <c r="PC127" s="1251"/>
      <c r="PD127" s="1251"/>
      <c r="PE127" s="1251"/>
      <c r="PF127" s="1251"/>
      <c r="PG127" s="1251"/>
      <c r="PH127" s="1251"/>
      <c r="PI127" s="1251"/>
      <c r="PJ127" s="1251"/>
      <c r="PK127" s="1251"/>
      <c r="PL127" s="1251"/>
      <c r="PM127" s="1251"/>
      <c r="PN127" s="1251"/>
      <c r="PO127" s="1251"/>
      <c r="PP127" s="1251"/>
      <c r="PQ127" s="1251"/>
      <c r="PR127" s="1251"/>
      <c r="PS127" s="1251"/>
      <c r="PT127" s="1251"/>
      <c r="PU127" s="1251"/>
      <c r="PV127" s="1251"/>
      <c r="PW127" s="1251"/>
      <c r="PX127" s="1251"/>
      <c r="PY127" s="1251"/>
      <c r="PZ127" s="1251"/>
      <c r="QA127" s="1251"/>
      <c r="QB127" s="1251"/>
      <c r="QC127" s="1251"/>
      <c r="QD127" s="1251"/>
      <c r="QE127" s="1251"/>
      <c r="QF127" s="1251"/>
      <c r="QG127" s="1251"/>
      <c r="QH127" s="1251"/>
      <c r="QI127" s="1251"/>
      <c r="QJ127" s="1251"/>
      <c r="QK127" s="1251"/>
      <c r="QL127" s="1251"/>
      <c r="QM127" s="1251"/>
      <c r="QN127" s="1251"/>
      <c r="QO127" s="1251"/>
      <c r="QP127" s="1251"/>
      <c r="QQ127" s="1251"/>
      <c r="QR127" s="1251"/>
      <c r="QS127" s="1251"/>
      <c r="QT127" s="1251"/>
      <c r="QU127" s="1251"/>
      <c r="QV127" s="1251"/>
      <c r="QW127" s="1251"/>
      <c r="QX127" s="1251"/>
      <c r="QY127" s="1251"/>
      <c r="QZ127" s="1251"/>
      <c r="RA127" s="1251"/>
      <c r="RB127" s="1251"/>
      <c r="RC127" s="1251"/>
      <c r="RD127" s="1251"/>
      <c r="RE127" s="1251"/>
      <c r="RF127" s="1251"/>
      <c r="RG127" s="1251"/>
      <c r="RH127" s="1251"/>
      <c r="RI127" s="1251"/>
      <c r="RJ127" s="1251"/>
      <c r="RK127" s="1251"/>
      <c r="RL127" s="1251"/>
      <c r="RM127" s="1251"/>
      <c r="RN127" s="1251"/>
      <c r="RO127" s="1251"/>
      <c r="RP127" s="1251"/>
      <c r="RQ127" s="1251"/>
      <c r="RR127" s="1251"/>
      <c r="RS127" s="1251"/>
      <c r="RT127" s="1251"/>
      <c r="RU127" s="1251"/>
      <c r="RV127" s="1251"/>
      <c r="RW127" s="1251"/>
      <c r="RX127" s="1251"/>
      <c r="RY127" s="1251"/>
      <c r="RZ127" s="1251"/>
      <c r="SA127" s="1251"/>
      <c r="SB127" s="1251"/>
      <c r="SC127" s="1251"/>
      <c r="SD127" s="1251"/>
      <c r="SE127" s="1251"/>
      <c r="SF127" s="1251"/>
      <c r="SG127" s="1251"/>
      <c r="SH127" s="1251"/>
      <c r="SI127" s="1251"/>
      <c r="SJ127" s="1251"/>
      <c r="SK127" s="1251"/>
      <c r="SL127" s="1251"/>
      <c r="SM127" s="1251"/>
      <c r="SN127" s="1251"/>
      <c r="SO127" s="1251"/>
      <c r="SP127" s="1251"/>
      <c r="SQ127" s="1251"/>
      <c r="SR127" s="1251"/>
      <c r="SS127" s="1251"/>
      <c r="ST127" s="1251"/>
      <c r="SU127" s="1251"/>
      <c r="SV127" s="1251"/>
      <c r="SW127" s="1251"/>
      <c r="SX127" s="1251"/>
      <c r="SY127" s="1251"/>
      <c r="SZ127" s="1251"/>
      <c r="TA127" s="1251"/>
      <c r="TB127" s="1251"/>
      <c r="TC127" s="1251"/>
      <c r="TD127" s="1251"/>
      <c r="TE127" s="1251"/>
      <c r="TF127" s="1251"/>
      <c r="TG127" s="1251"/>
      <c r="TH127" s="1251"/>
      <c r="TI127" s="1251"/>
      <c r="TJ127" s="1251"/>
      <c r="TK127" s="1251"/>
      <c r="TL127" s="1251"/>
      <c r="TM127" s="1251"/>
      <c r="TN127" s="1251"/>
      <c r="TO127" s="1251"/>
      <c r="TP127" s="1251"/>
      <c r="TQ127" s="1251"/>
      <c r="TR127" s="1251"/>
      <c r="TS127" s="1251"/>
      <c r="TT127" s="1251"/>
      <c r="TU127" s="1251"/>
      <c r="TV127" s="1251"/>
      <c r="TW127" s="1251"/>
      <c r="TX127" s="1251"/>
      <c r="TY127" s="1251"/>
      <c r="TZ127" s="1251"/>
      <c r="UA127" s="1251"/>
      <c r="UB127" s="1251"/>
      <c r="UC127" s="1251"/>
      <c r="UD127" s="1251"/>
      <c r="UE127" s="1251"/>
      <c r="UF127" s="1251"/>
      <c r="UG127" s="1251"/>
      <c r="UH127" s="1251"/>
      <c r="UI127" s="1251"/>
      <c r="UJ127" s="1251"/>
      <c r="UK127" s="1251"/>
      <c r="UL127" s="1251"/>
      <c r="UM127" s="1251"/>
      <c r="UN127" s="1251"/>
      <c r="UO127" s="1251"/>
      <c r="UP127" s="1251"/>
      <c r="UQ127" s="1251"/>
      <c r="UR127" s="1251"/>
      <c r="US127" s="1251"/>
      <c r="UT127" s="1251"/>
      <c r="UU127" s="1251"/>
      <c r="UV127" s="1251"/>
      <c r="UW127" s="1251"/>
      <c r="UX127" s="1251"/>
      <c r="UY127" s="1251"/>
      <c r="UZ127" s="1251"/>
      <c r="VA127" s="1251"/>
      <c r="VB127" s="1251"/>
      <c r="VC127" s="1251"/>
      <c r="VD127" s="1251"/>
      <c r="VE127" s="1251"/>
      <c r="VF127" s="1251"/>
      <c r="VG127" s="1251"/>
      <c r="VH127" s="1251"/>
      <c r="VI127" s="1251"/>
      <c r="VJ127" s="1251"/>
      <c r="VK127" s="1251"/>
      <c r="VL127" s="1251"/>
      <c r="VM127" s="1251"/>
      <c r="VN127" s="1251"/>
      <c r="VO127" s="1251"/>
      <c r="VP127" s="1251"/>
      <c r="VQ127" s="1251"/>
      <c r="VR127" s="1251"/>
      <c r="VS127" s="1251"/>
      <c r="VT127" s="1251"/>
      <c r="VU127" s="1251"/>
      <c r="VV127" s="1251"/>
      <c r="VW127" s="1251"/>
      <c r="VX127" s="1251"/>
      <c r="VY127" s="1251"/>
      <c r="VZ127" s="1251"/>
      <c r="WA127" s="1251"/>
      <c r="WB127" s="1251"/>
      <c r="WC127" s="1251"/>
      <c r="WD127" s="1251"/>
      <c r="WE127" s="1251"/>
      <c r="WF127" s="1251"/>
      <c r="WG127" s="1251"/>
      <c r="WH127" s="1251"/>
      <c r="WI127" s="1251"/>
      <c r="WJ127" s="1251"/>
      <c r="WK127" s="1251"/>
      <c r="WL127" s="1251"/>
      <c r="WM127" s="1251"/>
      <c r="WN127" s="1251"/>
      <c r="WO127" s="1251"/>
      <c r="WP127" s="1251"/>
      <c r="WQ127" s="1251"/>
      <c r="WR127" s="1251"/>
      <c r="WS127" s="1251"/>
      <c r="WT127" s="1251"/>
      <c r="WU127" s="1251"/>
      <c r="WV127" s="1251"/>
      <c r="WW127" s="1251"/>
      <c r="WX127" s="1251"/>
      <c r="WY127" s="1251"/>
      <c r="WZ127" s="1251"/>
      <c r="XA127" s="1251"/>
      <c r="XB127" s="1251"/>
      <c r="XC127" s="1251"/>
      <c r="XD127" s="1251"/>
      <c r="XE127" s="1251"/>
      <c r="XF127" s="1251"/>
      <c r="XG127" s="1251"/>
      <c r="XH127" s="1251"/>
      <c r="XI127" s="1251"/>
      <c r="XJ127" s="1251"/>
      <c r="XK127" s="1251"/>
      <c r="XL127" s="1251"/>
      <c r="XM127" s="1251"/>
      <c r="XN127" s="1251"/>
      <c r="XO127" s="1251"/>
      <c r="XP127" s="1251"/>
      <c r="XQ127" s="1251"/>
      <c r="XR127" s="1251"/>
      <c r="XS127" s="1251"/>
      <c r="XT127" s="1251"/>
      <c r="XU127" s="1251"/>
      <c r="XV127" s="1251"/>
      <c r="XW127" s="1251"/>
      <c r="XX127" s="1251"/>
      <c r="XY127" s="1251"/>
      <c r="XZ127" s="1251"/>
      <c r="YA127" s="1251"/>
      <c r="YB127" s="1251"/>
      <c r="YC127" s="1251"/>
      <c r="YD127" s="1251"/>
      <c r="YE127" s="1251"/>
      <c r="YF127" s="1251"/>
      <c r="YG127" s="1251"/>
      <c r="YH127" s="1251"/>
      <c r="YI127" s="1251"/>
      <c r="YJ127" s="1251"/>
      <c r="YK127" s="1251"/>
      <c r="YL127" s="1251"/>
      <c r="YM127" s="1251"/>
      <c r="YN127" s="1251"/>
      <c r="YO127" s="1251"/>
      <c r="YP127" s="1251"/>
      <c r="YQ127" s="1251"/>
      <c r="YR127" s="1251"/>
      <c r="YS127" s="1251"/>
      <c r="YT127" s="1251"/>
      <c r="YU127" s="1251"/>
      <c r="YV127" s="1251"/>
      <c r="YW127" s="1251"/>
      <c r="YX127" s="1251"/>
      <c r="YY127" s="1251"/>
      <c r="YZ127" s="1251"/>
      <c r="ZA127" s="1251"/>
      <c r="ZB127" s="1251"/>
      <c r="ZC127" s="1251"/>
      <c r="ZD127" s="1251"/>
      <c r="ZE127" s="1251"/>
      <c r="ZF127" s="1251"/>
      <c r="ZG127" s="1251"/>
      <c r="ZH127" s="1251"/>
      <c r="ZI127" s="1251"/>
      <c r="ZJ127" s="1251"/>
      <c r="ZK127" s="1251"/>
      <c r="ZL127" s="1251"/>
      <c r="ZM127" s="1251"/>
      <c r="ZN127" s="1251"/>
      <c r="ZO127" s="1251"/>
      <c r="ZP127" s="1251"/>
      <c r="ZQ127" s="1251"/>
      <c r="ZR127" s="1251"/>
      <c r="ZS127" s="1251"/>
      <c r="ZT127" s="1251"/>
      <c r="ZU127" s="1251"/>
      <c r="ZV127" s="1251"/>
      <c r="ZW127" s="1251"/>
      <c r="ZX127" s="1251"/>
      <c r="ZY127" s="1251"/>
      <c r="ZZ127" s="1251"/>
      <c r="AAA127" s="1251"/>
      <c r="AAB127" s="1251"/>
      <c r="AAC127" s="1251"/>
      <c r="AAD127" s="1251"/>
      <c r="AAE127" s="1251"/>
      <c r="AAF127" s="1251"/>
      <c r="AAG127" s="1251"/>
      <c r="AAH127" s="1251"/>
      <c r="AAI127" s="1251"/>
      <c r="AAJ127" s="1251"/>
      <c r="AAK127" s="1251"/>
      <c r="AAL127" s="1251"/>
      <c r="AAM127" s="1251"/>
      <c r="AAN127" s="1251"/>
      <c r="AAO127" s="1251"/>
      <c r="AAP127" s="1251"/>
      <c r="AAQ127" s="1251"/>
      <c r="AAR127" s="1251"/>
      <c r="AAS127" s="1251"/>
      <c r="AAT127" s="1251"/>
      <c r="AAU127" s="1251"/>
      <c r="AAV127" s="1251"/>
      <c r="AAW127" s="1251"/>
      <c r="AAX127" s="1251"/>
      <c r="AAY127" s="1251"/>
      <c r="AAZ127" s="1251"/>
      <c r="ABA127" s="1251"/>
      <c r="ABB127" s="1251"/>
      <c r="ABC127" s="1251"/>
      <c r="ABD127" s="1251"/>
      <c r="ABE127" s="1251"/>
      <c r="ABF127" s="1251"/>
      <c r="ABG127" s="1251"/>
      <c r="ABH127" s="1251"/>
      <c r="ABI127" s="1251"/>
      <c r="ABJ127" s="1251"/>
      <c r="ABK127" s="1251"/>
      <c r="ABL127" s="1251"/>
      <c r="ABM127" s="1251"/>
      <c r="ABN127" s="1251"/>
      <c r="ABO127" s="1251"/>
      <c r="ABP127" s="1251"/>
      <c r="ABQ127" s="1251"/>
      <c r="ABR127" s="1251"/>
      <c r="ABS127" s="1251"/>
      <c r="ABT127" s="1251"/>
      <c r="ABU127" s="1251"/>
      <c r="ABV127" s="1251"/>
      <c r="ABW127" s="1251"/>
      <c r="ABX127" s="1251"/>
      <c r="ABY127" s="1251"/>
      <c r="ABZ127" s="1251"/>
      <c r="ACA127" s="1251"/>
      <c r="ACB127" s="1251"/>
      <c r="ACC127" s="1251"/>
      <c r="ACD127" s="1251"/>
      <c r="ACE127" s="1251"/>
      <c r="ACF127" s="1251"/>
      <c r="ACG127" s="1251"/>
      <c r="ACH127" s="1251"/>
      <c r="ACI127" s="1251"/>
      <c r="ACJ127" s="1251"/>
      <c r="ACK127" s="1251"/>
      <c r="ACL127" s="1251"/>
      <c r="ACM127" s="1251"/>
      <c r="ACN127" s="1251"/>
      <c r="ACO127" s="1251"/>
      <c r="ACP127" s="1251"/>
      <c r="ACQ127" s="1251"/>
      <c r="ACR127" s="1251"/>
      <c r="ACS127" s="1251"/>
      <c r="ACT127" s="1251"/>
      <c r="ACU127" s="1251"/>
      <c r="ACV127" s="1251"/>
      <c r="ACW127" s="1251"/>
      <c r="ACX127" s="1251"/>
      <c r="ACY127" s="1251"/>
      <c r="ACZ127" s="1251"/>
      <c r="ADA127" s="1251"/>
      <c r="ADB127" s="1251"/>
      <c r="ADC127" s="1251"/>
      <c r="ADD127" s="1251"/>
      <c r="ADE127" s="1251"/>
      <c r="ADF127" s="1251"/>
      <c r="ADG127" s="1251"/>
      <c r="ADH127" s="1251"/>
      <c r="ADI127" s="1251"/>
      <c r="ADJ127" s="1251"/>
      <c r="ADK127" s="1251"/>
      <c r="ADL127" s="1251"/>
      <c r="ADM127" s="1251"/>
      <c r="ADN127" s="1251"/>
      <c r="ADO127" s="1251"/>
      <c r="ADP127" s="1251"/>
      <c r="ADQ127" s="1251"/>
      <c r="ADR127" s="1251"/>
      <c r="ADS127" s="1251"/>
      <c r="ADT127" s="1251"/>
      <c r="ADU127" s="1251"/>
      <c r="ADV127" s="1251"/>
      <c r="ADW127" s="1251"/>
      <c r="ADX127" s="1251"/>
      <c r="ADY127" s="1251"/>
      <c r="ADZ127" s="1251"/>
      <c r="AEA127" s="1251"/>
      <c r="AEB127" s="1251"/>
      <c r="AEC127" s="1251"/>
      <c r="AED127" s="1251"/>
      <c r="AEE127" s="1251"/>
      <c r="AEF127" s="1251"/>
      <c r="AEG127" s="1251"/>
      <c r="AEH127" s="1251"/>
      <c r="AEI127" s="1251"/>
      <c r="AEJ127" s="1251"/>
      <c r="AEK127" s="1251"/>
      <c r="AEL127" s="1251"/>
      <c r="AEM127" s="1251"/>
      <c r="AEN127" s="1251"/>
      <c r="AEO127" s="1251"/>
      <c r="AEP127" s="1251"/>
      <c r="AEQ127" s="1251"/>
      <c r="AER127" s="1251"/>
      <c r="AES127" s="1251"/>
      <c r="AET127" s="1251"/>
      <c r="AEU127" s="1251"/>
      <c r="AEV127" s="1251"/>
      <c r="AEW127" s="1251"/>
      <c r="AEX127" s="1251"/>
      <c r="AEY127" s="1251"/>
      <c r="AEZ127" s="1251"/>
      <c r="AFA127" s="1251"/>
      <c r="AFB127" s="1251"/>
      <c r="AFC127" s="1251"/>
      <c r="AFD127" s="1251"/>
      <c r="AFE127" s="1251"/>
      <c r="AFF127" s="1251"/>
      <c r="AFG127" s="1251"/>
      <c r="AFH127" s="1251"/>
      <c r="AFI127" s="1251"/>
      <c r="AFJ127" s="1251"/>
      <c r="AFK127" s="1251"/>
      <c r="AFL127" s="1251"/>
      <c r="AFM127" s="1251"/>
      <c r="AFN127" s="1251"/>
      <c r="AFO127" s="1251"/>
      <c r="AFP127" s="1251"/>
      <c r="AFQ127" s="1251"/>
      <c r="AFR127" s="1251"/>
      <c r="AFS127" s="1251"/>
      <c r="AFT127" s="1251"/>
      <c r="AFU127" s="1251"/>
      <c r="AFV127" s="1251"/>
      <c r="AFW127" s="1251"/>
      <c r="AFX127" s="1251"/>
      <c r="AFY127" s="1251"/>
      <c r="AFZ127" s="1251"/>
      <c r="AGA127" s="1251"/>
      <c r="AGB127" s="1251"/>
      <c r="AGC127" s="1251"/>
      <c r="AGD127" s="1251"/>
      <c r="AGE127" s="1251"/>
      <c r="AGF127" s="1251"/>
      <c r="AGG127" s="1251"/>
      <c r="AGH127" s="1251"/>
      <c r="AGI127" s="1251"/>
      <c r="AGJ127" s="1251"/>
      <c r="AGK127" s="1251"/>
      <c r="AGL127" s="1251"/>
      <c r="AGM127" s="1251"/>
      <c r="AGN127" s="1251"/>
      <c r="AGO127" s="1251"/>
      <c r="AGP127" s="1251"/>
      <c r="AGQ127" s="1251"/>
      <c r="AGR127" s="1251"/>
      <c r="AGS127" s="1251"/>
      <c r="AGT127" s="1251"/>
      <c r="AGU127" s="1251"/>
      <c r="AGV127" s="1251"/>
      <c r="AGW127" s="1251"/>
      <c r="AGX127" s="1251"/>
      <c r="AGY127" s="1251"/>
      <c r="AGZ127" s="1251"/>
      <c r="AHA127" s="1251"/>
      <c r="AHB127" s="1251"/>
      <c r="AHC127" s="1251"/>
      <c r="AHD127" s="1251"/>
      <c r="AHE127" s="1251"/>
      <c r="AHF127" s="1251"/>
      <c r="AHG127" s="1251"/>
      <c r="AHH127" s="1251"/>
      <c r="AHI127" s="1251"/>
      <c r="AHJ127" s="1251"/>
      <c r="AHK127" s="1251"/>
      <c r="AHL127" s="1251"/>
      <c r="AHM127" s="1251"/>
      <c r="AHN127" s="1251"/>
      <c r="AHO127" s="1251"/>
      <c r="AHP127" s="1251"/>
      <c r="AHQ127" s="1251"/>
      <c r="AHR127" s="1251"/>
      <c r="AHS127" s="1251"/>
      <c r="AHT127" s="1251"/>
      <c r="AHU127" s="1251"/>
      <c r="AHV127" s="1251"/>
      <c r="AHW127" s="1251"/>
      <c r="AHX127" s="1251"/>
      <c r="AHY127" s="1251"/>
      <c r="AHZ127" s="1251"/>
      <c r="AIA127" s="1251"/>
      <c r="AIB127" s="1251"/>
      <c r="AIC127" s="1251"/>
      <c r="AID127" s="1251"/>
      <c r="AIE127" s="1251"/>
      <c r="AIF127" s="1251"/>
      <c r="AIG127" s="1251"/>
      <c r="AIH127" s="1251"/>
      <c r="AII127" s="1251"/>
      <c r="AIJ127" s="1251"/>
      <c r="AIK127" s="1251"/>
      <c r="AIL127" s="1251"/>
      <c r="AIM127" s="1251"/>
      <c r="AIN127" s="1251"/>
      <c r="AIO127" s="1251"/>
      <c r="AIP127" s="1251"/>
      <c r="AIQ127" s="1251"/>
      <c r="AIR127" s="1251"/>
      <c r="AIS127" s="1251"/>
      <c r="AIT127" s="1251"/>
      <c r="AIU127" s="1251"/>
      <c r="AIV127" s="1251"/>
      <c r="AIW127" s="1251"/>
      <c r="AIX127" s="1251"/>
      <c r="AIY127" s="1251"/>
      <c r="AIZ127" s="1251"/>
      <c r="AJA127" s="1251"/>
      <c r="AJB127" s="1251"/>
      <c r="AJC127" s="1251"/>
      <c r="AJD127" s="1251"/>
      <c r="AJE127" s="1251"/>
      <c r="AJF127" s="1251"/>
      <c r="AJG127" s="1251"/>
      <c r="AJH127" s="1251"/>
      <c r="AJI127" s="1251"/>
      <c r="AJJ127" s="1251"/>
      <c r="AJK127" s="1251"/>
      <c r="AJL127" s="1251"/>
      <c r="AJM127" s="1251"/>
      <c r="AJN127" s="1251"/>
      <c r="AJO127" s="1251"/>
      <c r="AJP127" s="1251"/>
      <c r="AJQ127" s="1251"/>
      <c r="AJR127" s="1251"/>
      <c r="AJS127" s="1251"/>
      <c r="AJT127" s="1251"/>
      <c r="AJU127" s="1251"/>
      <c r="AJV127" s="1251"/>
      <c r="AJW127" s="1251"/>
      <c r="AJX127" s="1251"/>
      <c r="AJY127" s="1251"/>
      <c r="AJZ127" s="1251"/>
      <c r="AKA127" s="1251"/>
      <c r="AKB127" s="1251"/>
      <c r="AKC127" s="1251"/>
      <c r="AKD127" s="1251"/>
      <c r="AKE127" s="1251"/>
      <c r="AKF127" s="1251"/>
      <c r="AKG127" s="1251"/>
      <c r="AKH127" s="1251"/>
      <c r="AKI127" s="1251"/>
      <c r="AKJ127" s="1251"/>
      <c r="AKK127" s="1251"/>
      <c r="AKL127" s="1251"/>
      <c r="AKM127" s="1251"/>
      <c r="AKN127" s="1251"/>
      <c r="AKO127" s="1251"/>
      <c r="AKP127" s="1251"/>
      <c r="AKQ127" s="1251"/>
      <c r="AKR127" s="1251"/>
      <c r="AKS127" s="1251"/>
      <c r="AKT127" s="1251"/>
      <c r="AKU127" s="1251"/>
      <c r="AKV127" s="1251"/>
      <c r="AKW127" s="1251"/>
      <c r="AKX127" s="1251"/>
      <c r="AKY127" s="1251"/>
      <c r="AKZ127" s="1251"/>
      <c r="ALA127" s="1251"/>
      <c r="ALB127" s="1251"/>
      <c r="ALC127" s="1251"/>
      <c r="ALD127" s="1251"/>
      <c r="ALE127" s="1251"/>
      <c r="ALF127" s="1251"/>
      <c r="ALG127" s="1251"/>
      <c r="ALH127" s="1251"/>
      <c r="ALI127" s="1251"/>
      <c r="ALJ127" s="1251"/>
      <c r="ALK127" s="1251"/>
      <c r="ALL127" s="1251"/>
      <c r="ALM127" s="1251"/>
      <c r="ALN127" s="1251"/>
      <c r="ALO127" s="1251"/>
      <c r="ALP127" s="1251"/>
      <c r="ALQ127" s="1251"/>
      <c r="ALR127" s="1251"/>
      <c r="ALS127" s="1251"/>
      <c r="ALT127" s="1251"/>
      <c r="ALU127" s="1251"/>
      <c r="ALV127" s="1251"/>
      <c r="ALW127" s="1251"/>
      <c r="ALX127" s="1251"/>
      <c r="ALY127" s="1251"/>
      <c r="ALZ127" s="1251"/>
      <c r="AMA127" s="1251"/>
      <c r="AMB127" s="1251"/>
      <c r="AMC127" s="1251"/>
      <c r="AMD127" s="1251"/>
      <c r="AME127" s="1251"/>
      <c r="AMF127" s="1251"/>
      <c r="AMG127" s="1251"/>
      <c r="AMH127" s="1251"/>
      <c r="AMI127" s="1251"/>
      <c r="AMJ127" s="1251"/>
      <c r="AMK127" s="1251"/>
      <c r="AML127" s="1251"/>
      <c r="AMM127" s="1251"/>
      <c r="AMN127" s="1251"/>
      <c r="AMO127" s="1251"/>
      <c r="AMP127" s="1251"/>
      <c r="AMQ127" s="1251"/>
      <c r="AMR127" s="1251"/>
      <c r="AMS127" s="1251"/>
      <c r="AMT127" s="1251"/>
      <c r="AMU127" s="1251"/>
      <c r="AMV127" s="1251"/>
      <c r="AMW127" s="1251"/>
      <c r="AMX127" s="1251"/>
      <c r="AMY127" s="1251"/>
      <c r="AMZ127" s="1251"/>
      <c r="ANA127" s="1251"/>
      <c r="ANB127" s="1251"/>
      <c r="ANC127" s="1251"/>
      <c r="AND127" s="1251"/>
      <c r="ANE127" s="1251"/>
      <c r="ANF127" s="1251"/>
      <c r="ANG127" s="1251"/>
      <c r="ANH127" s="1251"/>
      <c r="ANI127" s="1251"/>
      <c r="ANJ127" s="1251"/>
      <c r="ANK127" s="1251"/>
      <c r="ANL127" s="1251"/>
      <c r="ANM127" s="1251"/>
      <c r="ANN127" s="1251"/>
      <c r="ANO127" s="1251"/>
      <c r="ANP127" s="1251"/>
      <c r="ANQ127" s="1251"/>
      <c r="ANR127" s="1251"/>
      <c r="ANS127" s="1251"/>
      <c r="ANT127" s="1251"/>
      <c r="ANU127" s="1251"/>
      <c r="ANV127" s="1251"/>
      <c r="ANW127" s="1251"/>
      <c r="ANX127" s="1251"/>
      <c r="ANY127" s="1251"/>
      <c r="ANZ127" s="1251"/>
      <c r="AOA127" s="1251"/>
      <c r="AOB127" s="1251"/>
      <c r="AOC127" s="1251"/>
      <c r="AOD127" s="1251"/>
      <c r="AOE127" s="1251"/>
      <c r="AOF127" s="1251"/>
      <c r="AOG127" s="1251"/>
      <c r="AOH127" s="1251"/>
      <c r="AOI127" s="1251"/>
      <c r="AOJ127" s="1251"/>
      <c r="AOK127" s="1251"/>
      <c r="AOL127" s="1251"/>
      <c r="AOM127" s="1251"/>
      <c r="AON127" s="1251"/>
      <c r="AOO127" s="1251"/>
      <c r="AOP127" s="1251"/>
      <c r="AOQ127" s="1251"/>
      <c r="AOR127" s="1251"/>
      <c r="AOS127" s="1251"/>
      <c r="AOT127" s="1251"/>
      <c r="AOU127" s="1251"/>
      <c r="AOV127" s="1251"/>
      <c r="AOW127" s="1251"/>
      <c r="AOX127" s="1251"/>
      <c r="AOY127" s="1251"/>
      <c r="AOZ127" s="1251"/>
      <c r="APA127" s="1251"/>
      <c r="APB127" s="1251"/>
      <c r="APC127" s="1251"/>
      <c r="APD127" s="1251"/>
      <c r="APE127" s="1251"/>
      <c r="APF127" s="1251"/>
      <c r="APG127" s="1251"/>
      <c r="APH127" s="1251"/>
      <c r="API127" s="1251"/>
      <c r="APJ127" s="1251"/>
      <c r="APK127" s="1251"/>
      <c r="APL127" s="1251"/>
      <c r="APM127" s="1251"/>
      <c r="APN127" s="1251"/>
      <c r="APO127" s="1251"/>
      <c r="APP127" s="1251"/>
      <c r="APQ127" s="1251"/>
      <c r="APR127" s="1251"/>
      <c r="APS127" s="1251"/>
      <c r="APT127" s="1251"/>
      <c r="APU127" s="1251"/>
      <c r="APV127" s="1251"/>
      <c r="APW127" s="1251"/>
      <c r="APX127" s="1251"/>
      <c r="APY127" s="1251"/>
      <c r="APZ127" s="1251"/>
      <c r="AQA127" s="1251"/>
      <c r="AQB127" s="1251"/>
      <c r="AQC127" s="1251"/>
      <c r="AQD127" s="1251"/>
      <c r="AQE127" s="1251"/>
      <c r="AQF127" s="1251"/>
      <c r="AQG127" s="1251"/>
      <c r="AQH127" s="1251"/>
      <c r="AQI127" s="1251"/>
      <c r="AQJ127" s="1251"/>
      <c r="AQK127" s="1251"/>
      <c r="AQL127" s="1251"/>
      <c r="AQM127" s="1251"/>
      <c r="AQN127" s="1251"/>
      <c r="AQO127" s="1251"/>
      <c r="AQP127" s="1251"/>
      <c r="AQQ127" s="1251"/>
      <c r="AQR127" s="1251"/>
      <c r="AQS127" s="1251"/>
      <c r="AQT127" s="1251"/>
      <c r="AQU127" s="1251"/>
      <c r="AQV127" s="1251"/>
      <c r="AQW127" s="1251"/>
      <c r="AQX127" s="1251"/>
      <c r="AQY127" s="1251"/>
      <c r="AQZ127" s="1251"/>
      <c r="ARA127" s="1251"/>
      <c r="ARB127" s="1251"/>
      <c r="ARC127" s="1251"/>
      <c r="ARD127" s="1251"/>
      <c r="ARE127" s="1251"/>
      <c r="ARF127" s="1251"/>
      <c r="ARG127" s="1251"/>
      <c r="ARH127" s="1251"/>
      <c r="ARI127" s="1251"/>
      <c r="ARJ127" s="1251"/>
      <c r="ARK127" s="1251"/>
      <c r="ARL127" s="1251"/>
      <c r="ARM127" s="1251"/>
      <c r="ARN127" s="1251"/>
      <c r="ARO127" s="1251"/>
      <c r="ARP127" s="1251"/>
      <c r="ARQ127" s="1251"/>
      <c r="ARR127" s="1251"/>
      <c r="ARS127" s="1251"/>
      <c r="ART127" s="1251"/>
      <c r="ARU127" s="1251"/>
      <c r="ARV127" s="1251"/>
      <c r="ARW127" s="1251"/>
      <c r="ARX127" s="1251"/>
      <c r="ARY127" s="1251"/>
      <c r="ARZ127" s="1251"/>
      <c r="ASA127" s="1251"/>
      <c r="ASB127" s="1251"/>
      <c r="ASC127" s="1251"/>
      <c r="ASD127" s="1251"/>
      <c r="ASE127" s="1251"/>
      <c r="ASF127" s="1251"/>
      <c r="ASG127" s="1251"/>
      <c r="ASH127" s="1251"/>
      <c r="ASI127" s="1251"/>
      <c r="ASJ127" s="1251"/>
      <c r="ASK127" s="1251"/>
      <c r="ASL127" s="1251"/>
      <c r="ASM127" s="1251"/>
      <c r="ASN127" s="1251"/>
      <c r="ASO127" s="1251"/>
      <c r="ASP127" s="1251"/>
      <c r="ASQ127" s="1251"/>
      <c r="ASR127" s="1251"/>
      <c r="ASS127" s="1251"/>
      <c r="AST127" s="1251"/>
      <c r="ASU127" s="1251"/>
      <c r="ASV127" s="1251"/>
      <c r="ASW127" s="1251"/>
      <c r="ASX127" s="1251"/>
      <c r="ASY127" s="1251"/>
      <c r="ASZ127" s="1251"/>
      <c r="ATA127" s="1251"/>
      <c r="ATB127" s="1251"/>
      <c r="ATC127" s="1251"/>
      <c r="ATD127" s="1251"/>
      <c r="ATE127" s="1251"/>
      <c r="ATF127" s="1251"/>
      <c r="ATG127" s="1251"/>
      <c r="ATH127" s="1251"/>
      <c r="ATI127" s="1251"/>
      <c r="ATJ127" s="1251"/>
      <c r="ATK127" s="1251"/>
      <c r="ATL127" s="1251"/>
      <c r="ATM127" s="1251"/>
      <c r="ATN127" s="1251"/>
      <c r="ATO127" s="1251"/>
      <c r="ATP127" s="1251"/>
      <c r="ATQ127" s="1251"/>
      <c r="ATR127" s="1251"/>
      <c r="ATS127" s="1251"/>
      <c r="ATT127" s="1251"/>
      <c r="ATU127" s="1251"/>
      <c r="ATV127" s="1251"/>
      <c r="ATW127" s="1251"/>
      <c r="ATX127" s="1251"/>
      <c r="ATY127" s="1251"/>
      <c r="ATZ127" s="1251"/>
      <c r="AUA127" s="1251"/>
      <c r="AUB127" s="1251"/>
      <c r="AUC127" s="1251"/>
      <c r="AUD127" s="1251"/>
      <c r="AUE127" s="1251"/>
      <c r="AUF127" s="1251"/>
      <c r="AUG127" s="1251"/>
      <c r="AUH127" s="1251"/>
      <c r="AUI127" s="1251"/>
      <c r="AUJ127" s="1251"/>
      <c r="AUK127" s="1251"/>
      <c r="AUL127" s="1251"/>
      <c r="AUM127" s="1251"/>
      <c r="AUN127" s="1251"/>
      <c r="AUO127" s="1251"/>
      <c r="AUP127" s="1251"/>
      <c r="AUQ127" s="1251"/>
      <c r="AUR127" s="1251"/>
      <c r="AUS127" s="1251"/>
      <c r="AUT127" s="1251"/>
      <c r="AUU127" s="1251"/>
      <c r="AUV127" s="1251"/>
      <c r="AUW127" s="1251"/>
      <c r="AUX127" s="1251"/>
      <c r="AUY127" s="1251"/>
      <c r="AUZ127" s="1251"/>
      <c r="AVA127" s="1251"/>
      <c r="AVB127" s="1251"/>
      <c r="AVC127" s="1251"/>
      <c r="AVD127" s="1251"/>
      <c r="AVE127" s="1251"/>
      <c r="AVF127" s="1251"/>
      <c r="AVG127" s="1251"/>
      <c r="AVH127" s="1251"/>
      <c r="AVI127" s="1251"/>
      <c r="AVJ127" s="1251"/>
      <c r="AVK127" s="1251"/>
      <c r="AVL127" s="1251"/>
      <c r="AVM127" s="1251"/>
      <c r="AVN127" s="1251"/>
      <c r="AVO127" s="1251"/>
      <c r="AVP127" s="1251"/>
      <c r="AVQ127" s="1251"/>
      <c r="AVR127" s="1251"/>
      <c r="AVS127" s="1251"/>
      <c r="AVT127" s="1251"/>
      <c r="AVU127" s="1251"/>
      <c r="AVV127" s="1251"/>
      <c r="AVW127" s="1251"/>
      <c r="AVX127" s="1251"/>
      <c r="AVY127" s="1251"/>
      <c r="AVZ127" s="1251"/>
      <c r="AWA127" s="1251"/>
      <c r="AWB127" s="1251"/>
      <c r="AWC127" s="1251"/>
      <c r="AWD127" s="1251"/>
      <c r="AWE127" s="1251"/>
      <c r="AWF127" s="1251"/>
      <c r="AWG127" s="1251"/>
      <c r="AWH127" s="1251"/>
      <c r="AWI127" s="1251"/>
      <c r="AWJ127" s="1251"/>
      <c r="AWK127" s="1251"/>
      <c r="AWL127" s="1251"/>
      <c r="AWM127" s="1251"/>
      <c r="AWN127" s="1251"/>
      <c r="AWO127" s="1251"/>
      <c r="AWP127" s="1251"/>
      <c r="AWQ127" s="1251"/>
      <c r="AWR127" s="1251"/>
      <c r="AWS127" s="1251"/>
      <c r="AWT127" s="1251"/>
      <c r="AWU127" s="1251"/>
      <c r="AWV127" s="1251"/>
      <c r="AWW127" s="1251"/>
      <c r="AWX127" s="1251"/>
      <c r="AWY127" s="1251"/>
      <c r="AWZ127" s="1251"/>
      <c r="AXA127" s="1251"/>
      <c r="AXB127" s="1251"/>
      <c r="AXC127" s="1251"/>
      <c r="AXD127" s="1251"/>
      <c r="AXE127" s="1251"/>
      <c r="AXF127" s="1251"/>
      <c r="AXG127" s="1251"/>
      <c r="AXH127" s="1251"/>
      <c r="AXI127" s="1251"/>
      <c r="AXJ127" s="1251"/>
      <c r="AXK127" s="1251"/>
      <c r="AXL127" s="1251"/>
      <c r="AXM127" s="1251"/>
      <c r="AXN127" s="1251"/>
      <c r="AXO127" s="1251"/>
      <c r="AXP127" s="1251"/>
      <c r="AXQ127" s="1251"/>
      <c r="AXR127" s="1251"/>
      <c r="AXS127" s="1251"/>
      <c r="AXT127" s="1251"/>
      <c r="AXU127" s="1251"/>
      <c r="AXV127" s="1251"/>
      <c r="AXW127" s="1251"/>
      <c r="AXX127" s="1251"/>
      <c r="AXY127" s="1251"/>
      <c r="AXZ127" s="1251"/>
      <c r="AYA127" s="1251"/>
      <c r="AYB127" s="1251"/>
      <c r="AYC127" s="1251"/>
      <c r="AYD127" s="1251"/>
      <c r="AYE127" s="1251"/>
      <c r="AYF127" s="1251"/>
      <c r="AYG127" s="1251"/>
      <c r="AYH127" s="1251"/>
      <c r="AYI127" s="1251"/>
      <c r="AYJ127" s="1251"/>
      <c r="AYK127" s="1251"/>
      <c r="AYL127" s="1251"/>
      <c r="AYM127" s="1251"/>
      <c r="AYN127" s="1251"/>
      <c r="AYO127" s="1251"/>
      <c r="AYP127" s="1251"/>
      <c r="AYQ127" s="1251"/>
      <c r="AYR127" s="1251"/>
      <c r="AYS127" s="1251"/>
      <c r="AYT127" s="1251"/>
      <c r="AYU127" s="1251"/>
      <c r="AYV127" s="1251"/>
      <c r="AYW127" s="1251"/>
      <c r="AYX127" s="1251"/>
      <c r="AYY127" s="1251"/>
      <c r="AYZ127" s="1251"/>
      <c r="AZA127" s="1251"/>
      <c r="AZB127" s="1251"/>
      <c r="AZC127" s="1251"/>
      <c r="AZD127" s="1251"/>
      <c r="AZE127" s="1251"/>
      <c r="AZF127" s="1251"/>
      <c r="AZG127" s="1251"/>
      <c r="AZH127" s="1251"/>
      <c r="AZI127" s="1251"/>
      <c r="AZJ127" s="1251"/>
      <c r="AZK127" s="1251"/>
      <c r="AZL127" s="1251"/>
      <c r="AZM127" s="1251"/>
      <c r="AZN127" s="1251"/>
      <c r="AZO127" s="1251"/>
      <c r="AZP127" s="1251"/>
      <c r="AZQ127" s="1251"/>
      <c r="AZR127" s="1251"/>
      <c r="AZS127" s="1251"/>
      <c r="AZT127" s="1251"/>
      <c r="AZU127" s="1251"/>
      <c r="AZV127" s="1251"/>
      <c r="AZW127" s="1251"/>
      <c r="AZX127" s="1251"/>
      <c r="AZY127" s="1251"/>
      <c r="AZZ127" s="1251"/>
      <c r="BAA127" s="1251"/>
      <c r="BAB127" s="1251"/>
      <c r="BAC127" s="1251"/>
      <c r="BAD127" s="1251"/>
      <c r="BAE127" s="1251"/>
      <c r="BAF127" s="1251"/>
      <c r="BAG127" s="1251"/>
      <c r="BAH127" s="1251"/>
      <c r="BAI127" s="1251"/>
      <c r="BAJ127" s="1251"/>
      <c r="BAK127" s="1251"/>
      <c r="BAL127" s="1251"/>
      <c r="BAM127" s="1251"/>
      <c r="BAN127" s="1251"/>
      <c r="BAO127" s="1251"/>
      <c r="BAP127" s="1251"/>
      <c r="BAQ127" s="1251"/>
      <c r="BAR127" s="1251"/>
      <c r="BAS127" s="1251"/>
      <c r="BAT127" s="1251"/>
      <c r="BAU127" s="1251"/>
      <c r="BAV127" s="1251"/>
      <c r="BAW127" s="1251"/>
      <c r="BAX127" s="1251"/>
      <c r="BAY127" s="1251"/>
      <c r="BAZ127" s="1251"/>
      <c r="BBA127" s="1251"/>
      <c r="BBB127" s="1251"/>
      <c r="BBC127" s="1251"/>
      <c r="BBD127" s="1251"/>
      <c r="BBE127" s="1251"/>
      <c r="BBF127" s="1251"/>
      <c r="BBG127" s="1251"/>
      <c r="BBH127" s="1251"/>
      <c r="BBI127" s="1251"/>
      <c r="BBJ127" s="1251"/>
      <c r="BBK127" s="1251"/>
      <c r="BBL127" s="1251"/>
      <c r="BBM127" s="1251"/>
      <c r="BBN127" s="1251"/>
      <c r="BBO127" s="1251"/>
      <c r="BBP127" s="1251"/>
      <c r="BBQ127" s="1251"/>
      <c r="BBR127" s="1251"/>
      <c r="BBS127" s="1251"/>
      <c r="BBT127" s="1251"/>
      <c r="BBU127" s="1251"/>
      <c r="BBV127" s="1251"/>
      <c r="BBW127" s="1251"/>
      <c r="BBX127" s="1251"/>
      <c r="BBY127" s="1251"/>
      <c r="BBZ127" s="1251"/>
      <c r="BCA127" s="1251"/>
      <c r="BCB127" s="1251"/>
      <c r="BCC127" s="1251"/>
      <c r="BCD127" s="1251"/>
      <c r="BCE127" s="1251"/>
      <c r="BCF127" s="1251"/>
      <c r="BCG127" s="1251"/>
      <c r="BCH127" s="1251"/>
      <c r="BCI127" s="1251"/>
      <c r="BCJ127" s="1251"/>
      <c r="BCK127" s="1251"/>
      <c r="BCL127" s="1251"/>
      <c r="BCM127" s="1251"/>
      <c r="BCN127" s="1251"/>
      <c r="BCO127" s="1251"/>
      <c r="BCP127" s="1251"/>
      <c r="BCQ127" s="1251"/>
      <c r="BCR127" s="1251"/>
      <c r="BCS127" s="1251"/>
      <c r="BCT127" s="1251"/>
      <c r="BCU127" s="1251"/>
      <c r="BCV127" s="1251"/>
      <c r="BCW127" s="1251"/>
      <c r="BCX127" s="1251"/>
      <c r="BCY127" s="1251"/>
      <c r="BCZ127" s="1251"/>
      <c r="BDA127" s="1251"/>
      <c r="BDB127" s="1251"/>
      <c r="BDC127" s="1251"/>
      <c r="BDD127" s="1251"/>
      <c r="BDE127" s="1251"/>
      <c r="BDF127" s="1251"/>
      <c r="BDG127" s="1251"/>
      <c r="BDH127" s="1251"/>
      <c r="BDI127" s="1251"/>
      <c r="BDJ127" s="1251"/>
      <c r="BDK127" s="1251"/>
      <c r="BDL127" s="1251"/>
      <c r="BDM127" s="1251"/>
      <c r="BDN127" s="1251"/>
      <c r="BDO127" s="1251"/>
      <c r="BDP127" s="1251"/>
      <c r="BDQ127" s="1251"/>
      <c r="BDR127" s="1251"/>
      <c r="BDS127" s="1251"/>
      <c r="BDT127" s="1251"/>
      <c r="BDU127" s="1251"/>
      <c r="BDV127" s="1251"/>
      <c r="BDW127" s="1251"/>
      <c r="BDX127" s="1251"/>
      <c r="BDY127" s="1251"/>
      <c r="BDZ127" s="1251"/>
      <c r="BEA127" s="1251"/>
      <c r="BEB127" s="1251"/>
      <c r="BEC127" s="1251"/>
      <c r="BED127" s="1251"/>
      <c r="BEE127" s="1251"/>
      <c r="BEF127" s="1251"/>
      <c r="BEG127" s="1251"/>
      <c r="BEH127" s="1251"/>
      <c r="BEI127" s="1251"/>
      <c r="BEJ127" s="1251"/>
      <c r="BEK127" s="1251"/>
      <c r="BEL127" s="1251"/>
      <c r="BEM127" s="1251"/>
      <c r="BEN127" s="1251"/>
      <c r="BEO127" s="1251"/>
      <c r="BEP127" s="1251"/>
      <c r="BEQ127" s="1251"/>
      <c r="BER127" s="1251"/>
      <c r="BES127" s="1251"/>
      <c r="BET127" s="1251"/>
      <c r="BEU127" s="1251"/>
      <c r="BEV127" s="1251"/>
      <c r="BEW127" s="1251"/>
      <c r="BEX127" s="1251"/>
      <c r="BEY127" s="1251"/>
      <c r="BEZ127" s="1251"/>
      <c r="BFA127" s="1251"/>
      <c r="BFB127" s="1251"/>
      <c r="BFC127" s="1251"/>
      <c r="BFD127" s="1251"/>
      <c r="BFE127" s="1251"/>
      <c r="BFF127" s="1251"/>
      <c r="BFG127" s="1251"/>
      <c r="BFH127" s="1251"/>
      <c r="BFI127" s="1251"/>
      <c r="BFJ127" s="1251"/>
      <c r="BFK127" s="1251"/>
      <c r="BFL127" s="1251"/>
      <c r="BFM127" s="1251"/>
      <c r="BFN127" s="1251"/>
      <c r="BFO127" s="1251"/>
      <c r="BFP127" s="1251"/>
      <c r="BFQ127" s="1251"/>
      <c r="BFR127" s="1251"/>
      <c r="BFS127" s="1251"/>
      <c r="BFT127" s="1251"/>
      <c r="BFU127" s="1251"/>
      <c r="BFV127" s="1251"/>
      <c r="BFW127" s="1251"/>
      <c r="BFX127" s="1251"/>
      <c r="BFY127" s="1251"/>
      <c r="BFZ127" s="1251"/>
      <c r="BGA127" s="1251"/>
      <c r="BGB127" s="1251"/>
      <c r="BGC127" s="1251"/>
      <c r="BGD127" s="1251"/>
      <c r="BGE127" s="1251"/>
      <c r="BGF127" s="1251"/>
      <c r="BGG127" s="1251"/>
      <c r="BGH127" s="1251"/>
      <c r="BGI127" s="1251"/>
      <c r="BGJ127" s="1251"/>
      <c r="BGK127" s="1251"/>
      <c r="BGL127" s="1251"/>
      <c r="BGM127" s="1251"/>
      <c r="BGN127" s="1251"/>
      <c r="BGO127" s="1251"/>
      <c r="BGP127" s="1251"/>
      <c r="BGQ127" s="1251"/>
      <c r="BGR127" s="1251"/>
      <c r="BGS127" s="1251"/>
      <c r="BGT127" s="1251"/>
      <c r="BGU127" s="1251"/>
      <c r="BGV127" s="1251"/>
      <c r="BGW127" s="1251"/>
      <c r="BGX127" s="1251"/>
      <c r="BGY127" s="1251"/>
      <c r="BGZ127" s="1251"/>
      <c r="BHA127" s="1251"/>
      <c r="BHB127" s="1251"/>
      <c r="BHC127" s="1251"/>
      <c r="BHD127" s="1251"/>
      <c r="BHE127" s="1251"/>
      <c r="BHF127" s="1251"/>
      <c r="BHG127" s="1251"/>
      <c r="BHH127" s="1251"/>
      <c r="BHI127" s="1251"/>
      <c r="BHJ127" s="1251"/>
      <c r="BHK127" s="1251"/>
      <c r="BHL127" s="1251"/>
      <c r="BHM127" s="1251"/>
      <c r="BHN127" s="1251"/>
      <c r="BHO127" s="1251"/>
      <c r="BHP127" s="1251"/>
      <c r="BHQ127" s="1251"/>
      <c r="BHR127" s="1251"/>
      <c r="BHS127" s="1251"/>
      <c r="BHT127" s="1251"/>
      <c r="BHU127" s="1251"/>
      <c r="BHV127" s="1251"/>
      <c r="BHW127" s="1251"/>
      <c r="BHX127" s="1251"/>
      <c r="BHY127" s="1251"/>
      <c r="BHZ127" s="1251"/>
      <c r="BIA127" s="1251"/>
      <c r="BIB127" s="1251"/>
      <c r="BIC127" s="1251"/>
      <c r="BID127" s="1251"/>
      <c r="BIE127" s="1251"/>
      <c r="BIF127" s="1251"/>
      <c r="BIG127" s="1251"/>
      <c r="BIH127" s="1251"/>
      <c r="BII127" s="1251"/>
      <c r="BIJ127" s="1251"/>
      <c r="BIK127" s="1251"/>
      <c r="BIL127" s="1251"/>
      <c r="BIM127" s="1251"/>
      <c r="BIN127" s="1251"/>
      <c r="BIO127" s="1251"/>
      <c r="BIP127" s="1251"/>
      <c r="BIQ127" s="1251"/>
      <c r="BIR127" s="1251"/>
      <c r="BIS127" s="1251"/>
      <c r="BIT127" s="1251"/>
      <c r="BIU127" s="1251"/>
      <c r="BIV127" s="1251"/>
      <c r="BIW127" s="1251"/>
      <c r="BIX127" s="1251"/>
      <c r="BIY127" s="1251"/>
      <c r="BIZ127" s="1251"/>
      <c r="BJA127" s="1251"/>
      <c r="BJB127" s="1251"/>
      <c r="BJC127" s="1251"/>
      <c r="BJD127" s="1251"/>
      <c r="BJE127" s="1251"/>
      <c r="BJF127" s="1251"/>
      <c r="BJG127" s="1251"/>
      <c r="BJH127" s="1251"/>
      <c r="BJI127" s="1251"/>
      <c r="BJJ127" s="1251"/>
      <c r="BJK127" s="1251"/>
      <c r="BJL127" s="1251"/>
      <c r="BJM127" s="1251"/>
      <c r="BJN127" s="1251"/>
      <c r="BJO127" s="1251"/>
      <c r="BJP127" s="1251"/>
      <c r="BJQ127" s="1251"/>
      <c r="BJR127" s="1251"/>
      <c r="BJS127" s="1251"/>
      <c r="BJT127" s="1251"/>
      <c r="BJU127" s="1251"/>
      <c r="BJV127" s="1251"/>
      <c r="BJW127" s="1251"/>
      <c r="BJX127" s="1251"/>
      <c r="BJY127" s="1251"/>
      <c r="BJZ127" s="1251"/>
      <c r="BKA127" s="1251"/>
      <c r="BKB127" s="1251"/>
      <c r="BKC127" s="1251"/>
      <c r="BKD127" s="1251"/>
      <c r="BKE127" s="1251"/>
      <c r="BKF127" s="1251"/>
      <c r="BKG127" s="1251"/>
      <c r="BKH127" s="1251"/>
      <c r="BKI127" s="1251"/>
      <c r="BKJ127" s="1251"/>
      <c r="BKK127" s="1251"/>
      <c r="BKL127" s="1251"/>
      <c r="BKM127" s="1251"/>
      <c r="BKN127" s="1251"/>
      <c r="BKO127" s="1251"/>
      <c r="BKP127" s="1251"/>
      <c r="BKQ127" s="1251"/>
      <c r="BKR127" s="1251"/>
      <c r="BKS127" s="1251"/>
      <c r="BKT127" s="1251"/>
      <c r="BKU127" s="1251"/>
      <c r="BKV127" s="1251"/>
      <c r="BKW127" s="1251"/>
      <c r="BKX127" s="1251"/>
      <c r="BKY127" s="1251"/>
      <c r="BKZ127" s="1251"/>
      <c r="BLA127" s="1251"/>
      <c r="BLB127" s="1251"/>
      <c r="BLC127" s="1251"/>
      <c r="BLD127" s="1251"/>
      <c r="BLE127" s="1251"/>
      <c r="BLF127" s="1251"/>
      <c r="BLG127" s="1251"/>
      <c r="BLH127" s="1251"/>
      <c r="BLI127" s="1251"/>
      <c r="BLJ127" s="1251"/>
      <c r="BLK127" s="1251"/>
      <c r="BLL127" s="1251"/>
      <c r="BLM127" s="1251"/>
      <c r="BLN127" s="1251"/>
      <c r="BLO127" s="1251"/>
      <c r="BLP127" s="1251"/>
      <c r="BLQ127" s="1251"/>
      <c r="BLR127" s="1251"/>
      <c r="BLS127" s="1251"/>
      <c r="BLT127" s="1251"/>
      <c r="BLU127" s="1251"/>
      <c r="BLV127" s="1251"/>
      <c r="BLW127" s="1251"/>
      <c r="BLX127" s="1251"/>
      <c r="BLY127" s="1251"/>
      <c r="BLZ127" s="1251"/>
      <c r="BMA127" s="1251"/>
      <c r="BMB127" s="1251"/>
      <c r="BMC127" s="1251"/>
      <c r="BMD127" s="1251"/>
      <c r="BME127" s="1251"/>
      <c r="BMF127" s="1251"/>
      <c r="BMG127" s="1251"/>
      <c r="BMH127" s="1251"/>
      <c r="BMI127" s="1251"/>
      <c r="BMJ127" s="1251"/>
      <c r="BMK127" s="1251"/>
      <c r="BML127" s="1251"/>
      <c r="BMM127" s="1251"/>
      <c r="BMN127" s="1251"/>
      <c r="BMO127" s="1251"/>
      <c r="BMP127" s="1251"/>
      <c r="BMQ127" s="1251"/>
      <c r="BMR127" s="1251"/>
      <c r="BMS127" s="1251"/>
      <c r="BMT127" s="1251"/>
      <c r="BMU127" s="1251"/>
      <c r="BMV127" s="1251"/>
      <c r="BMW127" s="1251"/>
      <c r="BMX127" s="1251"/>
      <c r="BMY127" s="1251"/>
      <c r="BMZ127" s="1251"/>
      <c r="BNA127" s="1251"/>
      <c r="BNB127" s="1251"/>
      <c r="BNC127" s="1251"/>
      <c r="BND127" s="1251"/>
      <c r="BNE127" s="1251"/>
      <c r="BNF127" s="1251"/>
      <c r="BNG127" s="1251"/>
      <c r="BNH127" s="1251"/>
      <c r="BNI127" s="1251"/>
      <c r="BNJ127" s="1251"/>
      <c r="BNK127" s="1251"/>
      <c r="BNL127" s="1251"/>
      <c r="BNM127" s="1251"/>
      <c r="BNN127" s="1251"/>
      <c r="BNO127" s="1251"/>
      <c r="BNP127" s="1251"/>
      <c r="BNQ127" s="1251"/>
      <c r="BNR127" s="1251"/>
      <c r="BNS127" s="1251"/>
      <c r="BNT127" s="1251"/>
      <c r="BNU127" s="1251"/>
      <c r="BNV127" s="1251"/>
      <c r="BNW127" s="1251"/>
      <c r="BNX127" s="1251"/>
      <c r="BNY127" s="1251"/>
      <c r="BNZ127" s="1251"/>
      <c r="BOA127" s="1251"/>
      <c r="BOB127" s="1251"/>
      <c r="BOC127" s="1251"/>
      <c r="BOD127" s="1251"/>
      <c r="BOE127" s="1251"/>
      <c r="BOF127" s="1251"/>
      <c r="BOG127" s="1251"/>
      <c r="BOH127" s="1251"/>
      <c r="BOI127" s="1251"/>
      <c r="BOJ127" s="1251"/>
      <c r="BOK127" s="1251"/>
      <c r="BOL127" s="1251"/>
      <c r="BOM127" s="1251"/>
      <c r="BON127" s="1251"/>
      <c r="BOO127" s="1251"/>
      <c r="BOP127" s="1251"/>
      <c r="BOQ127" s="1251"/>
      <c r="BOR127" s="1251"/>
      <c r="BOS127" s="1251"/>
      <c r="BOT127" s="1251"/>
      <c r="BOU127" s="1251"/>
      <c r="BOV127" s="1251"/>
      <c r="BOW127" s="1251"/>
      <c r="BOX127" s="1251"/>
      <c r="BOY127" s="1251"/>
      <c r="BOZ127" s="1251"/>
      <c r="BPA127" s="1251"/>
      <c r="BPB127" s="1251"/>
      <c r="BPC127" s="1251"/>
      <c r="BPD127" s="1251"/>
      <c r="BPE127" s="1251"/>
      <c r="BPF127" s="1251"/>
      <c r="BPG127" s="1251"/>
      <c r="BPH127" s="1251"/>
      <c r="BPI127" s="1251"/>
      <c r="BPJ127" s="1251"/>
      <c r="BPK127" s="1251"/>
      <c r="BPL127" s="1251"/>
      <c r="BPM127" s="1251"/>
      <c r="BPN127" s="1251"/>
      <c r="BPO127" s="1251"/>
      <c r="BPP127" s="1251"/>
      <c r="BPQ127" s="1251"/>
      <c r="BPR127" s="1251"/>
      <c r="BPS127" s="1251"/>
      <c r="BPT127" s="1251"/>
      <c r="BPU127" s="1251"/>
      <c r="BPV127" s="1251"/>
      <c r="BPW127" s="1251"/>
      <c r="BPX127" s="1251"/>
      <c r="BPY127" s="1251"/>
      <c r="BPZ127" s="1251"/>
      <c r="BQA127" s="1251"/>
      <c r="BQB127" s="1251"/>
      <c r="BQC127" s="1251"/>
      <c r="BQD127" s="1251"/>
      <c r="BQE127" s="1251"/>
      <c r="BQF127" s="1251"/>
      <c r="BQG127" s="1251"/>
      <c r="BQH127" s="1251"/>
      <c r="BQI127" s="1251"/>
      <c r="BQJ127" s="1251"/>
      <c r="BQK127" s="1251"/>
      <c r="BQL127" s="1251"/>
      <c r="BQM127" s="1251"/>
      <c r="BQN127" s="1251"/>
      <c r="BQO127" s="1251"/>
      <c r="BQP127" s="1251"/>
      <c r="BQQ127" s="1251"/>
      <c r="BQR127" s="1251"/>
      <c r="BQS127" s="1251"/>
      <c r="BQT127" s="1251"/>
      <c r="BQU127" s="1251"/>
      <c r="BQV127" s="1251"/>
      <c r="BQW127" s="1251"/>
      <c r="BQX127" s="1251"/>
      <c r="BQY127" s="1251"/>
      <c r="BQZ127" s="1251"/>
      <c r="BRA127" s="1251"/>
      <c r="BRB127" s="1251"/>
      <c r="BRC127" s="1251"/>
      <c r="BRD127" s="1251"/>
      <c r="BRE127" s="1251"/>
      <c r="BRF127" s="1251"/>
      <c r="BRG127" s="1251"/>
      <c r="BRH127" s="1251"/>
      <c r="BRI127" s="1251"/>
      <c r="BRJ127" s="1251"/>
      <c r="BRK127" s="1251"/>
      <c r="BRL127" s="1251"/>
      <c r="BRM127" s="1251"/>
      <c r="BRN127" s="1251"/>
      <c r="BRO127" s="1251"/>
      <c r="BRP127" s="1251"/>
      <c r="BRQ127" s="1251"/>
      <c r="BRR127" s="1251"/>
      <c r="BRS127" s="1251"/>
      <c r="BRT127" s="1251"/>
      <c r="BRU127" s="1251"/>
      <c r="BRV127" s="1251"/>
      <c r="BRW127" s="1251"/>
      <c r="BRX127" s="1251"/>
      <c r="BRY127" s="1251"/>
      <c r="BRZ127" s="1251"/>
      <c r="BSA127" s="1251"/>
      <c r="BSB127" s="1251"/>
      <c r="BSC127" s="1251"/>
      <c r="BSD127" s="1251"/>
      <c r="BSE127" s="1251"/>
      <c r="BSF127" s="1251"/>
      <c r="BSG127" s="1251"/>
      <c r="BSH127" s="1251"/>
      <c r="BSI127" s="1251"/>
      <c r="BSJ127" s="1251"/>
      <c r="BSK127" s="1251"/>
      <c r="BSL127" s="1251"/>
      <c r="BSM127" s="1251"/>
      <c r="BSN127" s="1251"/>
      <c r="BSO127" s="1251"/>
      <c r="BSP127" s="1251"/>
      <c r="BSQ127" s="1251"/>
      <c r="BSR127" s="1251"/>
      <c r="BSS127" s="1251"/>
      <c r="BST127" s="1251"/>
      <c r="BSU127" s="1251"/>
      <c r="BSV127" s="1251"/>
      <c r="BSW127" s="1251"/>
      <c r="BSX127" s="1251"/>
      <c r="BSY127" s="1251"/>
      <c r="BSZ127" s="1251"/>
      <c r="BTA127" s="1251"/>
      <c r="BTB127" s="1251"/>
      <c r="BTC127" s="1251"/>
      <c r="BTD127" s="1251"/>
      <c r="BTE127" s="1251"/>
      <c r="BTF127" s="1251"/>
      <c r="BTG127" s="1251"/>
      <c r="BTH127" s="1251"/>
      <c r="BTI127" s="1251"/>
    </row>
    <row r="128" spans="1:1881" s="1261" customFormat="1" ht="15" hidden="1" thickBot="1" x14ac:dyDescent="0.35">
      <c r="A128" s="1248"/>
      <c r="B128" s="841" t="s">
        <v>1384</v>
      </c>
      <c r="C128" s="841"/>
      <c r="D128" s="828"/>
      <c r="E128" s="828"/>
      <c r="F128" s="1278"/>
      <c r="G128" s="846"/>
      <c r="H128" s="17"/>
      <c r="I128" s="760"/>
      <c r="J128" s="1251"/>
      <c r="K128" s="1251"/>
      <c r="L128" s="701"/>
      <c r="M128" s="1251"/>
      <c r="N128" s="1253"/>
      <c r="O128" s="1251"/>
      <c r="P128" s="1251"/>
      <c r="Q128" s="1251"/>
      <c r="R128" s="1251"/>
      <c r="S128" s="1251"/>
      <c r="T128" s="1251"/>
      <c r="U128" s="1251"/>
      <c r="V128" s="1251"/>
      <c r="W128" s="1251"/>
      <c r="X128" s="1251"/>
      <c r="Y128" s="1251"/>
      <c r="Z128" s="1248"/>
      <c r="AA128" s="1248"/>
      <c r="AB128" s="1248"/>
      <c r="AC128" s="1248"/>
      <c r="AD128" s="1248"/>
      <c r="AE128" s="1248"/>
      <c r="AF128" s="1248"/>
      <c r="AG128" s="1248"/>
      <c r="AH128" s="1248"/>
      <c r="AI128" s="1248"/>
      <c r="AJ128" s="1248"/>
      <c r="AK128" s="1248"/>
      <c r="AL128" s="1248"/>
      <c r="AM128" s="1248"/>
      <c r="AN128" s="1248"/>
      <c r="AO128" s="1248"/>
      <c r="AP128" s="1248"/>
      <c r="AQ128" s="1248"/>
      <c r="AR128" s="1248"/>
      <c r="AS128" s="1251"/>
      <c r="AT128" s="1251"/>
      <c r="AU128" s="1251"/>
      <c r="AV128" s="1251"/>
      <c r="AW128" s="1251"/>
      <c r="AX128" s="1251"/>
      <c r="AY128" s="1251"/>
      <c r="AZ128" s="1251"/>
      <c r="BA128" s="1251"/>
      <c r="BB128" s="1251"/>
      <c r="BC128" s="1251"/>
      <c r="BD128" s="1251"/>
      <c r="BE128" s="1251"/>
      <c r="BF128" s="1251"/>
      <c r="BG128" s="1251"/>
      <c r="BH128" s="1251"/>
      <c r="BI128" s="1251"/>
      <c r="BJ128" s="1251"/>
      <c r="BK128" s="1251"/>
      <c r="BL128" s="1251"/>
      <c r="BM128" s="1251"/>
      <c r="BN128" s="1251"/>
      <c r="BO128" s="1251"/>
      <c r="BP128" s="1251"/>
      <c r="BQ128" s="1251"/>
      <c r="BR128" s="1251"/>
      <c r="BS128" s="1251"/>
      <c r="BT128" s="1251"/>
      <c r="BU128" s="1251"/>
      <c r="BV128" s="1251"/>
      <c r="BW128" s="1251"/>
      <c r="BX128" s="1251"/>
      <c r="BY128" s="1251"/>
      <c r="BZ128" s="1251"/>
      <c r="CA128" s="1251"/>
      <c r="CB128" s="1251"/>
      <c r="CC128" s="1251"/>
      <c r="CD128" s="1251"/>
      <c r="CE128" s="1251"/>
      <c r="CF128" s="1251"/>
      <c r="CG128" s="1251"/>
      <c r="CH128" s="1251"/>
      <c r="CI128" s="1251"/>
      <c r="CJ128" s="1251"/>
      <c r="CK128" s="1251"/>
      <c r="CL128" s="1251"/>
      <c r="CM128" s="1251"/>
      <c r="CN128" s="1251"/>
      <c r="CO128" s="1251"/>
      <c r="CP128" s="1251"/>
      <c r="CQ128" s="1251"/>
      <c r="CR128" s="1251"/>
      <c r="CS128" s="1251"/>
      <c r="CT128" s="1251"/>
      <c r="CU128" s="1251"/>
      <c r="CV128" s="1251"/>
      <c r="CW128" s="1251"/>
      <c r="CX128" s="1251"/>
      <c r="CY128" s="1251"/>
      <c r="CZ128" s="1251"/>
      <c r="DA128" s="1251"/>
      <c r="DB128" s="1251"/>
      <c r="DC128" s="1251"/>
      <c r="DD128" s="1251"/>
      <c r="DE128" s="1251"/>
      <c r="DF128" s="1251"/>
      <c r="DG128" s="1251"/>
      <c r="DH128" s="1251"/>
      <c r="DI128" s="1251"/>
      <c r="DJ128" s="1251"/>
      <c r="DK128" s="1251"/>
      <c r="DL128" s="1251"/>
      <c r="DM128" s="1251"/>
      <c r="DN128" s="1251"/>
      <c r="DO128" s="1251"/>
      <c r="DP128" s="1251"/>
      <c r="DQ128" s="1251"/>
      <c r="DR128" s="1251"/>
      <c r="DS128" s="1251"/>
      <c r="DT128" s="1251"/>
      <c r="DU128" s="1251"/>
      <c r="DV128" s="1251"/>
      <c r="DW128" s="1251"/>
      <c r="DX128" s="1251"/>
      <c r="DY128" s="1251"/>
      <c r="DZ128" s="1251"/>
      <c r="EA128" s="1251"/>
      <c r="EB128" s="1251"/>
      <c r="EC128" s="1251"/>
      <c r="ED128" s="1251"/>
      <c r="EE128" s="1251"/>
      <c r="EF128" s="1251"/>
      <c r="EG128" s="1251"/>
      <c r="EH128" s="1251"/>
      <c r="EI128" s="1251"/>
      <c r="EJ128" s="1251"/>
      <c r="EK128" s="1251"/>
      <c r="EL128" s="1251"/>
      <c r="EM128" s="1251"/>
      <c r="EN128" s="1251"/>
      <c r="EO128" s="1251"/>
      <c r="EP128" s="1251"/>
      <c r="EQ128" s="1251"/>
      <c r="ER128" s="1251"/>
      <c r="ES128" s="1251"/>
      <c r="ET128" s="1251"/>
      <c r="EU128" s="1251"/>
      <c r="EV128" s="1251"/>
      <c r="EW128" s="1251"/>
      <c r="EX128" s="1251"/>
      <c r="EY128" s="1251"/>
      <c r="EZ128" s="1251"/>
      <c r="FA128" s="1251"/>
      <c r="FB128" s="1251"/>
      <c r="FC128" s="1251"/>
      <c r="FD128" s="1251"/>
      <c r="FE128" s="1251"/>
      <c r="FF128" s="1251"/>
      <c r="FG128" s="1251"/>
      <c r="FH128" s="1251"/>
      <c r="FI128" s="1251"/>
      <c r="FJ128" s="1251"/>
      <c r="FK128" s="1251"/>
      <c r="FL128" s="1251"/>
      <c r="FM128" s="1251"/>
      <c r="FN128" s="1251"/>
      <c r="FO128" s="1251"/>
      <c r="FP128" s="1251"/>
      <c r="FQ128" s="1251"/>
      <c r="FR128" s="1251"/>
      <c r="FS128" s="1251"/>
      <c r="FT128" s="1251"/>
      <c r="FU128" s="1251"/>
      <c r="FV128" s="1251"/>
      <c r="FW128" s="1251"/>
      <c r="FX128" s="1251"/>
      <c r="FY128" s="1251"/>
      <c r="FZ128" s="1251"/>
      <c r="GA128" s="1251"/>
      <c r="GB128" s="1251"/>
      <c r="GC128" s="1251"/>
      <c r="GD128" s="1251"/>
      <c r="GE128" s="1251"/>
      <c r="GF128" s="1251"/>
      <c r="GG128" s="1251"/>
      <c r="GH128" s="1251"/>
      <c r="GI128" s="1251"/>
      <c r="GJ128" s="1251"/>
      <c r="GK128" s="1251"/>
      <c r="GL128" s="1251"/>
      <c r="GM128" s="1251"/>
      <c r="GN128" s="1251"/>
      <c r="GO128" s="1251"/>
      <c r="GP128" s="1251"/>
      <c r="GQ128" s="1251"/>
      <c r="GR128" s="1251"/>
      <c r="GS128" s="1251"/>
      <c r="GT128" s="1251"/>
      <c r="GU128" s="1251"/>
      <c r="GV128" s="1251"/>
      <c r="GW128" s="1251"/>
      <c r="GX128" s="1251"/>
      <c r="GY128" s="1251"/>
      <c r="GZ128" s="1251"/>
      <c r="HA128" s="1251"/>
      <c r="HB128" s="1251"/>
      <c r="HC128" s="1251"/>
      <c r="HD128" s="1251"/>
      <c r="HE128" s="1251"/>
      <c r="HF128" s="1251"/>
      <c r="HG128" s="1251"/>
      <c r="HH128" s="1251"/>
      <c r="HI128" s="1251"/>
      <c r="HJ128" s="1251"/>
      <c r="HK128" s="1251"/>
      <c r="HL128" s="1251"/>
      <c r="HM128" s="1251"/>
      <c r="HN128" s="1251"/>
      <c r="HO128" s="1251"/>
      <c r="HP128" s="1251"/>
      <c r="HQ128" s="1251"/>
      <c r="HR128" s="1251"/>
      <c r="HS128" s="1251"/>
      <c r="HT128" s="1251"/>
      <c r="HU128" s="1251"/>
      <c r="HV128" s="1251"/>
      <c r="HW128" s="1251"/>
      <c r="HX128" s="1251"/>
      <c r="HY128" s="1251"/>
      <c r="HZ128" s="1251"/>
      <c r="IA128" s="1251"/>
      <c r="IB128" s="1251"/>
      <c r="IC128" s="1251"/>
      <c r="ID128" s="1251"/>
      <c r="IE128" s="1251"/>
      <c r="IF128" s="1251"/>
      <c r="IG128" s="1251"/>
      <c r="IH128" s="1251"/>
      <c r="II128" s="1251"/>
      <c r="IJ128" s="1251"/>
      <c r="IK128" s="1251"/>
      <c r="IL128" s="1251"/>
      <c r="IM128" s="1251"/>
      <c r="IN128" s="1251"/>
      <c r="IO128" s="1251"/>
      <c r="IP128" s="1251"/>
      <c r="IQ128" s="1251"/>
      <c r="IR128" s="1251"/>
      <c r="IS128" s="1251"/>
      <c r="IT128" s="1251"/>
      <c r="IU128" s="1251"/>
      <c r="IV128" s="1251"/>
      <c r="IW128" s="1251"/>
      <c r="IX128" s="1251"/>
      <c r="IY128" s="1251"/>
      <c r="IZ128" s="1251"/>
      <c r="JA128" s="1251"/>
      <c r="JB128" s="1251"/>
      <c r="JC128" s="1251"/>
      <c r="JD128" s="1251"/>
      <c r="JE128" s="1251"/>
      <c r="JF128" s="1251"/>
      <c r="JG128" s="1251"/>
      <c r="JH128" s="1251"/>
      <c r="JI128" s="1251"/>
      <c r="JJ128" s="1251"/>
      <c r="JK128" s="1251"/>
      <c r="JL128" s="1251"/>
      <c r="JM128" s="1251"/>
      <c r="JN128" s="1251"/>
      <c r="JO128" s="1251"/>
      <c r="JP128" s="1251"/>
      <c r="JQ128" s="1251"/>
      <c r="JR128" s="1251"/>
      <c r="JS128" s="1251"/>
      <c r="JT128" s="1251"/>
      <c r="JU128" s="1251"/>
      <c r="JV128" s="1251"/>
      <c r="JW128" s="1251"/>
      <c r="JX128" s="1251"/>
      <c r="JY128" s="1251"/>
      <c r="JZ128" s="1251"/>
      <c r="KA128" s="1251"/>
      <c r="KB128" s="1251"/>
      <c r="KC128" s="1251"/>
      <c r="KD128" s="1251"/>
      <c r="KE128" s="1251"/>
      <c r="KF128" s="1251"/>
      <c r="KG128" s="1251"/>
      <c r="KH128" s="1251"/>
      <c r="KI128" s="1251"/>
      <c r="KJ128" s="1251"/>
      <c r="KK128" s="1251"/>
      <c r="KL128" s="1251"/>
      <c r="KM128" s="1251"/>
      <c r="KN128" s="1251"/>
      <c r="KO128" s="1251"/>
      <c r="KP128" s="1251"/>
      <c r="KQ128" s="1251"/>
      <c r="KR128" s="1251"/>
      <c r="KS128" s="1251"/>
      <c r="KT128" s="1251"/>
      <c r="KU128" s="1251"/>
      <c r="KV128" s="1251"/>
      <c r="KW128" s="1251"/>
      <c r="KX128" s="1251"/>
      <c r="KY128" s="1251"/>
      <c r="KZ128" s="1251"/>
      <c r="LA128" s="1251"/>
      <c r="LB128" s="1251"/>
      <c r="LC128" s="1251"/>
      <c r="LD128" s="1251"/>
      <c r="LE128" s="1251"/>
      <c r="LF128" s="1251"/>
      <c r="LG128" s="1251"/>
      <c r="LH128" s="1251"/>
      <c r="LI128" s="1251"/>
      <c r="LJ128" s="1251"/>
      <c r="LK128" s="1251"/>
      <c r="LL128" s="1251"/>
      <c r="LM128" s="1251"/>
      <c r="LN128" s="1251"/>
      <c r="LO128" s="1251"/>
      <c r="LP128" s="1251"/>
      <c r="LQ128" s="1251"/>
      <c r="LR128" s="1251"/>
      <c r="LS128" s="1251"/>
      <c r="LT128" s="1251"/>
      <c r="LU128" s="1251"/>
      <c r="LV128" s="1251"/>
      <c r="LW128" s="1251"/>
      <c r="LX128" s="1251"/>
      <c r="LY128" s="1251"/>
      <c r="LZ128" s="1251"/>
      <c r="MA128" s="1251"/>
      <c r="MB128" s="1251"/>
      <c r="MC128" s="1251"/>
      <c r="MD128" s="1251"/>
      <c r="ME128" s="1251"/>
      <c r="MF128" s="1251"/>
      <c r="MG128" s="1251"/>
      <c r="MH128" s="1251"/>
      <c r="MI128" s="1251"/>
      <c r="MJ128" s="1251"/>
      <c r="MK128" s="1251"/>
      <c r="ML128" s="1251"/>
      <c r="MM128" s="1251"/>
      <c r="MN128" s="1251"/>
      <c r="MO128" s="1251"/>
      <c r="MP128" s="1251"/>
      <c r="MQ128" s="1251"/>
      <c r="MR128" s="1251"/>
      <c r="MS128" s="1251"/>
      <c r="MT128" s="1251"/>
      <c r="MU128" s="1251"/>
      <c r="MV128" s="1251"/>
      <c r="MW128" s="1251"/>
      <c r="MX128" s="1251"/>
      <c r="MY128" s="1251"/>
      <c r="MZ128" s="1251"/>
      <c r="NA128" s="1251"/>
      <c r="NB128" s="1251"/>
      <c r="NC128" s="1251"/>
      <c r="ND128" s="1251"/>
      <c r="NE128" s="1251"/>
      <c r="NF128" s="1251"/>
      <c r="NG128" s="1251"/>
      <c r="NH128" s="1251"/>
      <c r="NI128" s="1251"/>
      <c r="NJ128" s="1251"/>
      <c r="NK128" s="1251"/>
      <c r="NL128" s="1251"/>
      <c r="NM128" s="1251"/>
      <c r="NN128" s="1251"/>
      <c r="NO128" s="1251"/>
      <c r="NP128" s="1251"/>
      <c r="NQ128" s="1251"/>
      <c r="NR128" s="1251"/>
      <c r="NS128" s="1251"/>
      <c r="NT128" s="1251"/>
      <c r="NU128" s="1251"/>
      <c r="NV128" s="1251"/>
      <c r="NW128" s="1251"/>
      <c r="NX128" s="1251"/>
      <c r="NY128" s="1251"/>
      <c r="NZ128" s="1251"/>
      <c r="OA128" s="1251"/>
      <c r="OB128" s="1251"/>
      <c r="OC128" s="1251"/>
      <c r="OD128" s="1251"/>
      <c r="OE128" s="1251"/>
      <c r="OF128" s="1251"/>
      <c r="OG128" s="1251"/>
      <c r="OH128" s="1251"/>
      <c r="OI128" s="1251"/>
      <c r="OJ128" s="1251"/>
      <c r="OK128" s="1251"/>
      <c r="OL128" s="1251"/>
      <c r="OM128" s="1251"/>
      <c r="ON128" s="1251"/>
      <c r="OO128" s="1251"/>
      <c r="OP128" s="1251"/>
      <c r="OQ128" s="1251"/>
      <c r="OR128" s="1251"/>
      <c r="OS128" s="1251"/>
      <c r="OT128" s="1251"/>
      <c r="OU128" s="1251"/>
      <c r="OV128" s="1251"/>
      <c r="OW128" s="1251"/>
      <c r="OX128" s="1251"/>
      <c r="OY128" s="1251"/>
      <c r="OZ128" s="1251"/>
      <c r="PA128" s="1251"/>
      <c r="PB128" s="1251"/>
      <c r="PC128" s="1251"/>
      <c r="PD128" s="1251"/>
      <c r="PE128" s="1251"/>
      <c r="PF128" s="1251"/>
      <c r="PG128" s="1251"/>
      <c r="PH128" s="1251"/>
      <c r="PI128" s="1251"/>
      <c r="PJ128" s="1251"/>
      <c r="PK128" s="1251"/>
      <c r="PL128" s="1251"/>
      <c r="PM128" s="1251"/>
      <c r="PN128" s="1251"/>
      <c r="PO128" s="1251"/>
      <c r="PP128" s="1251"/>
      <c r="PQ128" s="1251"/>
      <c r="PR128" s="1251"/>
      <c r="PS128" s="1251"/>
      <c r="PT128" s="1251"/>
      <c r="PU128" s="1251"/>
      <c r="PV128" s="1251"/>
      <c r="PW128" s="1251"/>
      <c r="PX128" s="1251"/>
      <c r="PY128" s="1251"/>
      <c r="PZ128" s="1251"/>
      <c r="QA128" s="1251"/>
      <c r="QB128" s="1251"/>
      <c r="QC128" s="1251"/>
      <c r="QD128" s="1251"/>
      <c r="QE128" s="1251"/>
      <c r="QF128" s="1251"/>
      <c r="QG128" s="1251"/>
      <c r="QH128" s="1251"/>
      <c r="QI128" s="1251"/>
      <c r="QJ128" s="1251"/>
      <c r="QK128" s="1251"/>
      <c r="QL128" s="1251"/>
      <c r="QM128" s="1251"/>
      <c r="QN128" s="1251"/>
      <c r="QO128" s="1251"/>
      <c r="QP128" s="1251"/>
      <c r="QQ128" s="1251"/>
      <c r="QR128" s="1251"/>
      <c r="QS128" s="1251"/>
      <c r="QT128" s="1251"/>
      <c r="QU128" s="1251"/>
      <c r="QV128" s="1251"/>
      <c r="QW128" s="1251"/>
      <c r="QX128" s="1251"/>
      <c r="QY128" s="1251"/>
      <c r="QZ128" s="1251"/>
      <c r="RA128" s="1251"/>
      <c r="RB128" s="1251"/>
      <c r="RC128" s="1251"/>
      <c r="RD128" s="1251"/>
      <c r="RE128" s="1251"/>
      <c r="RF128" s="1251"/>
      <c r="RG128" s="1251"/>
      <c r="RH128" s="1251"/>
      <c r="RI128" s="1251"/>
      <c r="RJ128" s="1251"/>
      <c r="RK128" s="1251"/>
      <c r="RL128" s="1251"/>
      <c r="RM128" s="1251"/>
      <c r="RN128" s="1251"/>
      <c r="RO128" s="1251"/>
      <c r="RP128" s="1251"/>
      <c r="RQ128" s="1251"/>
      <c r="RR128" s="1251"/>
      <c r="RS128" s="1251"/>
      <c r="RT128" s="1251"/>
      <c r="RU128" s="1251"/>
      <c r="RV128" s="1251"/>
      <c r="RW128" s="1251"/>
      <c r="RX128" s="1251"/>
      <c r="RY128" s="1251"/>
      <c r="RZ128" s="1251"/>
      <c r="SA128" s="1251"/>
      <c r="SB128" s="1251"/>
      <c r="SC128" s="1251"/>
      <c r="SD128" s="1251"/>
      <c r="SE128" s="1251"/>
      <c r="SF128" s="1251"/>
      <c r="SG128" s="1251"/>
      <c r="SH128" s="1251"/>
      <c r="SI128" s="1251"/>
      <c r="SJ128" s="1251"/>
      <c r="SK128" s="1251"/>
      <c r="SL128" s="1251"/>
      <c r="SM128" s="1251"/>
      <c r="SN128" s="1251"/>
      <c r="SO128" s="1251"/>
      <c r="SP128" s="1251"/>
      <c r="SQ128" s="1251"/>
      <c r="SR128" s="1251"/>
      <c r="SS128" s="1251"/>
      <c r="ST128" s="1251"/>
      <c r="SU128" s="1251"/>
      <c r="SV128" s="1251"/>
      <c r="SW128" s="1251"/>
      <c r="SX128" s="1251"/>
      <c r="SY128" s="1251"/>
      <c r="SZ128" s="1251"/>
      <c r="TA128" s="1251"/>
      <c r="TB128" s="1251"/>
      <c r="TC128" s="1251"/>
      <c r="TD128" s="1251"/>
      <c r="TE128" s="1251"/>
      <c r="TF128" s="1251"/>
      <c r="TG128" s="1251"/>
      <c r="TH128" s="1251"/>
      <c r="TI128" s="1251"/>
      <c r="TJ128" s="1251"/>
      <c r="TK128" s="1251"/>
      <c r="TL128" s="1251"/>
      <c r="TM128" s="1251"/>
      <c r="TN128" s="1251"/>
      <c r="TO128" s="1251"/>
      <c r="TP128" s="1251"/>
      <c r="TQ128" s="1251"/>
      <c r="TR128" s="1251"/>
      <c r="TS128" s="1251"/>
      <c r="TT128" s="1251"/>
      <c r="TU128" s="1251"/>
      <c r="TV128" s="1251"/>
      <c r="TW128" s="1251"/>
      <c r="TX128" s="1251"/>
      <c r="TY128" s="1251"/>
      <c r="TZ128" s="1251"/>
      <c r="UA128" s="1251"/>
      <c r="UB128" s="1251"/>
      <c r="UC128" s="1251"/>
      <c r="UD128" s="1251"/>
      <c r="UE128" s="1251"/>
      <c r="UF128" s="1251"/>
      <c r="UG128" s="1251"/>
      <c r="UH128" s="1251"/>
      <c r="UI128" s="1251"/>
      <c r="UJ128" s="1251"/>
      <c r="UK128" s="1251"/>
      <c r="UL128" s="1251"/>
      <c r="UM128" s="1251"/>
      <c r="UN128" s="1251"/>
      <c r="UO128" s="1251"/>
      <c r="UP128" s="1251"/>
      <c r="UQ128" s="1251"/>
      <c r="UR128" s="1251"/>
      <c r="US128" s="1251"/>
      <c r="UT128" s="1251"/>
      <c r="UU128" s="1251"/>
      <c r="UV128" s="1251"/>
      <c r="UW128" s="1251"/>
      <c r="UX128" s="1251"/>
      <c r="UY128" s="1251"/>
      <c r="UZ128" s="1251"/>
      <c r="VA128" s="1251"/>
      <c r="VB128" s="1251"/>
      <c r="VC128" s="1251"/>
      <c r="VD128" s="1251"/>
      <c r="VE128" s="1251"/>
      <c r="VF128" s="1251"/>
      <c r="VG128" s="1251"/>
      <c r="VH128" s="1251"/>
      <c r="VI128" s="1251"/>
      <c r="VJ128" s="1251"/>
      <c r="VK128" s="1251"/>
      <c r="VL128" s="1251"/>
      <c r="VM128" s="1251"/>
      <c r="VN128" s="1251"/>
      <c r="VO128" s="1251"/>
      <c r="VP128" s="1251"/>
      <c r="VQ128" s="1251"/>
      <c r="VR128" s="1251"/>
      <c r="VS128" s="1251"/>
      <c r="VT128" s="1251"/>
      <c r="VU128" s="1251"/>
      <c r="VV128" s="1251"/>
      <c r="VW128" s="1251"/>
      <c r="VX128" s="1251"/>
      <c r="VY128" s="1251"/>
      <c r="VZ128" s="1251"/>
      <c r="WA128" s="1251"/>
      <c r="WB128" s="1251"/>
      <c r="WC128" s="1251"/>
      <c r="WD128" s="1251"/>
      <c r="WE128" s="1251"/>
      <c r="WF128" s="1251"/>
      <c r="WG128" s="1251"/>
      <c r="WH128" s="1251"/>
      <c r="WI128" s="1251"/>
      <c r="WJ128" s="1251"/>
      <c r="WK128" s="1251"/>
      <c r="WL128" s="1251"/>
      <c r="WM128" s="1251"/>
      <c r="WN128" s="1251"/>
      <c r="WO128" s="1251"/>
      <c r="WP128" s="1251"/>
      <c r="WQ128" s="1251"/>
      <c r="WR128" s="1251"/>
      <c r="WS128" s="1251"/>
      <c r="WT128" s="1251"/>
      <c r="WU128" s="1251"/>
      <c r="WV128" s="1251"/>
      <c r="WW128" s="1251"/>
      <c r="WX128" s="1251"/>
      <c r="WY128" s="1251"/>
      <c r="WZ128" s="1251"/>
      <c r="XA128" s="1251"/>
      <c r="XB128" s="1251"/>
      <c r="XC128" s="1251"/>
      <c r="XD128" s="1251"/>
      <c r="XE128" s="1251"/>
      <c r="XF128" s="1251"/>
      <c r="XG128" s="1251"/>
      <c r="XH128" s="1251"/>
      <c r="XI128" s="1251"/>
      <c r="XJ128" s="1251"/>
      <c r="XK128" s="1251"/>
      <c r="XL128" s="1251"/>
      <c r="XM128" s="1251"/>
      <c r="XN128" s="1251"/>
      <c r="XO128" s="1251"/>
      <c r="XP128" s="1251"/>
      <c r="XQ128" s="1251"/>
      <c r="XR128" s="1251"/>
      <c r="XS128" s="1251"/>
      <c r="XT128" s="1251"/>
      <c r="XU128" s="1251"/>
      <c r="XV128" s="1251"/>
      <c r="XW128" s="1251"/>
      <c r="XX128" s="1251"/>
      <c r="XY128" s="1251"/>
      <c r="XZ128" s="1251"/>
      <c r="YA128" s="1251"/>
      <c r="YB128" s="1251"/>
      <c r="YC128" s="1251"/>
      <c r="YD128" s="1251"/>
      <c r="YE128" s="1251"/>
      <c r="YF128" s="1251"/>
      <c r="YG128" s="1251"/>
      <c r="YH128" s="1251"/>
      <c r="YI128" s="1251"/>
      <c r="YJ128" s="1251"/>
      <c r="YK128" s="1251"/>
      <c r="YL128" s="1251"/>
      <c r="YM128" s="1251"/>
      <c r="YN128" s="1251"/>
      <c r="YO128" s="1251"/>
      <c r="YP128" s="1251"/>
      <c r="YQ128" s="1251"/>
      <c r="YR128" s="1251"/>
      <c r="YS128" s="1251"/>
      <c r="YT128" s="1251"/>
      <c r="YU128" s="1251"/>
      <c r="YV128" s="1251"/>
      <c r="YW128" s="1251"/>
      <c r="YX128" s="1251"/>
      <c r="YY128" s="1251"/>
      <c r="YZ128" s="1251"/>
      <c r="ZA128" s="1251"/>
      <c r="ZB128" s="1251"/>
      <c r="ZC128" s="1251"/>
      <c r="ZD128" s="1251"/>
      <c r="ZE128" s="1251"/>
      <c r="ZF128" s="1251"/>
      <c r="ZG128" s="1251"/>
      <c r="ZH128" s="1251"/>
      <c r="ZI128" s="1251"/>
      <c r="ZJ128" s="1251"/>
      <c r="ZK128" s="1251"/>
      <c r="ZL128" s="1251"/>
      <c r="ZM128" s="1251"/>
      <c r="ZN128" s="1251"/>
      <c r="ZO128" s="1251"/>
      <c r="ZP128" s="1251"/>
      <c r="ZQ128" s="1251"/>
      <c r="ZR128" s="1251"/>
      <c r="ZS128" s="1251"/>
      <c r="ZT128" s="1251"/>
      <c r="ZU128" s="1251"/>
      <c r="ZV128" s="1251"/>
      <c r="ZW128" s="1251"/>
      <c r="ZX128" s="1251"/>
      <c r="ZY128" s="1251"/>
      <c r="ZZ128" s="1251"/>
      <c r="AAA128" s="1251"/>
      <c r="AAB128" s="1251"/>
      <c r="AAC128" s="1251"/>
      <c r="AAD128" s="1251"/>
      <c r="AAE128" s="1251"/>
      <c r="AAF128" s="1251"/>
      <c r="AAG128" s="1251"/>
      <c r="AAH128" s="1251"/>
      <c r="AAI128" s="1251"/>
      <c r="AAJ128" s="1251"/>
      <c r="AAK128" s="1251"/>
      <c r="AAL128" s="1251"/>
      <c r="AAM128" s="1251"/>
      <c r="AAN128" s="1251"/>
      <c r="AAO128" s="1251"/>
      <c r="AAP128" s="1251"/>
      <c r="AAQ128" s="1251"/>
      <c r="AAR128" s="1251"/>
      <c r="AAS128" s="1251"/>
      <c r="AAT128" s="1251"/>
      <c r="AAU128" s="1251"/>
      <c r="AAV128" s="1251"/>
      <c r="AAW128" s="1251"/>
      <c r="AAX128" s="1251"/>
      <c r="AAY128" s="1251"/>
      <c r="AAZ128" s="1251"/>
      <c r="ABA128" s="1251"/>
      <c r="ABB128" s="1251"/>
      <c r="ABC128" s="1251"/>
      <c r="ABD128" s="1251"/>
      <c r="ABE128" s="1251"/>
      <c r="ABF128" s="1251"/>
      <c r="ABG128" s="1251"/>
      <c r="ABH128" s="1251"/>
      <c r="ABI128" s="1251"/>
      <c r="ABJ128" s="1251"/>
      <c r="ABK128" s="1251"/>
      <c r="ABL128" s="1251"/>
      <c r="ABM128" s="1251"/>
      <c r="ABN128" s="1251"/>
      <c r="ABO128" s="1251"/>
      <c r="ABP128" s="1251"/>
      <c r="ABQ128" s="1251"/>
      <c r="ABR128" s="1251"/>
      <c r="ABS128" s="1251"/>
      <c r="ABT128" s="1251"/>
      <c r="ABU128" s="1251"/>
      <c r="ABV128" s="1251"/>
      <c r="ABW128" s="1251"/>
      <c r="ABX128" s="1251"/>
      <c r="ABY128" s="1251"/>
      <c r="ABZ128" s="1251"/>
      <c r="ACA128" s="1251"/>
      <c r="ACB128" s="1251"/>
      <c r="ACC128" s="1251"/>
      <c r="ACD128" s="1251"/>
      <c r="ACE128" s="1251"/>
      <c r="ACF128" s="1251"/>
      <c r="ACG128" s="1251"/>
      <c r="ACH128" s="1251"/>
      <c r="ACI128" s="1251"/>
      <c r="ACJ128" s="1251"/>
      <c r="ACK128" s="1251"/>
      <c r="ACL128" s="1251"/>
      <c r="ACM128" s="1251"/>
      <c r="ACN128" s="1251"/>
      <c r="ACO128" s="1251"/>
      <c r="ACP128" s="1251"/>
      <c r="ACQ128" s="1251"/>
      <c r="ACR128" s="1251"/>
      <c r="ACS128" s="1251"/>
      <c r="ACT128" s="1251"/>
      <c r="ACU128" s="1251"/>
      <c r="ACV128" s="1251"/>
      <c r="ACW128" s="1251"/>
      <c r="ACX128" s="1251"/>
      <c r="ACY128" s="1251"/>
      <c r="ACZ128" s="1251"/>
      <c r="ADA128" s="1251"/>
      <c r="ADB128" s="1251"/>
      <c r="ADC128" s="1251"/>
      <c r="ADD128" s="1251"/>
      <c r="ADE128" s="1251"/>
      <c r="ADF128" s="1251"/>
      <c r="ADG128" s="1251"/>
      <c r="ADH128" s="1251"/>
      <c r="ADI128" s="1251"/>
      <c r="ADJ128" s="1251"/>
      <c r="ADK128" s="1251"/>
      <c r="ADL128" s="1251"/>
      <c r="ADM128" s="1251"/>
      <c r="ADN128" s="1251"/>
      <c r="ADO128" s="1251"/>
      <c r="ADP128" s="1251"/>
      <c r="ADQ128" s="1251"/>
      <c r="ADR128" s="1251"/>
      <c r="ADS128" s="1251"/>
      <c r="ADT128" s="1251"/>
      <c r="ADU128" s="1251"/>
      <c r="ADV128" s="1251"/>
      <c r="ADW128" s="1251"/>
      <c r="ADX128" s="1251"/>
      <c r="ADY128" s="1251"/>
      <c r="ADZ128" s="1251"/>
      <c r="AEA128" s="1251"/>
      <c r="AEB128" s="1251"/>
      <c r="AEC128" s="1251"/>
      <c r="AED128" s="1251"/>
      <c r="AEE128" s="1251"/>
      <c r="AEF128" s="1251"/>
      <c r="AEG128" s="1251"/>
      <c r="AEH128" s="1251"/>
      <c r="AEI128" s="1251"/>
      <c r="AEJ128" s="1251"/>
      <c r="AEK128" s="1251"/>
      <c r="AEL128" s="1251"/>
      <c r="AEM128" s="1251"/>
      <c r="AEN128" s="1251"/>
      <c r="AEO128" s="1251"/>
      <c r="AEP128" s="1251"/>
      <c r="AEQ128" s="1251"/>
      <c r="AER128" s="1251"/>
      <c r="AES128" s="1251"/>
      <c r="AET128" s="1251"/>
      <c r="AEU128" s="1251"/>
      <c r="AEV128" s="1251"/>
      <c r="AEW128" s="1251"/>
      <c r="AEX128" s="1251"/>
      <c r="AEY128" s="1251"/>
      <c r="AEZ128" s="1251"/>
      <c r="AFA128" s="1251"/>
      <c r="AFB128" s="1251"/>
      <c r="AFC128" s="1251"/>
      <c r="AFD128" s="1251"/>
      <c r="AFE128" s="1251"/>
      <c r="AFF128" s="1251"/>
      <c r="AFG128" s="1251"/>
      <c r="AFH128" s="1251"/>
      <c r="AFI128" s="1251"/>
      <c r="AFJ128" s="1251"/>
      <c r="AFK128" s="1251"/>
      <c r="AFL128" s="1251"/>
      <c r="AFM128" s="1251"/>
      <c r="AFN128" s="1251"/>
      <c r="AFO128" s="1251"/>
      <c r="AFP128" s="1251"/>
      <c r="AFQ128" s="1251"/>
      <c r="AFR128" s="1251"/>
      <c r="AFS128" s="1251"/>
      <c r="AFT128" s="1251"/>
      <c r="AFU128" s="1251"/>
      <c r="AFV128" s="1251"/>
      <c r="AFW128" s="1251"/>
      <c r="AFX128" s="1251"/>
      <c r="AFY128" s="1251"/>
      <c r="AFZ128" s="1251"/>
      <c r="AGA128" s="1251"/>
      <c r="AGB128" s="1251"/>
      <c r="AGC128" s="1251"/>
      <c r="AGD128" s="1251"/>
      <c r="AGE128" s="1251"/>
      <c r="AGF128" s="1251"/>
      <c r="AGG128" s="1251"/>
      <c r="AGH128" s="1251"/>
      <c r="AGI128" s="1251"/>
      <c r="AGJ128" s="1251"/>
      <c r="AGK128" s="1251"/>
      <c r="AGL128" s="1251"/>
      <c r="AGM128" s="1251"/>
      <c r="AGN128" s="1251"/>
      <c r="AGO128" s="1251"/>
      <c r="AGP128" s="1251"/>
      <c r="AGQ128" s="1251"/>
      <c r="AGR128" s="1251"/>
      <c r="AGS128" s="1251"/>
      <c r="AGT128" s="1251"/>
      <c r="AGU128" s="1251"/>
      <c r="AGV128" s="1251"/>
      <c r="AGW128" s="1251"/>
      <c r="AGX128" s="1251"/>
      <c r="AGY128" s="1251"/>
      <c r="AGZ128" s="1251"/>
      <c r="AHA128" s="1251"/>
      <c r="AHB128" s="1251"/>
      <c r="AHC128" s="1251"/>
      <c r="AHD128" s="1251"/>
      <c r="AHE128" s="1251"/>
      <c r="AHF128" s="1251"/>
      <c r="AHG128" s="1251"/>
      <c r="AHH128" s="1251"/>
      <c r="AHI128" s="1251"/>
      <c r="AHJ128" s="1251"/>
      <c r="AHK128" s="1251"/>
      <c r="AHL128" s="1251"/>
      <c r="AHM128" s="1251"/>
      <c r="AHN128" s="1251"/>
      <c r="AHO128" s="1251"/>
      <c r="AHP128" s="1251"/>
      <c r="AHQ128" s="1251"/>
      <c r="AHR128" s="1251"/>
      <c r="AHS128" s="1251"/>
      <c r="AHT128" s="1251"/>
      <c r="AHU128" s="1251"/>
      <c r="AHV128" s="1251"/>
      <c r="AHW128" s="1251"/>
      <c r="AHX128" s="1251"/>
      <c r="AHY128" s="1251"/>
      <c r="AHZ128" s="1251"/>
      <c r="AIA128" s="1251"/>
      <c r="AIB128" s="1251"/>
      <c r="AIC128" s="1251"/>
      <c r="AID128" s="1251"/>
      <c r="AIE128" s="1251"/>
      <c r="AIF128" s="1251"/>
      <c r="AIG128" s="1251"/>
      <c r="AIH128" s="1251"/>
      <c r="AII128" s="1251"/>
      <c r="AIJ128" s="1251"/>
      <c r="AIK128" s="1251"/>
      <c r="AIL128" s="1251"/>
      <c r="AIM128" s="1251"/>
      <c r="AIN128" s="1251"/>
      <c r="AIO128" s="1251"/>
      <c r="AIP128" s="1251"/>
      <c r="AIQ128" s="1251"/>
      <c r="AIR128" s="1251"/>
      <c r="AIS128" s="1251"/>
      <c r="AIT128" s="1251"/>
      <c r="AIU128" s="1251"/>
      <c r="AIV128" s="1251"/>
      <c r="AIW128" s="1251"/>
      <c r="AIX128" s="1251"/>
      <c r="AIY128" s="1251"/>
      <c r="AIZ128" s="1251"/>
      <c r="AJA128" s="1251"/>
      <c r="AJB128" s="1251"/>
      <c r="AJC128" s="1251"/>
      <c r="AJD128" s="1251"/>
      <c r="AJE128" s="1251"/>
      <c r="AJF128" s="1251"/>
      <c r="AJG128" s="1251"/>
      <c r="AJH128" s="1251"/>
      <c r="AJI128" s="1251"/>
      <c r="AJJ128" s="1251"/>
      <c r="AJK128" s="1251"/>
      <c r="AJL128" s="1251"/>
      <c r="AJM128" s="1251"/>
      <c r="AJN128" s="1251"/>
      <c r="AJO128" s="1251"/>
      <c r="AJP128" s="1251"/>
      <c r="AJQ128" s="1251"/>
      <c r="AJR128" s="1251"/>
      <c r="AJS128" s="1251"/>
      <c r="AJT128" s="1251"/>
      <c r="AJU128" s="1251"/>
      <c r="AJV128" s="1251"/>
      <c r="AJW128" s="1251"/>
      <c r="AJX128" s="1251"/>
      <c r="AJY128" s="1251"/>
      <c r="AJZ128" s="1251"/>
      <c r="AKA128" s="1251"/>
      <c r="AKB128" s="1251"/>
      <c r="AKC128" s="1251"/>
      <c r="AKD128" s="1251"/>
      <c r="AKE128" s="1251"/>
      <c r="AKF128" s="1251"/>
      <c r="AKG128" s="1251"/>
      <c r="AKH128" s="1251"/>
      <c r="AKI128" s="1251"/>
      <c r="AKJ128" s="1251"/>
      <c r="AKK128" s="1251"/>
      <c r="AKL128" s="1251"/>
      <c r="AKM128" s="1251"/>
      <c r="AKN128" s="1251"/>
      <c r="AKO128" s="1251"/>
      <c r="AKP128" s="1251"/>
      <c r="AKQ128" s="1251"/>
      <c r="AKR128" s="1251"/>
      <c r="AKS128" s="1251"/>
      <c r="AKT128" s="1251"/>
      <c r="AKU128" s="1251"/>
      <c r="AKV128" s="1251"/>
      <c r="AKW128" s="1251"/>
      <c r="AKX128" s="1251"/>
      <c r="AKY128" s="1251"/>
      <c r="AKZ128" s="1251"/>
      <c r="ALA128" s="1251"/>
      <c r="ALB128" s="1251"/>
      <c r="ALC128" s="1251"/>
      <c r="ALD128" s="1251"/>
      <c r="ALE128" s="1251"/>
      <c r="ALF128" s="1251"/>
      <c r="ALG128" s="1251"/>
      <c r="ALH128" s="1251"/>
      <c r="ALI128" s="1251"/>
      <c r="ALJ128" s="1251"/>
      <c r="ALK128" s="1251"/>
      <c r="ALL128" s="1251"/>
      <c r="ALM128" s="1251"/>
      <c r="ALN128" s="1251"/>
      <c r="ALO128" s="1251"/>
      <c r="ALP128" s="1251"/>
      <c r="ALQ128" s="1251"/>
      <c r="ALR128" s="1251"/>
      <c r="ALS128" s="1251"/>
      <c r="ALT128" s="1251"/>
      <c r="ALU128" s="1251"/>
      <c r="ALV128" s="1251"/>
      <c r="ALW128" s="1251"/>
      <c r="ALX128" s="1251"/>
      <c r="ALY128" s="1251"/>
      <c r="ALZ128" s="1251"/>
      <c r="AMA128" s="1251"/>
      <c r="AMB128" s="1251"/>
      <c r="AMC128" s="1251"/>
      <c r="AMD128" s="1251"/>
      <c r="AME128" s="1251"/>
      <c r="AMF128" s="1251"/>
      <c r="AMG128" s="1251"/>
      <c r="AMH128" s="1251"/>
      <c r="AMI128" s="1251"/>
      <c r="AMJ128" s="1251"/>
      <c r="AMK128" s="1251"/>
      <c r="AML128" s="1251"/>
      <c r="AMM128" s="1251"/>
      <c r="AMN128" s="1251"/>
      <c r="AMO128" s="1251"/>
      <c r="AMP128" s="1251"/>
      <c r="AMQ128" s="1251"/>
      <c r="AMR128" s="1251"/>
      <c r="AMS128" s="1251"/>
      <c r="AMT128" s="1251"/>
      <c r="AMU128" s="1251"/>
      <c r="AMV128" s="1251"/>
      <c r="AMW128" s="1251"/>
      <c r="AMX128" s="1251"/>
      <c r="AMY128" s="1251"/>
      <c r="AMZ128" s="1251"/>
      <c r="ANA128" s="1251"/>
      <c r="ANB128" s="1251"/>
      <c r="ANC128" s="1251"/>
      <c r="AND128" s="1251"/>
      <c r="ANE128" s="1251"/>
      <c r="ANF128" s="1251"/>
      <c r="ANG128" s="1251"/>
      <c r="ANH128" s="1251"/>
      <c r="ANI128" s="1251"/>
      <c r="ANJ128" s="1251"/>
      <c r="ANK128" s="1251"/>
      <c r="ANL128" s="1251"/>
      <c r="ANM128" s="1251"/>
      <c r="ANN128" s="1251"/>
      <c r="ANO128" s="1251"/>
      <c r="ANP128" s="1251"/>
      <c r="ANQ128" s="1251"/>
      <c r="ANR128" s="1251"/>
      <c r="ANS128" s="1251"/>
      <c r="ANT128" s="1251"/>
      <c r="ANU128" s="1251"/>
      <c r="ANV128" s="1251"/>
      <c r="ANW128" s="1251"/>
      <c r="ANX128" s="1251"/>
      <c r="ANY128" s="1251"/>
      <c r="ANZ128" s="1251"/>
      <c r="AOA128" s="1251"/>
      <c r="AOB128" s="1251"/>
      <c r="AOC128" s="1251"/>
      <c r="AOD128" s="1251"/>
      <c r="AOE128" s="1251"/>
      <c r="AOF128" s="1251"/>
      <c r="AOG128" s="1251"/>
      <c r="AOH128" s="1251"/>
      <c r="AOI128" s="1251"/>
      <c r="AOJ128" s="1251"/>
      <c r="AOK128" s="1251"/>
      <c r="AOL128" s="1251"/>
      <c r="AOM128" s="1251"/>
      <c r="AON128" s="1251"/>
      <c r="AOO128" s="1251"/>
      <c r="AOP128" s="1251"/>
      <c r="AOQ128" s="1251"/>
      <c r="AOR128" s="1251"/>
      <c r="AOS128" s="1251"/>
      <c r="AOT128" s="1251"/>
      <c r="AOU128" s="1251"/>
      <c r="AOV128" s="1251"/>
      <c r="AOW128" s="1251"/>
      <c r="AOX128" s="1251"/>
      <c r="AOY128" s="1251"/>
      <c r="AOZ128" s="1251"/>
      <c r="APA128" s="1251"/>
      <c r="APB128" s="1251"/>
      <c r="APC128" s="1251"/>
      <c r="APD128" s="1251"/>
      <c r="APE128" s="1251"/>
      <c r="APF128" s="1251"/>
      <c r="APG128" s="1251"/>
      <c r="APH128" s="1251"/>
      <c r="API128" s="1251"/>
      <c r="APJ128" s="1251"/>
      <c r="APK128" s="1251"/>
      <c r="APL128" s="1251"/>
      <c r="APM128" s="1251"/>
      <c r="APN128" s="1251"/>
      <c r="APO128" s="1251"/>
      <c r="APP128" s="1251"/>
      <c r="APQ128" s="1251"/>
      <c r="APR128" s="1251"/>
      <c r="APS128" s="1251"/>
      <c r="APT128" s="1251"/>
      <c r="APU128" s="1251"/>
      <c r="APV128" s="1251"/>
      <c r="APW128" s="1251"/>
      <c r="APX128" s="1251"/>
      <c r="APY128" s="1251"/>
      <c r="APZ128" s="1251"/>
      <c r="AQA128" s="1251"/>
      <c r="AQB128" s="1251"/>
      <c r="AQC128" s="1251"/>
      <c r="AQD128" s="1251"/>
      <c r="AQE128" s="1251"/>
      <c r="AQF128" s="1251"/>
      <c r="AQG128" s="1251"/>
      <c r="AQH128" s="1251"/>
      <c r="AQI128" s="1251"/>
      <c r="AQJ128" s="1251"/>
      <c r="AQK128" s="1251"/>
      <c r="AQL128" s="1251"/>
      <c r="AQM128" s="1251"/>
      <c r="AQN128" s="1251"/>
      <c r="AQO128" s="1251"/>
      <c r="AQP128" s="1251"/>
      <c r="AQQ128" s="1251"/>
      <c r="AQR128" s="1251"/>
      <c r="AQS128" s="1251"/>
      <c r="AQT128" s="1251"/>
      <c r="AQU128" s="1251"/>
      <c r="AQV128" s="1251"/>
      <c r="AQW128" s="1251"/>
      <c r="AQX128" s="1251"/>
      <c r="AQY128" s="1251"/>
      <c r="AQZ128" s="1251"/>
      <c r="ARA128" s="1251"/>
      <c r="ARB128" s="1251"/>
      <c r="ARC128" s="1251"/>
      <c r="ARD128" s="1251"/>
      <c r="ARE128" s="1251"/>
      <c r="ARF128" s="1251"/>
      <c r="ARG128" s="1251"/>
      <c r="ARH128" s="1251"/>
      <c r="ARI128" s="1251"/>
      <c r="ARJ128" s="1251"/>
      <c r="ARK128" s="1251"/>
      <c r="ARL128" s="1251"/>
      <c r="ARM128" s="1251"/>
      <c r="ARN128" s="1251"/>
      <c r="ARO128" s="1251"/>
      <c r="ARP128" s="1251"/>
      <c r="ARQ128" s="1251"/>
      <c r="ARR128" s="1251"/>
      <c r="ARS128" s="1251"/>
      <c r="ART128" s="1251"/>
      <c r="ARU128" s="1251"/>
      <c r="ARV128" s="1251"/>
      <c r="ARW128" s="1251"/>
      <c r="ARX128" s="1251"/>
      <c r="ARY128" s="1251"/>
      <c r="ARZ128" s="1251"/>
      <c r="ASA128" s="1251"/>
      <c r="ASB128" s="1251"/>
      <c r="ASC128" s="1251"/>
      <c r="ASD128" s="1251"/>
      <c r="ASE128" s="1251"/>
      <c r="ASF128" s="1251"/>
      <c r="ASG128" s="1251"/>
      <c r="ASH128" s="1251"/>
      <c r="ASI128" s="1251"/>
      <c r="ASJ128" s="1251"/>
      <c r="ASK128" s="1251"/>
      <c r="ASL128" s="1251"/>
      <c r="ASM128" s="1251"/>
      <c r="ASN128" s="1251"/>
      <c r="ASO128" s="1251"/>
      <c r="ASP128" s="1251"/>
      <c r="ASQ128" s="1251"/>
      <c r="ASR128" s="1251"/>
      <c r="ASS128" s="1251"/>
      <c r="AST128" s="1251"/>
      <c r="ASU128" s="1251"/>
      <c r="ASV128" s="1251"/>
      <c r="ASW128" s="1251"/>
      <c r="ASX128" s="1251"/>
      <c r="ASY128" s="1251"/>
      <c r="ASZ128" s="1251"/>
      <c r="ATA128" s="1251"/>
      <c r="ATB128" s="1251"/>
      <c r="ATC128" s="1251"/>
      <c r="ATD128" s="1251"/>
      <c r="ATE128" s="1251"/>
      <c r="ATF128" s="1251"/>
      <c r="ATG128" s="1251"/>
      <c r="ATH128" s="1251"/>
      <c r="ATI128" s="1251"/>
      <c r="ATJ128" s="1251"/>
      <c r="ATK128" s="1251"/>
      <c r="ATL128" s="1251"/>
      <c r="ATM128" s="1251"/>
      <c r="ATN128" s="1251"/>
      <c r="ATO128" s="1251"/>
      <c r="ATP128" s="1251"/>
      <c r="ATQ128" s="1251"/>
      <c r="ATR128" s="1251"/>
      <c r="ATS128" s="1251"/>
      <c r="ATT128" s="1251"/>
      <c r="ATU128" s="1251"/>
      <c r="ATV128" s="1251"/>
      <c r="ATW128" s="1251"/>
      <c r="ATX128" s="1251"/>
      <c r="ATY128" s="1251"/>
      <c r="ATZ128" s="1251"/>
      <c r="AUA128" s="1251"/>
      <c r="AUB128" s="1251"/>
      <c r="AUC128" s="1251"/>
      <c r="AUD128" s="1251"/>
      <c r="AUE128" s="1251"/>
      <c r="AUF128" s="1251"/>
      <c r="AUG128" s="1251"/>
      <c r="AUH128" s="1251"/>
      <c r="AUI128" s="1251"/>
      <c r="AUJ128" s="1251"/>
      <c r="AUK128" s="1251"/>
      <c r="AUL128" s="1251"/>
      <c r="AUM128" s="1251"/>
      <c r="AUN128" s="1251"/>
      <c r="AUO128" s="1251"/>
      <c r="AUP128" s="1251"/>
      <c r="AUQ128" s="1251"/>
      <c r="AUR128" s="1251"/>
      <c r="AUS128" s="1251"/>
      <c r="AUT128" s="1251"/>
      <c r="AUU128" s="1251"/>
      <c r="AUV128" s="1251"/>
      <c r="AUW128" s="1251"/>
      <c r="AUX128" s="1251"/>
      <c r="AUY128" s="1251"/>
      <c r="AUZ128" s="1251"/>
      <c r="AVA128" s="1251"/>
      <c r="AVB128" s="1251"/>
      <c r="AVC128" s="1251"/>
      <c r="AVD128" s="1251"/>
      <c r="AVE128" s="1251"/>
      <c r="AVF128" s="1251"/>
      <c r="AVG128" s="1251"/>
      <c r="AVH128" s="1251"/>
      <c r="AVI128" s="1251"/>
      <c r="AVJ128" s="1251"/>
      <c r="AVK128" s="1251"/>
      <c r="AVL128" s="1251"/>
      <c r="AVM128" s="1251"/>
      <c r="AVN128" s="1251"/>
      <c r="AVO128" s="1251"/>
      <c r="AVP128" s="1251"/>
      <c r="AVQ128" s="1251"/>
      <c r="AVR128" s="1251"/>
      <c r="AVS128" s="1251"/>
      <c r="AVT128" s="1251"/>
      <c r="AVU128" s="1251"/>
      <c r="AVV128" s="1251"/>
      <c r="AVW128" s="1251"/>
      <c r="AVX128" s="1251"/>
      <c r="AVY128" s="1251"/>
      <c r="AVZ128" s="1251"/>
      <c r="AWA128" s="1251"/>
      <c r="AWB128" s="1251"/>
      <c r="AWC128" s="1251"/>
      <c r="AWD128" s="1251"/>
      <c r="AWE128" s="1251"/>
      <c r="AWF128" s="1251"/>
      <c r="AWG128" s="1251"/>
      <c r="AWH128" s="1251"/>
      <c r="AWI128" s="1251"/>
      <c r="AWJ128" s="1251"/>
      <c r="AWK128" s="1251"/>
      <c r="AWL128" s="1251"/>
      <c r="AWM128" s="1251"/>
      <c r="AWN128" s="1251"/>
      <c r="AWO128" s="1251"/>
      <c r="AWP128" s="1251"/>
      <c r="AWQ128" s="1251"/>
      <c r="AWR128" s="1251"/>
      <c r="AWS128" s="1251"/>
      <c r="AWT128" s="1251"/>
      <c r="AWU128" s="1251"/>
      <c r="AWV128" s="1251"/>
      <c r="AWW128" s="1251"/>
      <c r="AWX128" s="1251"/>
      <c r="AWY128" s="1251"/>
      <c r="AWZ128" s="1251"/>
      <c r="AXA128" s="1251"/>
      <c r="AXB128" s="1251"/>
      <c r="AXC128" s="1251"/>
      <c r="AXD128" s="1251"/>
      <c r="AXE128" s="1251"/>
      <c r="AXF128" s="1251"/>
      <c r="AXG128" s="1251"/>
      <c r="AXH128" s="1251"/>
      <c r="AXI128" s="1251"/>
      <c r="AXJ128" s="1251"/>
      <c r="AXK128" s="1251"/>
      <c r="AXL128" s="1251"/>
      <c r="AXM128" s="1251"/>
      <c r="AXN128" s="1251"/>
      <c r="AXO128" s="1251"/>
      <c r="AXP128" s="1251"/>
      <c r="AXQ128" s="1251"/>
      <c r="AXR128" s="1251"/>
      <c r="AXS128" s="1251"/>
      <c r="AXT128" s="1251"/>
      <c r="AXU128" s="1251"/>
      <c r="AXV128" s="1251"/>
      <c r="AXW128" s="1251"/>
      <c r="AXX128" s="1251"/>
      <c r="AXY128" s="1251"/>
      <c r="AXZ128" s="1251"/>
      <c r="AYA128" s="1251"/>
      <c r="AYB128" s="1251"/>
      <c r="AYC128" s="1251"/>
      <c r="AYD128" s="1251"/>
      <c r="AYE128" s="1251"/>
      <c r="AYF128" s="1251"/>
      <c r="AYG128" s="1251"/>
      <c r="AYH128" s="1251"/>
      <c r="AYI128" s="1251"/>
      <c r="AYJ128" s="1251"/>
      <c r="AYK128" s="1251"/>
      <c r="AYL128" s="1251"/>
      <c r="AYM128" s="1251"/>
      <c r="AYN128" s="1251"/>
      <c r="AYO128" s="1251"/>
      <c r="AYP128" s="1251"/>
      <c r="AYQ128" s="1251"/>
      <c r="AYR128" s="1251"/>
      <c r="AYS128" s="1251"/>
      <c r="AYT128" s="1251"/>
      <c r="AYU128" s="1251"/>
      <c r="AYV128" s="1251"/>
      <c r="AYW128" s="1251"/>
      <c r="AYX128" s="1251"/>
      <c r="AYY128" s="1251"/>
      <c r="AYZ128" s="1251"/>
      <c r="AZA128" s="1251"/>
      <c r="AZB128" s="1251"/>
      <c r="AZC128" s="1251"/>
      <c r="AZD128" s="1251"/>
      <c r="AZE128" s="1251"/>
      <c r="AZF128" s="1251"/>
      <c r="AZG128" s="1251"/>
      <c r="AZH128" s="1251"/>
      <c r="AZI128" s="1251"/>
      <c r="AZJ128" s="1251"/>
      <c r="AZK128" s="1251"/>
      <c r="AZL128" s="1251"/>
      <c r="AZM128" s="1251"/>
      <c r="AZN128" s="1251"/>
      <c r="AZO128" s="1251"/>
      <c r="AZP128" s="1251"/>
      <c r="AZQ128" s="1251"/>
      <c r="AZR128" s="1251"/>
      <c r="AZS128" s="1251"/>
      <c r="AZT128" s="1251"/>
      <c r="AZU128" s="1251"/>
      <c r="AZV128" s="1251"/>
      <c r="AZW128" s="1251"/>
      <c r="AZX128" s="1251"/>
      <c r="AZY128" s="1251"/>
      <c r="AZZ128" s="1251"/>
      <c r="BAA128" s="1251"/>
      <c r="BAB128" s="1251"/>
      <c r="BAC128" s="1251"/>
      <c r="BAD128" s="1251"/>
      <c r="BAE128" s="1251"/>
      <c r="BAF128" s="1251"/>
      <c r="BAG128" s="1251"/>
      <c r="BAH128" s="1251"/>
      <c r="BAI128" s="1251"/>
      <c r="BAJ128" s="1251"/>
      <c r="BAK128" s="1251"/>
      <c r="BAL128" s="1251"/>
      <c r="BAM128" s="1251"/>
      <c r="BAN128" s="1251"/>
      <c r="BAO128" s="1251"/>
      <c r="BAP128" s="1251"/>
      <c r="BAQ128" s="1251"/>
      <c r="BAR128" s="1251"/>
      <c r="BAS128" s="1251"/>
      <c r="BAT128" s="1251"/>
      <c r="BAU128" s="1251"/>
      <c r="BAV128" s="1251"/>
      <c r="BAW128" s="1251"/>
      <c r="BAX128" s="1251"/>
      <c r="BAY128" s="1251"/>
      <c r="BAZ128" s="1251"/>
      <c r="BBA128" s="1251"/>
      <c r="BBB128" s="1251"/>
      <c r="BBC128" s="1251"/>
      <c r="BBD128" s="1251"/>
      <c r="BBE128" s="1251"/>
      <c r="BBF128" s="1251"/>
      <c r="BBG128" s="1251"/>
      <c r="BBH128" s="1251"/>
      <c r="BBI128" s="1251"/>
      <c r="BBJ128" s="1251"/>
      <c r="BBK128" s="1251"/>
      <c r="BBL128" s="1251"/>
      <c r="BBM128" s="1251"/>
      <c r="BBN128" s="1251"/>
      <c r="BBO128" s="1251"/>
      <c r="BBP128" s="1251"/>
      <c r="BBQ128" s="1251"/>
      <c r="BBR128" s="1251"/>
      <c r="BBS128" s="1251"/>
      <c r="BBT128" s="1251"/>
      <c r="BBU128" s="1251"/>
      <c r="BBV128" s="1251"/>
      <c r="BBW128" s="1251"/>
      <c r="BBX128" s="1251"/>
      <c r="BBY128" s="1251"/>
      <c r="BBZ128" s="1251"/>
      <c r="BCA128" s="1251"/>
      <c r="BCB128" s="1251"/>
      <c r="BCC128" s="1251"/>
      <c r="BCD128" s="1251"/>
      <c r="BCE128" s="1251"/>
      <c r="BCF128" s="1251"/>
      <c r="BCG128" s="1251"/>
      <c r="BCH128" s="1251"/>
      <c r="BCI128" s="1251"/>
      <c r="BCJ128" s="1251"/>
      <c r="BCK128" s="1251"/>
      <c r="BCL128" s="1251"/>
      <c r="BCM128" s="1251"/>
      <c r="BCN128" s="1251"/>
      <c r="BCO128" s="1251"/>
      <c r="BCP128" s="1251"/>
      <c r="BCQ128" s="1251"/>
      <c r="BCR128" s="1251"/>
      <c r="BCS128" s="1251"/>
      <c r="BCT128" s="1251"/>
      <c r="BCU128" s="1251"/>
      <c r="BCV128" s="1251"/>
      <c r="BCW128" s="1251"/>
      <c r="BCX128" s="1251"/>
      <c r="BCY128" s="1251"/>
      <c r="BCZ128" s="1251"/>
      <c r="BDA128" s="1251"/>
      <c r="BDB128" s="1251"/>
      <c r="BDC128" s="1251"/>
      <c r="BDD128" s="1251"/>
      <c r="BDE128" s="1251"/>
      <c r="BDF128" s="1251"/>
      <c r="BDG128" s="1251"/>
      <c r="BDH128" s="1251"/>
      <c r="BDI128" s="1251"/>
      <c r="BDJ128" s="1251"/>
      <c r="BDK128" s="1251"/>
      <c r="BDL128" s="1251"/>
      <c r="BDM128" s="1251"/>
      <c r="BDN128" s="1251"/>
      <c r="BDO128" s="1251"/>
      <c r="BDP128" s="1251"/>
      <c r="BDQ128" s="1251"/>
      <c r="BDR128" s="1251"/>
      <c r="BDS128" s="1251"/>
      <c r="BDT128" s="1251"/>
      <c r="BDU128" s="1251"/>
      <c r="BDV128" s="1251"/>
      <c r="BDW128" s="1251"/>
      <c r="BDX128" s="1251"/>
      <c r="BDY128" s="1251"/>
      <c r="BDZ128" s="1251"/>
      <c r="BEA128" s="1251"/>
      <c r="BEB128" s="1251"/>
      <c r="BEC128" s="1251"/>
      <c r="BED128" s="1251"/>
      <c r="BEE128" s="1251"/>
      <c r="BEF128" s="1251"/>
      <c r="BEG128" s="1251"/>
      <c r="BEH128" s="1251"/>
      <c r="BEI128" s="1251"/>
      <c r="BEJ128" s="1251"/>
      <c r="BEK128" s="1251"/>
      <c r="BEL128" s="1251"/>
      <c r="BEM128" s="1251"/>
      <c r="BEN128" s="1251"/>
      <c r="BEO128" s="1251"/>
      <c r="BEP128" s="1251"/>
      <c r="BEQ128" s="1251"/>
      <c r="BER128" s="1251"/>
      <c r="BES128" s="1251"/>
      <c r="BET128" s="1251"/>
      <c r="BEU128" s="1251"/>
      <c r="BEV128" s="1251"/>
      <c r="BEW128" s="1251"/>
      <c r="BEX128" s="1251"/>
      <c r="BEY128" s="1251"/>
      <c r="BEZ128" s="1251"/>
      <c r="BFA128" s="1251"/>
      <c r="BFB128" s="1251"/>
      <c r="BFC128" s="1251"/>
      <c r="BFD128" s="1251"/>
      <c r="BFE128" s="1251"/>
      <c r="BFF128" s="1251"/>
      <c r="BFG128" s="1251"/>
      <c r="BFH128" s="1251"/>
      <c r="BFI128" s="1251"/>
      <c r="BFJ128" s="1251"/>
      <c r="BFK128" s="1251"/>
      <c r="BFL128" s="1251"/>
      <c r="BFM128" s="1251"/>
      <c r="BFN128" s="1251"/>
      <c r="BFO128" s="1251"/>
      <c r="BFP128" s="1251"/>
      <c r="BFQ128" s="1251"/>
      <c r="BFR128" s="1251"/>
      <c r="BFS128" s="1251"/>
      <c r="BFT128" s="1251"/>
      <c r="BFU128" s="1251"/>
      <c r="BFV128" s="1251"/>
      <c r="BFW128" s="1251"/>
      <c r="BFX128" s="1251"/>
      <c r="BFY128" s="1251"/>
      <c r="BFZ128" s="1251"/>
      <c r="BGA128" s="1251"/>
      <c r="BGB128" s="1251"/>
      <c r="BGC128" s="1251"/>
      <c r="BGD128" s="1251"/>
      <c r="BGE128" s="1251"/>
      <c r="BGF128" s="1251"/>
      <c r="BGG128" s="1251"/>
      <c r="BGH128" s="1251"/>
      <c r="BGI128" s="1251"/>
      <c r="BGJ128" s="1251"/>
      <c r="BGK128" s="1251"/>
      <c r="BGL128" s="1251"/>
      <c r="BGM128" s="1251"/>
      <c r="BGN128" s="1251"/>
      <c r="BGO128" s="1251"/>
      <c r="BGP128" s="1251"/>
      <c r="BGQ128" s="1251"/>
      <c r="BGR128" s="1251"/>
      <c r="BGS128" s="1251"/>
      <c r="BGT128" s="1251"/>
      <c r="BGU128" s="1251"/>
      <c r="BGV128" s="1251"/>
      <c r="BGW128" s="1251"/>
      <c r="BGX128" s="1251"/>
      <c r="BGY128" s="1251"/>
      <c r="BGZ128" s="1251"/>
      <c r="BHA128" s="1251"/>
      <c r="BHB128" s="1251"/>
      <c r="BHC128" s="1251"/>
      <c r="BHD128" s="1251"/>
      <c r="BHE128" s="1251"/>
      <c r="BHF128" s="1251"/>
      <c r="BHG128" s="1251"/>
      <c r="BHH128" s="1251"/>
      <c r="BHI128" s="1251"/>
      <c r="BHJ128" s="1251"/>
      <c r="BHK128" s="1251"/>
      <c r="BHL128" s="1251"/>
      <c r="BHM128" s="1251"/>
      <c r="BHN128" s="1251"/>
      <c r="BHO128" s="1251"/>
      <c r="BHP128" s="1251"/>
      <c r="BHQ128" s="1251"/>
      <c r="BHR128" s="1251"/>
      <c r="BHS128" s="1251"/>
      <c r="BHT128" s="1251"/>
      <c r="BHU128" s="1251"/>
      <c r="BHV128" s="1251"/>
      <c r="BHW128" s="1251"/>
      <c r="BHX128" s="1251"/>
      <c r="BHY128" s="1251"/>
      <c r="BHZ128" s="1251"/>
      <c r="BIA128" s="1251"/>
      <c r="BIB128" s="1251"/>
      <c r="BIC128" s="1251"/>
      <c r="BID128" s="1251"/>
      <c r="BIE128" s="1251"/>
      <c r="BIF128" s="1251"/>
      <c r="BIG128" s="1251"/>
      <c r="BIH128" s="1251"/>
      <c r="BII128" s="1251"/>
      <c r="BIJ128" s="1251"/>
      <c r="BIK128" s="1251"/>
      <c r="BIL128" s="1251"/>
      <c r="BIM128" s="1251"/>
      <c r="BIN128" s="1251"/>
      <c r="BIO128" s="1251"/>
      <c r="BIP128" s="1251"/>
      <c r="BIQ128" s="1251"/>
      <c r="BIR128" s="1251"/>
      <c r="BIS128" s="1251"/>
      <c r="BIT128" s="1251"/>
      <c r="BIU128" s="1251"/>
      <c r="BIV128" s="1251"/>
      <c r="BIW128" s="1251"/>
      <c r="BIX128" s="1251"/>
      <c r="BIY128" s="1251"/>
      <c r="BIZ128" s="1251"/>
      <c r="BJA128" s="1251"/>
      <c r="BJB128" s="1251"/>
      <c r="BJC128" s="1251"/>
      <c r="BJD128" s="1251"/>
      <c r="BJE128" s="1251"/>
      <c r="BJF128" s="1251"/>
      <c r="BJG128" s="1251"/>
      <c r="BJH128" s="1251"/>
      <c r="BJI128" s="1251"/>
      <c r="BJJ128" s="1251"/>
      <c r="BJK128" s="1251"/>
      <c r="BJL128" s="1251"/>
      <c r="BJM128" s="1251"/>
      <c r="BJN128" s="1251"/>
      <c r="BJO128" s="1251"/>
      <c r="BJP128" s="1251"/>
      <c r="BJQ128" s="1251"/>
      <c r="BJR128" s="1251"/>
      <c r="BJS128" s="1251"/>
      <c r="BJT128" s="1251"/>
      <c r="BJU128" s="1251"/>
      <c r="BJV128" s="1251"/>
      <c r="BJW128" s="1251"/>
      <c r="BJX128" s="1251"/>
      <c r="BJY128" s="1251"/>
      <c r="BJZ128" s="1251"/>
      <c r="BKA128" s="1251"/>
      <c r="BKB128" s="1251"/>
      <c r="BKC128" s="1251"/>
      <c r="BKD128" s="1251"/>
      <c r="BKE128" s="1251"/>
      <c r="BKF128" s="1251"/>
      <c r="BKG128" s="1251"/>
      <c r="BKH128" s="1251"/>
      <c r="BKI128" s="1251"/>
      <c r="BKJ128" s="1251"/>
      <c r="BKK128" s="1251"/>
      <c r="BKL128" s="1251"/>
      <c r="BKM128" s="1251"/>
      <c r="BKN128" s="1251"/>
      <c r="BKO128" s="1251"/>
      <c r="BKP128" s="1251"/>
      <c r="BKQ128" s="1251"/>
      <c r="BKR128" s="1251"/>
      <c r="BKS128" s="1251"/>
      <c r="BKT128" s="1251"/>
      <c r="BKU128" s="1251"/>
      <c r="BKV128" s="1251"/>
      <c r="BKW128" s="1251"/>
      <c r="BKX128" s="1251"/>
      <c r="BKY128" s="1251"/>
      <c r="BKZ128" s="1251"/>
      <c r="BLA128" s="1251"/>
      <c r="BLB128" s="1251"/>
      <c r="BLC128" s="1251"/>
      <c r="BLD128" s="1251"/>
      <c r="BLE128" s="1251"/>
      <c r="BLF128" s="1251"/>
      <c r="BLG128" s="1251"/>
      <c r="BLH128" s="1251"/>
      <c r="BLI128" s="1251"/>
      <c r="BLJ128" s="1251"/>
      <c r="BLK128" s="1251"/>
      <c r="BLL128" s="1251"/>
      <c r="BLM128" s="1251"/>
      <c r="BLN128" s="1251"/>
      <c r="BLO128" s="1251"/>
      <c r="BLP128" s="1251"/>
      <c r="BLQ128" s="1251"/>
      <c r="BLR128" s="1251"/>
      <c r="BLS128" s="1251"/>
      <c r="BLT128" s="1251"/>
      <c r="BLU128" s="1251"/>
      <c r="BLV128" s="1251"/>
      <c r="BLW128" s="1251"/>
      <c r="BLX128" s="1251"/>
      <c r="BLY128" s="1251"/>
      <c r="BLZ128" s="1251"/>
      <c r="BMA128" s="1251"/>
      <c r="BMB128" s="1251"/>
      <c r="BMC128" s="1251"/>
      <c r="BMD128" s="1251"/>
      <c r="BME128" s="1251"/>
      <c r="BMF128" s="1251"/>
      <c r="BMG128" s="1251"/>
      <c r="BMH128" s="1251"/>
      <c r="BMI128" s="1251"/>
      <c r="BMJ128" s="1251"/>
      <c r="BMK128" s="1251"/>
      <c r="BML128" s="1251"/>
      <c r="BMM128" s="1251"/>
      <c r="BMN128" s="1251"/>
      <c r="BMO128" s="1251"/>
      <c r="BMP128" s="1251"/>
      <c r="BMQ128" s="1251"/>
      <c r="BMR128" s="1251"/>
      <c r="BMS128" s="1251"/>
      <c r="BMT128" s="1251"/>
      <c r="BMU128" s="1251"/>
      <c r="BMV128" s="1251"/>
      <c r="BMW128" s="1251"/>
      <c r="BMX128" s="1251"/>
      <c r="BMY128" s="1251"/>
      <c r="BMZ128" s="1251"/>
      <c r="BNA128" s="1251"/>
      <c r="BNB128" s="1251"/>
      <c r="BNC128" s="1251"/>
      <c r="BND128" s="1251"/>
      <c r="BNE128" s="1251"/>
      <c r="BNF128" s="1251"/>
      <c r="BNG128" s="1251"/>
      <c r="BNH128" s="1251"/>
      <c r="BNI128" s="1251"/>
      <c r="BNJ128" s="1251"/>
      <c r="BNK128" s="1251"/>
      <c r="BNL128" s="1251"/>
      <c r="BNM128" s="1251"/>
      <c r="BNN128" s="1251"/>
      <c r="BNO128" s="1251"/>
      <c r="BNP128" s="1251"/>
      <c r="BNQ128" s="1251"/>
      <c r="BNR128" s="1251"/>
      <c r="BNS128" s="1251"/>
      <c r="BNT128" s="1251"/>
      <c r="BNU128" s="1251"/>
      <c r="BNV128" s="1251"/>
      <c r="BNW128" s="1251"/>
      <c r="BNX128" s="1251"/>
      <c r="BNY128" s="1251"/>
      <c r="BNZ128" s="1251"/>
      <c r="BOA128" s="1251"/>
      <c r="BOB128" s="1251"/>
      <c r="BOC128" s="1251"/>
      <c r="BOD128" s="1251"/>
      <c r="BOE128" s="1251"/>
      <c r="BOF128" s="1251"/>
      <c r="BOG128" s="1251"/>
      <c r="BOH128" s="1251"/>
      <c r="BOI128" s="1251"/>
      <c r="BOJ128" s="1251"/>
      <c r="BOK128" s="1251"/>
      <c r="BOL128" s="1251"/>
      <c r="BOM128" s="1251"/>
      <c r="BON128" s="1251"/>
      <c r="BOO128" s="1251"/>
      <c r="BOP128" s="1251"/>
      <c r="BOQ128" s="1251"/>
      <c r="BOR128" s="1251"/>
      <c r="BOS128" s="1251"/>
      <c r="BOT128" s="1251"/>
      <c r="BOU128" s="1251"/>
      <c r="BOV128" s="1251"/>
      <c r="BOW128" s="1251"/>
      <c r="BOX128" s="1251"/>
      <c r="BOY128" s="1251"/>
      <c r="BOZ128" s="1251"/>
      <c r="BPA128" s="1251"/>
      <c r="BPB128" s="1251"/>
      <c r="BPC128" s="1251"/>
      <c r="BPD128" s="1251"/>
      <c r="BPE128" s="1251"/>
      <c r="BPF128" s="1251"/>
      <c r="BPG128" s="1251"/>
      <c r="BPH128" s="1251"/>
      <c r="BPI128" s="1251"/>
      <c r="BPJ128" s="1251"/>
      <c r="BPK128" s="1251"/>
      <c r="BPL128" s="1251"/>
      <c r="BPM128" s="1251"/>
      <c r="BPN128" s="1251"/>
      <c r="BPO128" s="1251"/>
      <c r="BPP128" s="1251"/>
      <c r="BPQ128" s="1251"/>
      <c r="BPR128" s="1251"/>
      <c r="BPS128" s="1251"/>
      <c r="BPT128" s="1251"/>
      <c r="BPU128" s="1251"/>
      <c r="BPV128" s="1251"/>
      <c r="BPW128" s="1251"/>
      <c r="BPX128" s="1251"/>
      <c r="BPY128" s="1251"/>
      <c r="BPZ128" s="1251"/>
      <c r="BQA128" s="1251"/>
      <c r="BQB128" s="1251"/>
      <c r="BQC128" s="1251"/>
      <c r="BQD128" s="1251"/>
      <c r="BQE128" s="1251"/>
      <c r="BQF128" s="1251"/>
      <c r="BQG128" s="1251"/>
      <c r="BQH128" s="1251"/>
      <c r="BQI128" s="1251"/>
      <c r="BQJ128" s="1251"/>
      <c r="BQK128" s="1251"/>
      <c r="BQL128" s="1251"/>
      <c r="BQM128" s="1251"/>
      <c r="BQN128" s="1251"/>
      <c r="BQO128" s="1251"/>
      <c r="BQP128" s="1251"/>
      <c r="BQQ128" s="1251"/>
      <c r="BQR128" s="1251"/>
      <c r="BQS128" s="1251"/>
      <c r="BQT128" s="1251"/>
      <c r="BQU128" s="1251"/>
      <c r="BQV128" s="1251"/>
      <c r="BQW128" s="1251"/>
      <c r="BQX128" s="1251"/>
      <c r="BQY128" s="1251"/>
      <c r="BQZ128" s="1251"/>
      <c r="BRA128" s="1251"/>
      <c r="BRB128" s="1251"/>
      <c r="BRC128" s="1251"/>
      <c r="BRD128" s="1251"/>
      <c r="BRE128" s="1251"/>
      <c r="BRF128" s="1251"/>
      <c r="BRG128" s="1251"/>
      <c r="BRH128" s="1251"/>
      <c r="BRI128" s="1251"/>
      <c r="BRJ128" s="1251"/>
      <c r="BRK128" s="1251"/>
      <c r="BRL128" s="1251"/>
      <c r="BRM128" s="1251"/>
      <c r="BRN128" s="1251"/>
      <c r="BRO128" s="1251"/>
      <c r="BRP128" s="1251"/>
      <c r="BRQ128" s="1251"/>
      <c r="BRR128" s="1251"/>
      <c r="BRS128" s="1251"/>
      <c r="BRT128" s="1251"/>
      <c r="BRU128" s="1251"/>
      <c r="BRV128" s="1251"/>
      <c r="BRW128" s="1251"/>
      <c r="BRX128" s="1251"/>
      <c r="BRY128" s="1251"/>
      <c r="BRZ128" s="1251"/>
      <c r="BSA128" s="1251"/>
      <c r="BSB128" s="1251"/>
      <c r="BSC128" s="1251"/>
      <c r="BSD128" s="1251"/>
      <c r="BSE128" s="1251"/>
      <c r="BSF128" s="1251"/>
      <c r="BSG128" s="1251"/>
      <c r="BSH128" s="1251"/>
      <c r="BSI128" s="1251"/>
      <c r="BSJ128" s="1251"/>
      <c r="BSK128" s="1251"/>
      <c r="BSL128" s="1251"/>
      <c r="BSM128" s="1251"/>
      <c r="BSN128" s="1251"/>
      <c r="BSO128" s="1251"/>
      <c r="BSP128" s="1251"/>
      <c r="BSQ128" s="1251"/>
      <c r="BSR128" s="1251"/>
      <c r="BSS128" s="1251"/>
      <c r="BST128" s="1251"/>
      <c r="BSU128" s="1251"/>
      <c r="BSV128" s="1251"/>
      <c r="BSW128" s="1251"/>
      <c r="BSX128" s="1251"/>
      <c r="BSY128" s="1251"/>
      <c r="BSZ128" s="1251"/>
      <c r="BTA128" s="1251"/>
      <c r="BTB128" s="1251"/>
      <c r="BTC128" s="1251"/>
      <c r="BTD128" s="1251"/>
      <c r="BTE128" s="1251"/>
      <c r="BTF128" s="1251"/>
      <c r="BTG128" s="1251"/>
      <c r="BTH128" s="1251"/>
      <c r="BTI128" s="1251"/>
    </row>
    <row r="129" spans="1:1881" s="1261" customFormat="1" ht="15" hidden="1" thickBot="1" x14ac:dyDescent="0.35">
      <c r="A129" s="1248"/>
      <c r="B129" s="841" t="s">
        <v>24</v>
      </c>
      <c r="C129" s="841"/>
      <c r="D129" s="841"/>
      <c r="E129" s="827"/>
      <c r="F129" s="1279"/>
      <c r="G129" s="832"/>
      <c r="H129" s="17"/>
      <c r="I129" s="760"/>
      <c r="J129" s="1251"/>
      <c r="K129" s="1251"/>
      <c r="L129" s="701"/>
      <c r="M129" s="1251"/>
      <c r="N129" s="1253"/>
      <c r="O129" s="1251"/>
      <c r="P129" s="1251"/>
      <c r="Q129" s="1251"/>
      <c r="R129" s="1251"/>
      <c r="S129" s="1251"/>
      <c r="T129" s="1251"/>
      <c r="U129" s="1251"/>
      <c r="V129" s="1251"/>
      <c r="W129" s="1251"/>
      <c r="X129" s="1251"/>
      <c r="Y129" s="1251"/>
      <c r="Z129" s="1248"/>
      <c r="AA129" s="1248"/>
      <c r="AB129" s="1248"/>
      <c r="AC129" s="1248"/>
      <c r="AD129" s="1248"/>
      <c r="AE129" s="1248"/>
      <c r="AF129" s="1248"/>
      <c r="AG129" s="1248"/>
      <c r="AH129" s="1248"/>
      <c r="AI129" s="1248"/>
      <c r="AJ129" s="1248"/>
      <c r="AK129" s="1248"/>
      <c r="AL129" s="1248"/>
      <c r="AM129" s="1248"/>
      <c r="AN129" s="1248"/>
      <c r="AO129" s="1248"/>
      <c r="AP129" s="1248"/>
      <c r="AQ129" s="1248"/>
      <c r="AR129" s="1248"/>
      <c r="AS129" s="1251"/>
      <c r="AT129" s="1251"/>
      <c r="AU129" s="1251"/>
      <c r="AV129" s="1251"/>
      <c r="AW129" s="1251"/>
      <c r="AX129" s="1251"/>
      <c r="AY129" s="1251"/>
      <c r="AZ129" s="1251"/>
      <c r="BA129" s="1251"/>
      <c r="BB129" s="1251"/>
      <c r="BC129" s="1251"/>
      <c r="BD129" s="1251"/>
      <c r="BE129" s="1251"/>
      <c r="BF129" s="1251"/>
      <c r="BG129" s="1251"/>
      <c r="BH129" s="1251"/>
      <c r="BI129" s="1251"/>
      <c r="BJ129" s="1251"/>
      <c r="BK129" s="1251"/>
      <c r="BL129" s="1251"/>
      <c r="BM129" s="1251"/>
      <c r="BN129" s="1251"/>
      <c r="BO129" s="1251"/>
      <c r="BP129" s="1251"/>
      <c r="BQ129" s="1251"/>
      <c r="BR129" s="1251"/>
      <c r="BS129" s="1251"/>
      <c r="BT129" s="1251"/>
      <c r="BU129" s="1251"/>
      <c r="BV129" s="1251"/>
      <c r="BW129" s="1251"/>
      <c r="BX129" s="1251"/>
      <c r="BY129" s="1251"/>
      <c r="BZ129" s="1251"/>
      <c r="CA129" s="1251"/>
      <c r="CB129" s="1251"/>
      <c r="CC129" s="1251"/>
      <c r="CD129" s="1251"/>
      <c r="CE129" s="1251"/>
      <c r="CF129" s="1251"/>
      <c r="CG129" s="1251"/>
      <c r="CH129" s="1251"/>
      <c r="CI129" s="1251"/>
      <c r="CJ129" s="1251"/>
      <c r="CK129" s="1251"/>
      <c r="CL129" s="1251"/>
      <c r="CM129" s="1251"/>
      <c r="CN129" s="1251"/>
      <c r="CO129" s="1251"/>
      <c r="CP129" s="1251"/>
      <c r="CQ129" s="1251"/>
      <c r="CR129" s="1251"/>
      <c r="CS129" s="1251"/>
      <c r="CT129" s="1251"/>
      <c r="CU129" s="1251"/>
      <c r="CV129" s="1251"/>
      <c r="CW129" s="1251"/>
      <c r="CX129" s="1251"/>
      <c r="CY129" s="1251"/>
      <c r="CZ129" s="1251"/>
      <c r="DA129" s="1251"/>
      <c r="DB129" s="1251"/>
      <c r="DC129" s="1251"/>
      <c r="DD129" s="1251"/>
      <c r="DE129" s="1251"/>
      <c r="DF129" s="1251"/>
      <c r="DG129" s="1251"/>
      <c r="DH129" s="1251"/>
      <c r="DI129" s="1251"/>
      <c r="DJ129" s="1251"/>
      <c r="DK129" s="1251"/>
      <c r="DL129" s="1251"/>
      <c r="DM129" s="1251"/>
      <c r="DN129" s="1251"/>
      <c r="DO129" s="1251"/>
      <c r="DP129" s="1251"/>
      <c r="DQ129" s="1251"/>
      <c r="DR129" s="1251"/>
      <c r="DS129" s="1251"/>
      <c r="DT129" s="1251"/>
      <c r="DU129" s="1251"/>
      <c r="DV129" s="1251"/>
      <c r="DW129" s="1251"/>
      <c r="DX129" s="1251"/>
      <c r="DY129" s="1251"/>
      <c r="DZ129" s="1251"/>
      <c r="EA129" s="1251"/>
      <c r="EB129" s="1251"/>
      <c r="EC129" s="1251"/>
      <c r="ED129" s="1251"/>
      <c r="EE129" s="1251"/>
      <c r="EF129" s="1251"/>
      <c r="EG129" s="1251"/>
      <c r="EH129" s="1251"/>
      <c r="EI129" s="1251"/>
      <c r="EJ129" s="1251"/>
      <c r="EK129" s="1251"/>
      <c r="EL129" s="1251"/>
      <c r="EM129" s="1251"/>
      <c r="EN129" s="1251"/>
      <c r="EO129" s="1251"/>
      <c r="EP129" s="1251"/>
      <c r="EQ129" s="1251"/>
      <c r="ER129" s="1251"/>
      <c r="ES129" s="1251"/>
      <c r="ET129" s="1251"/>
      <c r="EU129" s="1251"/>
      <c r="EV129" s="1251"/>
      <c r="EW129" s="1251"/>
      <c r="EX129" s="1251"/>
      <c r="EY129" s="1251"/>
      <c r="EZ129" s="1251"/>
      <c r="FA129" s="1251"/>
      <c r="FB129" s="1251"/>
      <c r="FC129" s="1251"/>
      <c r="FD129" s="1251"/>
      <c r="FE129" s="1251"/>
      <c r="FF129" s="1251"/>
      <c r="FG129" s="1251"/>
      <c r="FH129" s="1251"/>
      <c r="FI129" s="1251"/>
      <c r="FJ129" s="1251"/>
      <c r="FK129" s="1251"/>
      <c r="FL129" s="1251"/>
      <c r="FM129" s="1251"/>
      <c r="FN129" s="1251"/>
      <c r="FO129" s="1251"/>
      <c r="FP129" s="1251"/>
      <c r="FQ129" s="1251"/>
      <c r="FR129" s="1251"/>
      <c r="FS129" s="1251"/>
      <c r="FT129" s="1251"/>
      <c r="FU129" s="1251"/>
      <c r="FV129" s="1251"/>
      <c r="FW129" s="1251"/>
      <c r="FX129" s="1251"/>
      <c r="FY129" s="1251"/>
      <c r="FZ129" s="1251"/>
      <c r="GA129" s="1251"/>
      <c r="GB129" s="1251"/>
      <c r="GC129" s="1251"/>
      <c r="GD129" s="1251"/>
      <c r="GE129" s="1251"/>
      <c r="GF129" s="1251"/>
      <c r="GG129" s="1251"/>
      <c r="GH129" s="1251"/>
      <c r="GI129" s="1251"/>
      <c r="GJ129" s="1251"/>
      <c r="GK129" s="1251"/>
      <c r="GL129" s="1251"/>
      <c r="GM129" s="1251"/>
      <c r="GN129" s="1251"/>
      <c r="GO129" s="1251"/>
      <c r="GP129" s="1251"/>
      <c r="GQ129" s="1251"/>
      <c r="GR129" s="1251"/>
      <c r="GS129" s="1251"/>
      <c r="GT129" s="1251"/>
      <c r="GU129" s="1251"/>
      <c r="GV129" s="1251"/>
      <c r="GW129" s="1251"/>
      <c r="GX129" s="1251"/>
      <c r="GY129" s="1251"/>
      <c r="GZ129" s="1251"/>
      <c r="HA129" s="1251"/>
      <c r="HB129" s="1251"/>
      <c r="HC129" s="1251"/>
      <c r="HD129" s="1251"/>
      <c r="HE129" s="1251"/>
      <c r="HF129" s="1251"/>
      <c r="HG129" s="1251"/>
      <c r="HH129" s="1251"/>
      <c r="HI129" s="1251"/>
      <c r="HJ129" s="1251"/>
      <c r="HK129" s="1251"/>
      <c r="HL129" s="1251"/>
      <c r="HM129" s="1251"/>
      <c r="HN129" s="1251"/>
      <c r="HO129" s="1251"/>
      <c r="HP129" s="1251"/>
      <c r="HQ129" s="1251"/>
      <c r="HR129" s="1251"/>
      <c r="HS129" s="1251"/>
      <c r="HT129" s="1251"/>
      <c r="HU129" s="1251"/>
      <c r="HV129" s="1251"/>
      <c r="HW129" s="1251"/>
      <c r="HX129" s="1251"/>
      <c r="HY129" s="1251"/>
      <c r="HZ129" s="1251"/>
      <c r="IA129" s="1251"/>
      <c r="IB129" s="1251"/>
      <c r="IC129" s="1251"/>
      <c r="ID129" s="1251"/>
      <c r="IE129" s="1251"/>
      <c r="IF129" s="1251"/>
      <c r="IG129" s="1251"/>
      <c r="IH129" s="1251"/>
      <c r="II129" s="1251"/>
      <c r="IJ129" s="1251"/>
      <c r="IK129" s="1251"/>
      <c r="IL129" s="1251"/>
      <c r="IM129" s="1251"/>
      <c r="IN129" s="1251"/>
      <c r="IO129" s="1251"/>
      <c r="IP129" s="1251"/>
      <c r="IQ129" s="1251"/>
      <c r="IR129" s="1251"/>
      <c r="IS129" s="1251"/>
      <c r="IT129" s="1251"/>
      <c r="IU129" s="1251"/>
      <c r="IV129" s="1251"/>
      <c r="IW129" s="1251"/>
      <c r="IX129" s="1251"/>
      <c r="IY129" s="1251"/>
      <c r="IZ129" s="1251"/>
      <c r="JA129" s="1251"/>
      <c r="JB129" s="1251"/>
      <c r="JC129" s="1251"/>
      <c r="JD129" s="1251"/>
      <c r="JE129" s="1251"/>
      <c r="JF129" s="1251"/>
      <c r="JG129" s="1251"/>
      <c r="JH129" s="1251"/>
      <c r="JI129" s="1251"/>
      <c r="JJ129" s="1251"/>
      <c r="JK129" s="1251"/>
      <c r="JL129" s="1251"/>
      <c r="JM129" s="1251"/>
      <c r="JN129" s="1251"/>
      <c r="JO129" s="1251"/>
      <c r="JP129" s="1251"/>
      <c r="JQ129" s="1251"/>
      <c r="JR129" s="1251"/>
      <c r="JS129" s="1251"/>
      <c r="JT129" s="1251"/>
      <c r="JU129" s="1251"/>
      <c r="JV129" s="1251"/>
      <c r="JW129" s="1251"/>
      <c r="JX129" s="1251"/>
      <c r="JY129" s="1251"/>
      <c r="JZ129" s="1251"/>
      <c r="KA129" s="1251"/>
      <c r="KB129" s="1251"/>
      <c r="KC129" s="1251"/>
      <c r="KD129" s="1251"/>
      <c r="KE129" s="1251"/>
      <c r="KF129" s="1251"/>
      <c r="KG129" s="1251"/>
      <c r="KH129" s="1251"/>
      <c r="KI129" s="1251"/>
      <c r="KJ129" s="1251"/>
      <c r="KK129" s="1251"/>
      <c r="KL129" s="1251"/>
      <c r="KM129" s="1251"/>
      <c r="KN129" s="1251"/>
      <c r="KO129" s="1251"/>
      <c r="KP129" s="1251"/>
      <c r="KQ129" s="1251"/>
      <c r="KR129" s="1251"/>
      <c r="KS129" s="1251"/>
      <c r="KT129" s="1251"/>
      <c r="KU129" s="1251"/>
      <c r="KV129" s="1251"/>
      <c r="KW129" s="1251"/>
      <c r="KX129" s="1251"/>
      <c r="KY129" s="1251"/>
      <c r="KZ129" s="1251"/>
      <c r="LA129" s="1251"/>
      <c r="LB129" s="1251"/>
      <c r="LC129" s="1251"/>
      <c r="LD129" s="1251"/>
      <c r="LE129" s="1251"/>
      <c r="LF129" s="1251"/>
      <c r="LG129" s="1251"/>
      <c r="LH129" s="1251"/>
      <c r="LI129" s="1251"/>
      <c r="LJ129" s="1251"/>
      <c r="LK129" s="1251"/>
      <c r="LL129" s="1251"/>
      <c r="LM129" s="1251"/>
      <c r="LN129" s="1251"/>
      <c r="LO129" s="1251"/>
      <c r="LP129" s="1251"/>
      <c r="LQ129" s="1251"/>
      <c r="LR129" s="1251"/>
      <c r="LS129" s="1251"/>
      <c r="LT129" s="1251"/>
      <c r="LU129" s="1251"/>
      <c r="LV129" s="1251"/>
      <c r="LW129" s="1251"/>
      <c r="LX129" s="1251"/>
      <c r="LY129" s="1251"/>
      <c r="LZ129" s="1251"/>
      <c r="MA129" s="1251"/>
      <c r="MB129" s="1251"/>
      <c r="MC129" s="1251"/>
      <c r="MD129" s="1251"/>
      <c r="ME129" s="1251"/>
      <c r="MF129" s="1251"/>
      <c r="MG129" s="1251"/>
      <c r="MH129" s="1251"/>
      <c r="MI129" s="1251"/>
      <c r="MJ129" s="1251"/>
      <c r="MK129" s="1251"/>
      <c r="ML129" s="1251"/>
      <c r="MM129" s="1251"/>
      <c r="MN129" s="1251"/>
      <c r="MO129" s="1251"/>
      <c r="MP129" s="1251"/>
      <c r="MQ129" s="1251"/>
      <c r="MR129" s="1251"/>
      <c r="MS129" s="1251"/>
      <c r="MT129" s="1251"/>
      <c r="MU129" s="1251"/>
      <c r="MV129" s="1251"/>
      <c r="MW129" s="1251"/>
      <c r="MX129" s="1251"/>
      <c r="MY129" s="1251"/>
      <c r="MZ129" s="1251"/>
      <c r="NA129" s="1251"/>
      <c r="NB129" s="1251"/>
      <c r="NC129" s="1251"/>
      <c r="ND129" s="1251"/>
      <c r="NE129" s="1251"/>
      <c r="NF129" s="1251"/>
      <c r="NG129" s="1251"/>
      <c r="NH129" s="1251"/>
      <c r="NI129" s="1251"/>
      <c r="NJ129" s="1251"/>
      <c r="NK129" s="1251"/>
      <c r="NL129" s="1251"/>
      <c r="NM129" s="1251"/>
      <c r="NN129" s="1251"/>
      <c r="NO129" s="1251"/>
      <c r="NP129" s="1251"/>
      <c r="NQ129" s="1251"/>
      <c r="NR129" s="1251"/>
      <c r="NS129" s="1251"/>
      <c r="NT129" s="1251"/>
      <c r="NU129" s="1251"/>
      <c r="NV129" s="1251"/>
      <c r="NW129" s="1251"/>
      <c r="NX129" s="1251"/>
      <c r="NY129" s="1251"/>
      <c r="NZ129" s="1251"/>
      <c r="OA129" s="1251"/>
      <c r="OB129" s="1251"/>
      <c r="OC129" s="1251"/>
      <c r="OD129" s="1251"/>
      <c r="OE129" s="1251"/>
      <c r="OF129" s="1251"/>
      <c r="OG129" s="1251"/>
      <c r="OH129" s="1251"/>
      <c r="OI129" s="1251"/>
      <c r="OJ129" s="1251"/>
      <c r="OK129" s="1251"/>
      <c r="OL129" s="1251"/>
      <c r="OM129" s="1251"/>
      <c r="ON129" s="1251"/>
      <c r="OO129" s="1251"/>
      <c r="OP129" s="1251"/>
      <c r="OQ129" s="1251"/>
      <c r="OR129" s="1251"/>
      <c r="OS129" s="1251"/>
      <c r="OT129" s="1251"/>
      <c r="OU129" s="1251"/>
      <c r="OV129" s="1251"/>
      <c r="OW129" s="1251"/>
      <c r="OX129" s="1251"/>
      <c r="OY129" s="1251"/>
      <c r="OZ129" s="1251"/>
      <c r="PA129" s="1251"/>
      <c r="PB129" s="1251"/>
      <c r="PC129" s="1251"/>
      <c r="PD129" s="1251"/>
      <c r="PE129" s="1251"/>
      <c r="PF129" s="1251"/>
      <c r="PG129" s="1251"/>
      <c r="PH129" s="1251"/>
      <c r="PI129" s="1251"/>
      <c r="PJ129" s="1251"/>
      <c r="PK129" s="1251"/>
      <c r="PL129" s="1251"/>
      <c r="PM129" s="1251"/>
      <c r="PN129" s="1251"/>
      <c r="PO129" s="1251"/>
      <c r="PP129" s="1251"/>
      <c r="PQ129" s="1251"/>
      <c r="PR129" s="1251"/>
      <c r="PS129" s="1251"/>
      <c r="PT129" s="1251"/>
      <c r="PU129" s="1251"/>
      <c r="PV129" s="1251"/>
      <c r="PW129" s="1251"/>
      <c r="PX129" s="1251"/>
      <c r="PY129" s="1251"/>
      <c r="PZ129" s="1251"/>
      <c r="QA129" s="1251"/>
      <c r="QB129" s="1251"/>
      <c r="QC129" s="1251"/>
      <c r="QD129" s="1251"/>
      <c r="QE129" s="1251"/>
      <c r="QF129" s="1251"/>
      <c r="QG129" s="1251"/>
      <c r="QH129" s="1251"/>
      <c r="QI129" s="1251"/>
      <c r="QJ129" s="1251"/>
      <c r="QK129" s="1251"/>
      <c r="QL129" s="1251"/>
      <c r="QM129" s="1251"/>
      <c r="QN129" s="1251"/>
      <c r="QO129" s="1251"/>
      <c r="QP129" s="1251"/>
      <c r="QQ129" s="1251"/>
      <c r="QR129" s="1251"/>
      <c r="QS129" s="1251"/>
      <c r="QT129" s="1251"/>
      <c r="QU129" s="1251"/>
      <c r="QV129" s="1251"/>
      <c r="QW129" s="1251"/>
      <c r="QX129" s="1251"/>
      <c r="QY129" s="1251"/>
      <c r="QZ129" s="1251"/>
      <c r="RA129" s="1251"/>
      <c r="RB129" s="1251"/>
      <c r="RC129" s="1251"/>
      <c r="RD129" s="1251"/>
      <c r="RE129" s="1251"/>
      <c r="RF129" s="1251"/>
      <c r="RG129" s="1251"/>
      <c r="RH129" s="1251"/>
      <c r="RI129" s="1251"/>
      <c r="RJ129" s="1251"/>
      <c r="RK129" s="1251"/>
      <c r="RL129" s="1251"/>
      <c r="RM129" s="1251"/>
      <c r="RN129" s="1251"/>
      <c r="RO129" s="1251"/>
      <c r="RP129" s="1251"/>
      <c r="RQ129" s="1251"/>
      <c r="RR129" s="1251"/>
      <c r="RS129" s="1251"/>
      <c r="RT129" s="1251"/>
      <c r="RU129" s="1251"/>
      <c r="RV129" s="1251"/>
      <c r="RW129" s="1251"/>
      <c r="RX129" s="1251"/>
      <c r="RY129" s="1251"/>
      <c r="RZ129" s="1251"/>
      <c r="SA129" s="1251"/>
      <c r="SB129" s="1251"/>
      <c r="SC129" s="1251"/>
      <c r="SD129" s="1251"/>
      <c r="SE129" s="1251"/>
      <c r="SF129" s="1251"/>
      <c r="SG129" s="1251"/>
      <c r="SH129" s="1251"/>
      <c r="SI129" s="1251"/>
      <c r="SJ129" s="1251"/>
      <c r="SK129" s="1251"/>
      <c r="SL129" s="1251"/>
      <c r="SM129" s="1251"/>
      <c r="SN129" s="1251"/>
      <c r="SO129" s="1251"/>
      <c r="SP129" s="1251"/>
      <c r="SQ129" s="1251"/>
      <c r="SR129" s="1251"/>
      <c r="SS129" s="1251"/>
      <c r="ST129" s="1251"/>
      <c r="SU129" s="1251"/>
      <c r="SV129" s="1251"/>
      <c r="SW129" s="1251"/>
      <c r="SX129" s="1251"/>
      <c r="SY129" s="1251"/>
      <c r="SZ129" s="1251"/>
      <c r="TA129" s="1251"/>
      <c r="TB129" s="1251"/>
      <c r="TC129" s="1251"/>
      <c r="TD129" s="1251"/>
      <c r="TE129" s="1251"/>
      <c r="TF129" s="1251"/>
      <c r="TG129" s="1251"/>
      <c r="TH129" s="1251"/>
      <c r="TI129" s="1251"/>
      <c r="TJ129" s="1251"/>
      <c r="TK129" s="1251"/>
      <c r="TL129" s="1251"/>
      <c r="TM129" s="1251"/>
      <c r="TN129" s="1251"/>
      <c r="TO129" s="1251"/>
      <c r="TP129" s="1251"/>
      <c r="TQ129" s="1251"/>
      <c r="TR129" s="1251"/>
      <c r="TS129" s="1251"/>
      <c r="TT129" s="1251"/>
      <c r="TU129" s="1251"/>
      <c r="TV129" s="1251"/>
      <c r="TW129" s="1251"/>
      <c r="TX129" s="1251"/>
      <c r="TY129" s="1251"/>
      <c r="TZ129" s="1251"/>
      <c r="UA129" s="1251"/>
      <c r="UB129" s="1251"/>
      <c r="UC129" s="1251"/>
      <c r="UD129" s="1251"/>
      <c r="UE129" s="1251"/>
      <c r="UF129" s="1251"/>
      <c r="UG129" s="1251"/>
      <c r="UH129" s="1251"/>
      <c r="UI129" s="1251"/>
      <c r="UJ129" s="1251"/>
      <c r="UK129" s="1251"/>
      <c r="UL129" s="1251"/>
      <c r="UM129" s="1251"/>
      <c r="UN129" s="1251"/>
      <c r="UO129" s="1251"/>
      <c r="UP129" s="1251"/>
      <c r="UQ129" s="1251"/>
      <c r="UR129" s="1251"/>
      <c r="US129" s="1251"/>
      <c r="UT129" s="1251"/>
      <c r="UU129" s="1251"/>
      <c r="UV129" s="1251"/>
      <c r="UW129" s="1251"/>
      <c r="UX129" s="1251"/>
      <c r="UY129" s="1251"/>
      <c r="UZ129" s="1251"/>
      <c r="VA129" s="1251"/>
      <c r="VB129" s="1251"/>
      <c r="VC129" s="1251"/>
      <c r="VD129" s="1251"/>
      <c r="VE129" s="1251"/>
      <c r="VF129" s="1251"/>
      <c r="VG129" s="1251"/>
      <c r="VH129" s="1251"/>
      <c r="VI129" s="1251"/>
      <c r="VJ129" s="1251"/>
      <c r="VK129" s="1251"/>
      <c r="VL129" s="1251"/>
      <c r="VM129" s="1251"/>
      <c r="VN129" s="1251"/>
      <c r="VO129" s="1251"/>
      <c r="VP129" s="1251"/>
      <c r="VQ129" s="1251"/>
      <c r="VR129" s="1251"/>
      <c r="VS129" s="1251"/>
      <c r="VT129" s="1251"/>
      <c r="VU129" s="1251"/>
      <c r="VV129" s="1251"/>
      <c r="VW129" s="1251"/>
      <c r="VX129" s="1251"/>
      <c r="VY129" s="1251"/>
      <c r="VZ129" s="1251"/>
      <c r="WA129" s="1251"/>
      <c r="WB129" s="1251"/>
      <c r="WC129" s="1251"/>
      <c r="WD129" s="1251"/>
      <c r="WE129" s="1251"/>
      <c r="WF129" s="1251"/>
      <c r="WG129" s="1251"/>
      <c r="WH129" s="1251"/>
      <c r="WI129" s="1251"/>
      <c r="WJ129" s="1251"/>
      <c r="WK129" s="1251"/>
      <c r="WL129" s="1251"/>
      <c r="WM129" s="1251"/>
      <c r="WN129" s="1251"/>
      <c r="WO129" s="1251"/>
      <c r="WP129" s="1251"/>
      <c r="WQ129" s="1251"/>
      <c r="WR129" s="1251"/>
      <c r="WS129" s="1251"/>
      <c r="WT129" s="1251"/>
      <c r="WU129" s="1251"/>
      <c r="WV129" s="1251"/>
      <c r="WW129" s="1251"/>
      <c r="WX129" s="1251"/>
      <c r="WY129" s="1251"/>
      <c r="WZ129" s="1251"/>
      <c r="XA129" s="1251"/>
      <c r="XB129" s="1251"/>
      <c r="XC129" s="1251"/>
      <c r="XD129" s="1251"/>
      <c r="XE129" s="1251"/>
      <c r="XF129" s="1251"/>
      <c r="XG129" s="1251"/>
      <c r="XH129" s="1251"/>
      <c r="XI129" s="1251"/>
      <c r="XJ129" s="1251"/>
      <c r="XK129" s="1251"/>
      <c r="XL129" s="1251"/>
      <c r="XM129" s="1251"/>
      <c r="XN129" s="1251"/>
      <c r="XO129" s="1251"/>
      <c r="XP129" s="1251"/>
      <c r="XQ129" s="1251"/>
      <c r="XR129" s="1251"/>
      <c r="XS129" s="1251"/>
      <c r="XT129" s="1251"/>
      <c r="XU129" s="1251"/>
      <c r="XV129" s="1251"/>
      <c r="XW129" s="1251"/>
      <c r="XX129" s="1251"/>
      <c r="XY129" s="1251"/>
      <c r="XZ129" s="1251"/>
      <c r="YA129" s="1251"/>
      <c r="YB129" s="1251"/>
      <c r="YC129" s="1251"/>
      <c r="YD129" s="1251"/>
      <c r="YE129" s="1251"/>
      <c r="YF129" s="1251"/>
      <c r="YG129" s="1251"/>
      <c r="YH129" s="1251"/>
      <c r="YI129" s="1251"/>
      <c r="YJ129" s="1251"/>
      <c r="YK129" s="1251"/>
      <c r="YL129" s="1251"/>
      <c r="YM129" s="1251"/>
      <c r="YN129" s="1251"/>
      <c r="YO129" s="1251"/>
      <c r="YP129" s="1251"/>
      <c r="YQ129" s="1251"/>
      <c r="YR129" s="1251"/>
      <c r="YS129" s="1251"/>
      <c r="YT129" s="1251"/>
      <c r="YU129" s="1251"/>
      <c r="YV129" s="1251"/>
      <c r="YW129" s="1251"/>
      <c r="YX129" s="1251"/>
      <c r="YY129" s="1251"/>
      <c r="YZ129" s="1251"/>
      <c r="ZA129" s="1251"/>
      <c r="ZB129" s="1251"/>
      <c r="ZC129" s="1251"/>
      <c r="ZD129" s="1251"/>
      <c r="ZE129" s="1251"/>
      <c r="ZF129" s="1251"/>
      <c r="ZG129" s="1251"/>
      <c r="ZH129" s="1251"/>
      <c r="ZI129" s="1251"/>
      <c r="ZJ129" s="1251"/>
      <c r="ZK129" s="1251"/>
      <c r="ZL129" s="1251"/>
      <c r="ZM129" s="1251"/>
      <c r="ZN129" s="1251"/>
      <c r="ZO129" s="1251"/>
      <c r="ZP129" s="1251"/>
      <c r="ZQ129" s="1251"/>
      <c r="ZR129" s="1251"/>
      <c r="ZS129" s="1251"/>
      <c r="ZT129" s="1251"/>
      <c r="ZU129" s="1251"/>
      <c r="ZV129" s="1251"/>
      <c r="ZW129" s="1251"/>
      <c r="ZX129" s="1251"/>
      <c r="ZY129" s="1251"/>
      <c r="ZZ129" s="1251"/>
      <c r="AAA129" s="1251"/>
      <c r="AAB129" s="1251"/>
      <c r="AAC129" s="1251"/>
      <c r="AAD129" s="1251"/>
      <c r="AAE129" s="1251"/>
      <c r="AAF129" s="1251"/>
      <c r="AAG129" s="1251"/>
      <c r="AAH129" s="1251"/>
      <c r="AAI129" s="1251"/>
      <c r="AAJ129" s="1251"/>
      <c r="AAK129" s="1251"/>
      <c r="AAL129" s="1251"/>
      <c r="AAM129" s="1251"/>
      <c r="AAN129" s="1251"/>
      <c r="AAO129" s="1251"/>
      <c r="AAP129" s="1251"/>
      <c r="AAQ129" s="1251"/>
      <c r="AAR129" s="1251"/>
      <c r="AAS129" s="1251"/>
      <c r="AAT129" s="1251"/>
      <c r="AAU129" s="1251"/>
      <c r="AAV129" s="1251"/>
      <c r="AAW129" s="1251"/>
      <c r="AAX129" s="1251"/>
      <c r="AAY129" s="1251"/>
      <c r="AAZ129" s="1251"/>
      <c r="ABA129" s="1251"/>
      <c r="ABB129" s="1251"/>
      <c r="ABC129" s="1251"/>
      <c r="ABD129" s="1251"/>
      <c r="ABE129" s="1251"/>
      <c r="ABF129" s="1251"/>
      <c r="ABG129" s="1251"/>
      <c r="ABH129" s="1251"/>
      <c r="ABI129" s="1251"/>
      <c r="ABJ129" s="1251"/>
      <c r="ABK129" s="1251"/>
      <c r="ABL129" s="1251"/>
      <c r="ABM129" s="1251"/>
      <c r="ABN129" s="1251"/>
      <c r="ABO129" s="1251"/>
      <c r="ABP129" s="1251"/>
      <c r="ABQ129" s="1251"/>
      <c r="ABR129" s="1251"/>
      <c r="ABS129" s="1251"/>
      <c r="ABT129" s="1251"/>
      <c r="ABU129" s="1251"/>
      <c r="ABV129" s="1251"/>
      <c r="ABW129" s="1251"/>
      <c r="ABX129" s="1251"/>
      <c r="ABY129" s="1251"/>
      <c r="ABZ129" s="1251"/>
      <c r="ACA129" s="1251"/>
      <c r="ACB129" s="1251"/>
      <c r="ACC129" s="1251"/>
      <c r="ACD129" s="1251"/>
      <c r="ACE129" s="1251"/>
      <c r="ACF129" s="1251"/>
      <c r="ACG129" s="1251"/>
      <c r="ACH129" s="1251"/>
      <c r="ACI129" s="1251"/>
      <c r="ACJ129" s="1251"/>
      <c r="ACK129" s="1251"/>
      <c r="ACL129" s="1251"/>
      <c r="ACM129" s="1251"/>
      <c r="ACN129" s="1251"/>
      <c r="ACO129" s="1251"/>
      <c r="ACP129" s="1251"/>
      <c r="ACQ129" s="1251"/>
      <c r="ACR129" s="1251"/>
      <c r="ACS129" s="1251"/>
      <c r="ACT129" s="1251"/>
      <c r="ACU129" s="1251"/>
      <c r="ACV129" s="1251"/>
      <c r="ACW129" s="1251"/>
      <c r="ACX129" s="1251"/>
      <c r="ACY129" s="1251"/>
      <c r="ACZ129" s="1251"/>
      <c r="ADA129" s="1251"/>
      <c r="ADB129" s="1251"/>
      <c r="ADC129" s="1251"/>
      <c r="ADD129" s="1251"/>
      <c r="ADE129" s="1251"/>
      <c r="ADF129" s="1251"/>
      <c r="ADG129" s="1251"/>
      <c r="ADH129" s="1251"/>
      <c r="ADI129" s="1251"/>
      <c r="ADJ129" s="1251"/>
      <c r="ADK129" s="1251"/>
      <c r="ADL129" s="1251"/>
      <c r="ADM129" s="1251"/>
      <c r="ADN129" s="1251"/>
      <c r="ADO129" s="1251"/>
      <c r="ADP129" s="1251"/>
      <c r="ADQ129" s="1251"/>
      <c r="ADR129" s="1251"/>
      <c r="ADS129" s="1251"/>
      <c r="ADT129" s="1251"/>
      <c r="ADU129" s="1251"/>
      <c r="ADV129" s="1251"/>
      <c r="ADW129" s="1251"/>
      <c r="ADX129" s="1251"/>
      <c r="ADY129" s="1251"/>
      <c r="ADZ129" s="1251"/>
      <c r="AEA129" s="1251"/>
      <c r="AEB129" s="1251"/>
      <c r="AEC129" s="1251"/>
      <c r="AED129" s="1251"/>
      <c r="AEE129" s="1251"/>
      <c r="AEF129" s="1251"/>
      <c r="AEG129" s="1251"/>
      <c r="AEH129" s="1251"/>
      <c r="AEI129" s="1251"/>
      <c r="AEJ129" s="1251"/>
      <c r="AEK129" s="1251"/>
      <c r="AEL129" s="1251"/>
      <c r="AEM129" s="1251"/>
      <c r="AEN129" s="1251"/>
      <c r="AEO129" s="1251"/>
      <c r="AEP129" s="1251"/>
      <c r="AEQ129" s="1251"/>
      <c r="AER129" s="1251"/>
      <c r="AES129" s="1251"/>
      <c r="AET129" s="1251"/>
      <c r="AEU129" s="1251"/>
      <c r="AEV129" s="1251"/>
      <c r="AEW129" s="1251"/>
      <c r="AEX129" s="1251"/>
      <c r="AEY129" s="1251"/>
      <c r="AEZ129" s="1251"/>
      <c r="AFA129" s="1251"/>
      <c r="AFB129" s="1251"/>
      <c r="AFC129" s="1251"/>
      <c r="AFD129" s="1251"/>
      <c r="AFE129" s="1251"/>
      <c r="AFF129" s="1251"/>
      <c r="AFG129" s="1251"/>
      <c r="AFH129" s="1251"/>
      <c r="AFI129" s="1251"/>
      <c r="AFJ129" s="1251"/>
      <c r="AFK129" s="1251"/>
      <c r="AFL129" s="1251"/>
      <c r="AFM129" s="1251"/>
      <c r="AFN129" s="1251"/>
      <c r="AFO129" s="1251"/>
      <c r="AFP129" s="1251"/>
      <c r="AFQ129" s="1251"/>
      <c r="AFR129" s="1251"/>
      <c r="AFS129" s="1251"/>
      <c r="AFT129" s="1251"/>
      <c r="AFU129" s="1251"/>
      <c r="AFV129" s="1251"/>
      <c r="AFW129" s="1251"/>
      <c r="AFX129" s="1251"/>
      <c r="AFY129" s="1251"/>
      <c r="AFZ129" s="1251"/>
      <c r="AGA129" s="1251"/>
      <c r="AGB129" s="1251"/>
      <c r="AGC129" s="1251"/>
      <c r="AGD129" s="1251"/>
      <c r="AGE129" s="1251"/>
      <c r="AGF129" s="1251"/>
      <c r="AGG129" s="1251"/>
      <c r="AGH129" s="1251"/>
      <c r="AGI129" s="1251"/>
      <c r="AGJ129" s="1251"/>
      <c r="AGK129" s="1251"/>
      <c r="AGL129" s="1251"/>
      <c r="AGM129" s="1251"/>
      <c r="AGN129" s="1251"/>
      <c r="AGO129" s="1251"/>
      <c r="AGP129" s="1251"/>
      <c r="AGQ129" s="1251"/>
      <c r="AGR129" s="1251"/>
      <c r="AGS129" s="1251"/>
      <c r="AGT129" s="1251"/>
      <c r="AGU129" s="1251"/>
      <c r="AGV129" s="1251"/>
      <c r="AGW129" s="1251"/>
      <c r="AGX129" s="1251"/>
      <c r="AGY129" s="1251"/>
      <c r="AGZ129" s="1251"/>
      <c r="AHA129" s="1251"/>
      <c r="AHB129" s="1251"/>
      <c r="AHC129" s="1251"/>
      <c r="AHD129" s="1251"/>
      <c r="AHE129" s="1251"/>
      <c r="AHF129" s="1251"/>
      <c r="AHG129" s="1251"/>
      <c r="AHH129" s="1251"/>
      <c r="AHI129" s="1251"/>
      <c r="AHJ129" s="1251"/>
      <c r="AHK129" s="1251"/>
      <c r="AHL129" s="1251"/>
      <c r="AHM129" s="1251"/>
      <c r="AHN129" s="1251"/>
      <c r="AHO129" s="1251"/>
      <c r="AHP129" s="1251"/>
      <c r="AHQ129" s="1251"/>
      <c r="AHR129" s="1251"/>
      <c r="AHS129" s="1251"/>
      <c r="AHT129" s="1251"/>
      <c r="AHU129" s="1251"/>
      <c r="AHV129" s="1251"/>
      <c r="AHW129" s="1251"/>
      <c r="AHX129" s="1251"/>
      <c r="AHY129" s="1251"/>
      <c r="AHZ129" s="1251"/>
      <c r="AIA129" s="1251"/>
      <c r="AIB129" s="1251"/>
      <c r="AIC129" s="1251"/>
      <c r="AID129" s="1251"/>
      <c r="AIE129" s="1251"/>
      <c r="AIF129" s="1251"/>
      <c r="AIG129" s="1251"/>
      <c r="AIH129" s="1251"/>
      <c r="AII129" s="1251"/>
      <c r="AIJ129" s="1251"/>
      <c r="AIK129" s="1251"/>
      <c r="AIL129" s="1251"/>
      <c r="AIM129" s="1251"/>
      <c r="AIN129" s="1251"/>
      <c r="AIO129" s="1251"/>
      <c r="AIP129" s="1251"/>
      <c r="AIQ129" s="1251"/>
      <c r="AIR129" s="1251"/>
      <c r="AIS129" s="1251"/>
      <c r="AIT129" s="1251"/>
      <c r="AIU129" s="1251"/>
      <c r="AIV129" s="1251"/>
      <c r="AIW129" s="1251"/>
      <c r="AIX129" s="1251"/>
      <c r="AIY129" s="1251"/>
      <c r="AIZ129" s="1251"/>
      <c r="AJA129" s="1251"/>
      <c r="AJB129" s="1251"/>
      <c r="AJC129" s="1251"/>
      <c r="AJD129" s="1251"/>
      <c r="AJE129" s="1251"/>
      <c r="AJF129" s="1251"/>
      <c r="AJG129" s="1251"/>
      <c r="AJH129" s="1251"/>
      <c r="AJI129" s="1251"/>
      <c r="AJJ129" s="1251"/>
      <c r="AJK129" s="1251"/>
      <c r="AJL129" s="1251"/>
      <c r="AJM129" s="1251"/>
      <c r="AJN129" s="1251"/>
      <c r="AJO129" s="1251"/>
      <c r="AJP129" s="1251"/>
      <c r="AJQ129" s="1251"/>
      <c r="AJR129" s="1251"/>
      <c r="AJS129" s="1251"/>
      <c r="AJT129" s="1251"/>
      <c r="AJU129" s="1251"/>
      <c r="AJV129" s="1251"/>
      <c r="AJW129" s="1251"/>
      <c r="AJX129" s="1251"/>
      <c r="AJY129" s="1251"/>
      <c r="AJZ129" s="1251"/>
      <c r="AKA129" s="1251"/>
      <c r="AKB129" s="1251"/>
      <c r="AKC129" s="1251"/>
      <c r="AKD129" s="1251"/>
      <c r="AKE129" s="1251"/>
      <c r="AKF129" s="1251"/>
      <c r="AKG129" s="1251"/>
      <c r="AKH129" s="1251"/>
      <c r="AKI129" s="1251"/>
      <c r="AKJ129" s="1251"/>
      <c r="AKK129" s="1251"/>
      <c r="AKL129" s="1251"/>
      <c r="AKM129" s="1251"/>
      <c r="AKN129" s="1251"/>
      <c r="AKO129" s="1251"/>
      <c r="AKP129" s="1251"/>
      <c r="AKQ129" s="1251"/>
      <c r="AKR129" s="1251"/>
      <c r="AKS129" s="1251"/>
      <c r="AKT129" s="1251"/>
      <c r="AKU129" s="1251"/>
      <c r="AKV129" s="1251"/>
      <c r="AKW129" s="1251"/>
      <c r="AKX129" s="1251"/>
      <c r="AKY129" s="1251"/>
      <c r="AKZ129" s="1251"/>
      <c r="ALA129" s="1251"/>
      <c r="ALB129" s="1251"/>
      <c r="ALC129" s="1251"/>
      <c r="ALD129" s="1251"/>
      <c r="ALE129" s="1251"/>
      <c r="ALF129" s="1251"/>
      <c r="ALG129" s="1251"/>
      <c r="ALH129" s="1251"/>
      <c r="ALI129" s="1251"/>
      <c r="ALJ129" s="1251"/>
      <c r="ALK129" s="1251"/>
      <c r="ALL129" s="1251"/>
      <c r="ALM129" s="1251"/>
      <c r="ALN129" s="1251"/>
      <c r="ALO129" s="1251"/>
      <c r="ALP129" s="1251"/>
      <c r="ALQ129" s="1251"/>
      <c r="ALR129" s="1251"/>
      <c r="ALS129" s="1251"/>
      <c r="ALT129" s="1251"/>
      <c r="ALU129" s="1251"/>
      <c r="ALV129" s="1251"/>
      <c r="ALW129" s="1251"/>
      <c r="ALX129" s="1251"/>
      <c r="ALY129" s="1251"/>
      <c r="ALZ129" s="1251"/>
      <c r="AMA129" s="1251"/>
      <c r="AMB129" s="1251"/>
      <c r="AMC129" s="1251"/>
      <c r="AMD129" s="1251"/>
      <c r="AME129" s="1251"/>
      <c r="AMF129" s="1251"/>
      <c r="AMG129" s="1251"/>
      <c r="AMH129" s="1251"/>
      <c r="AMI129" s="1251"/>
      <c r="AMJ129" s="1251"/>
      <c r="AMK129" s="1251"/>
      <c r="AML129" s="1251"/>
      <c r="AMM129" s="1251"/>
      <c r="AMN129" s="1251"/>
      <c r="AMO129" s="1251"/>
      <c r="AMP129" s="1251"/>
      <c r="AMQ129" s="1251"/>
      <c r="AMR129" s="1251"/>
      <c r="AMS129" s="1251"/>
      <c r="AMT129" s="1251"/>
      <c r="AMU129" s="1251"/>
      <c r="AMV129" s="1251"/>
      <c r="AMW129" s="1251"/>
      <c r="AMX129" s="1251"/>
      <c r="AMY129" s="1251"/>
      <c r="AMZ129" s="1251"/>
      <c r="ANA129" s="1251"/>
      <c r="ANB129" s="1251"/>
      <c r="ANC129" s="1251"/>
      <c r="AND129" s="1251"/>
      <c r="ANE129" s="1251"/>
      <c r="ANF129" s="1251"/>
      <c r="ANG129" s="1251"/>
      <c r="ANH129" s="1251"/>
      <c r="ANI129" s="1251"/>
      <c r="ANJ129" s="1251"/>
      <c r="ANK129" s="1251"/>
      <c r="ANL129" s="1251"/>
      <c r="ANM129" s="1251"/>
      <c r="ANN129" s="1251"/>
      <c r="ANO129" s="1251"/>
      <c r="ANP129" s="1251"/>
      <c r="ANQ129" s="1251"/>
      <c r="ANR129" s="1251"/>
      <c r="ANS129" s="1251"/>
      <c r="ANT129" s="1251"/>
      <c r="ANU129" s="1251"/>
      <c r="ANV129" s="1251"/>
      <c r="ANW129" s="1251"/>
      <c r="ANX129" s="1251"/>
      <c r="ANY129" s="1251"/>
      <c r="ANZ129" s="1251"/>
      <c r="AOA129" s="1251"/>
      <c r="AOB129" s="1251"/>
      <c r="AOC129" s="1251"/>
      <c r="AOD129" s="1251"/>
      <c r="AOE129" s="1251"/>
      <c r="AOF129" s="1251"/>
      <c r="AOG129" s="1251"/>
      <c r="AOH129" s="1251"/>
      <c r="AOI129" s="1251"/>
      <c r="AOJ129" s="1251"/>
      <c r="AOK129" s="1251"/>
      <c r="AOL129" s="1251"/>
      <c r="AOM129" s="1251"/>
      <c r="AON129" s="1251"/>
      <c r="AOO129" s="1251"/>
      <c r="AOP129" s="1251"/>
      <c r="AOQ129" s="1251"/>
      <c r="AOR129" s="1251"/>
      <c r="AOS129" s="1251"/>
      <c r="AOT129" s="1251"/>
      <c r="AOU129" s="1251"/>
      <c r="AOV129" s="1251"/>
      <c r="AOW129" s="1251"/>
      <c r="AOX129" s="1251"/>
      <c r="AOY129" s="1251"/>
      <c r="AOZ129" s="1251"/>
      <c r="APA129" s="1251"/>
      <c r="APB129" s="1251"/>
      <c r="APC129" s="1251"/>
      <c r="APD129" s="1251"/>
      <c r="APE129" s="1251"/>
      <c r="APF129" s="1251"/>
      <c r="APG129" s="1251"/>
      <c r="APH129" s="1251"/>
      <c r="API129" s="1251"/>
      <c r="APJ129" s="1251"/>
      <c r="APK129" s="1251"/>
      <c r="APL129" s="1251"/>
      <c r="APM129" s="1251"/>
      <c r="APN129" s="1251"/>
      <c r="APO129" s="1251"/>
      <c r="APP129" s="1251"/>
      <c r="APQ129" s="1251"/>
      <c r="APR129" s="1251"/>
      <c r="APS129" s="1251"/>
      <c r="APT129" s="1251"/>
      <c r="APU129" s="1251"/>
      <c r="APV129" s="1251"/>
      <c r="APW129" s="1251"/>
      <c r="APX129" s="1251"/>
      <c r="APY129" s="1251"/>
      <c r="APZ129" s="1251"/>
      <c r="AQA129" s="1251"/>
      <c r="AQB129" s="1251"/>
      <c r="AQC129" s="1251"/>
      <c r="AQD129" s="1251"/>
      <c r="AQE129" s="1251"/>
      <c r="AQF129" s="1251"/>
      <c r="AQG129" s="1251"/>
      <c r="AQH129" s="1251"/>
      <c r="AQI129" s="1251"/>
      <c r="AQJ129" s="1251"/>
      <c r="AQK129" s="1251"/>
      <c r="AQL129" s="1251"/>
      <c r="AQM129" s="1251"/>
      <c r="AQN129" s="1251"/>
      <c r="AQO129" s="1251"/>
      <c r="AQP129" s="1251"/>
      <c r="AQQ129" s="1251"/>
      <c r="AQR129" s="1251"/>
      <c r="AQS129" s="1251"/>
      <c r="AQT129" s="1251"/>
      <c r="AQU129" s="1251"/>
      <c r="AQV129" s="1251"/>
      <c r="AQW129" s="1251"/>
      <c r="AQX129" s="1251"/>
      <c r="AQY129" s="1251"/>
      <c r="AQZ129" s="1251"/>
      <c r="ARA129" s="1251"/>
      <c r="ARB129" s="1251"/>
      <c r="ARC129" s="1251"/>
      <c r="ARD129" s="1251"/>
      <c r="ARE129" s="1251"/>
      <c r="ARF129" s="1251"/>
      <c r="ARG129" s="1251"/>
      <c r="ARH129" s="1251"/>
      <c r="ARI129" s="1251"/>
      <c r="ARJ129" s="1251"/>
      <c r="ARK129" s="1251"/>
      <c r="ARL129" s="1251"/>
      <c r="ARM129" s="1251"/>
      <c r="ARN129" s="1251"/>
      <c r="ARO129" s="1251"/>
      <c r="ARP129" s="1251"/>
      <c r="ARQ129" s="1251"/>
      <c r="ARR129" s="1251"/>
      <c r="ARS129" s="1251"/>
      <c r="ART129" s="1251"/>
      <c r="ARU129" s="1251"/>
      <c r="ARV129" s="1251"/>
      <c r="ARW129" s="1251"/>
      <c r="ARX129" s="1251"/>
      <c r="ARY129" s="1251"/>
      <c r="ARZ129" s="1251"/>
      <c r="ASA129" s="1251"/>
      <c r="ASB129" s="1251"/>
      <c r="ASC129" s="1251"/>
      <c r="ASD129" s="1251"/>
      <c r="ASE129" s="1251"/>
      <c r="ASF129" s="1251"/>
      <c r="ASG129" s="1251"/>
      <c r="ASH129" s="1251"/>
      <c r="ASI129" s="1251"/>
      <c r="ASJ129" s="1251"/>
      <c r="ASK129" s="1251"/>
      <c r="ASL129" s="1251"/>
      <c r="ASM129" s="1251"/>
      <c r="ASN129" s="1251"/>
      <c r="ASO129" s="1251"/>
      <c r="ASP129" s="1251"/>
      <c r="ASQ129" s="1251"/>
      <c r="ASR129" s="1251"/>
      <c r="ASS129" s="1251"/>
      <c r="AST129" s="1251"/>
      <c r="ASU129" s="1251"/>
      <c r="ASV129" s="1251"/>
      <c r="ASW129" s="1251"/>
      <c r="ASX129" s="1251"/>
      <c r="ASY129" s="1251"/>
      <c r="ASZ129" s="1251"/>
      <c r="ATA129" s="1251"/>
      <c r="ATB129" s="1251"/>
      <c r="ATC129" s="1251"/>
      <c r="ATD129" s="1251"/>
      <c r="ATE129" s="1251"/>
      <c r="ATF129" s="1251"/>
      <c r="ATG129" s="1251"/>
      <c r="ATH129" s="1251"/>
      <c r="ATI129" s="1251"/>
      <c r="ATJ129" s="1251"/>
      <c r="ATK129" s="1251"/>
      <c r="ATL129" s="1251"/>
      <c r="ATM129" s="1251"/>
      <c r="ATN129" s="1251"/>
      <c r="ATO129" s="1251"/>
      <c r="ATP129" s="1251"/>
      <c r="ATQ129" s="1251"/>
      <c r="ATR129" s="1251"/>
      <c r="ATS129" s="1251"/>
      <c r="ATT129" s="1251"/>
      <c r="ATU129" s="1251"/>
      <c r="ATV129" s="1251"/>
      <c r="ATW129" s="1251"/>
      <c r="ATX129" s="1251"/>
      <c r="ATY129" s="1251"/>
      <c r="ATZ129" s="1251"/>
      <c r="AUA129" s="1251"/>
      <c r="AUB129" s="1251"/>
      <c r="AUC129" s="1251"/>
      <c r="AUD129" s="1251"/>
      <c r="AUE129" s="1251"/>
      <c r="AUF129" s="1251"/>
      <c r="AUG129" s="1251"/>
      <c r="AUH129" s="1251"/>
      <c r="AUI129" s="1251"/>
      <c r="AUJ129" s="1251"/>
      <c r="AUK129" s="1251"/>
      <c r="AUL129" s="1251"/>
      <c r="AUM129" s="1251"/>
      <c r="AUN129" s="1251"/>
      <c r="AUO129" s="1251"/>
      <c r="AUP129" s="1251"/>
      <c r="AUQ129" s="1251"/>
      <c r="AUR129" s="1251"/>
      <c r="AUS129" s="1251"/>
      <c r="AUT129" s="1251"/>
      <c r="AUU129" s="1251"/>
      <c r="AUV129" s="1251"/>
      <c r="AUW129" s="1251"/>
      <c r="AUX129" s="1251"/>
      <c r="AUY129" s="1251"/>
      <c r="AUZ129" s="1251"/>
      <c r="AVA129" s="1251"/>
      <c r="AVB129" s="1251"/>
      <c r="AVC129" s="1251"/>
      <c r="AVD129" s="1251"/>
      <c r="AVE129" s="1251"/>
      <c r="AVF129" s="1251"/>
      <c r="AVG129" s="1251"/>
      <c r="AVH129" s="1251"/>
      <c r="AVI129" s="1251"/>
      <c r="AVJ129" s="1251"/>
      <c r="AVK129" s="1251"/>
      <c r="AVL129" s="1251"/>
      <c r="AVM129" s="1251"/>
      <c r="AVN129" s="1251"/>
      <c r="AVO129" s="1251"/>
      <c r="AVP129" s="1251"/>
      <c r="AVQ129" s="1251"/>
      <c r="AVR129" s="1251"/>
      <c r="AVS129" s="1251"/>
      <c r="AVT129" s="1251"/>
      <c r="AVU129" s="1251"/>
      <c r="AVV129" s="1251"/>
      <c r="AVW129" s="1251"/>
      <c r="AVX129" s="1251"/>
      <c r="AVY129" s="1251"/>
      <c r="AVZ129" s="1251"/>
      <c r="AWA129" s="1251"/>
      <c r="AWB129" s="1251"/>
      <c r="AWC129" s="1251"/>
      <c r="AWD129" s="1251"/>
      <c r="AWE129" s="1251"/>
      <c r="AWF129" s="1251"/>
      <c r="AWG129" s="1251"/>
      <c r="AWH129" s="1251"/>
      <c r="AWI129" s="1251"/>
      <c r="AWJ129" s="1251"/>
      <c r="AWK129" s="1251"/>
      <c r="AWL129" s="1251"/>
      <c r="AWM129" s="1251"/>
      <c r="AWN129" s="1251"/>
      <c r="AWO129" s="1251"/>
      <c r="AWP129" s="1251"/>
      <c r="AWQ129" s="1251"/>
      <c r="AWR129" s="1251"/>
      <c r="AWS129" s="1251"/>
      <c r="AWT129" s="1251"/>
      <c r="AWU129" s="1251"/>
      <c r="AWV129" s="1251"/>
      <c r="AWW129" s="1251"/>
      <c r="AWX129" s="1251"/>
      <c r="AWY129" s="1251"/>
      <c r="AWZ129" s="1251"/>
      <c r="AXA129" s="1251"/>
      <c r="AXB129" s="1251"/>
      <c r="AXC129" s="1251"/>
      <c r="AXD129" s="1251"/>
      <c r="AXE129" s="1251"/>
      <c r="AXF129" s="1251"/>
      <c r="AXG129" s="1251"/>
      <c r="AXH129" s="1251"/>
      <c r="AXI129" s="1251"/>
      <c r="AXJ129" s="1251"/>
      <c r="AXK129" s="1251"/>
      <c r="AXL129" s="1251"/>
      <c r="AXM129" s="1251"/>
      <c r="AXN129" s="1251"/>
      <c r="AXO129" s="1251"/>
      <c r="AXP129" s="1251"/>
      <c r="AXQ129" s="1251"/>
      <c r="AXR129" s="1251"/>
      <c r="AXS129" s="1251"/>
      <c r="AXT129" s="1251"/>
      <c r="AXU129" s="1251"/>
      <c r="AXV129" s="1251"/>
      <c r="AXW129" s="1251"/>
      <c r="AXX129" s="1251"/>
      <c r="AXY129" s="1251"/>
      <c r="AXZ129" s="1251"/>
      <c r="AYA129" s="1251"/>
      <c r="AYB129" s="1251"/>
      <c r="AYC129" s="1251"/>
      <c r="AYD129" s="1251"/>
      <c r="AYE129" s="1251"/>
      <c r="AYF129" s="1251"/>
      <c r="AYG129" s="1251"/>
      <c r="AYH129" s="1251"/>
      <c r="AYI129" s="1251"/>
      <c r="AYJ129" s="1251"/>
      <c r="AYK129" s="1251"/>
      <c r="AYL129" s="1251"/>
      <c r="AYM129" s="1251"/>
      <c r="AYN129" s="1251"/>
      <c r="AYO129" s="1251"/>
      <c r="AYP129" s="1251"/>
      <c r="AYQ129" s="1251"/>
      <c r="AYR129" s="1251"/>
      <c r="AYS129" s="1251"/>
      <c r="AYT129" s="1251"/>
      <c r="AYU129" s="1251"/>
      <c r="AYV129" s="1251"/>
      <c r="AYW129" s="1251"/>
      <c r="AYX129" s="1251"/>
      <c r="AYY129" s="1251"/>
      <c r="AYZ129" s="1251"/>
      <c r="AZA129" s="1251"/>
      <c r="AZB129" s="1251"/>
      <c r="AZC129" s="1251"/>
      <c r="AZD129" s="1251"/>
      <c r="AZE129" s="1251"/>
      <c r="AZF129" s="1251"/>
      <c r="AZG129" s="1251"/>
      <c r="AZH129" s="1251"/>
      <c r="AZI129" s="1251"/>
      <c r="AZJ129" s="1251"/>
      <c r="AZK129" s="1251"/>
      <c r="AZL129" s="1251"/>
      <c r="AZM129" s="1251"/>
      <c r="AZN129" s="1251"/>
      <c r="AZO129" s="1251"/>
      <c r="AZP129" s="1251"/>
      <c r="AZQ129" s="1251"/>
      <c r="AZR129" s="1251"/>
      <c r="AZS129" s="1251"/>
      <c r="AZT129" s="1251"/>
      <c r="AZU129" s="1251"/>
      <c r="AZV129" s="1251"/>
      <c r="AZW129" s="1251"/>
      <c r="AZX129" s="1251"/>
      <c r="AZY129" s="1251"/>
      <c r="AZZ129" s="1251"/>
      <c r="BAA129" s="1251"/>
      <c r="BAB129" s="1251"/>
      <c r="BAC129" s="1251"/>
      <c r="BAD129" s="1251"/>
      <c r="BAE129" s="1251"/>
      <c r="BAF129" s="1251"/>
      <c r="BAG129" s="1251"/>
      <c r="BAH129" s="1251"/>
      <c r="BAI129" s="1251"/>
      <c r="BAJ129" s="1251"/>
      <c r="BAK129" s="1251"/>
      <c r="BAL129" s="1251"/>
      <c r="BAM129" s="1251"/>
      <c r="BAN129" s="1251"/>
      <c r="BAO129" s="1251"/>
      <c r="BAP129" s="1251"/>
      <c r="BAQ129" s="1251"/>
      <c r="BAR129" s="1251"/>
      <c r="BAS129" s="1251"/>
      <c r="BAT129" s="1251"/>
      <c r="BAU129" s="1251"/>
      <c r="BAV129" s="1251"/>
      <c r="BAW129" s="1251"/>
      <c r="BAX129" s="1251"/>
      <c r="BAY129" s="1251"/>
      <c r="BAZ129" s="1251"/>
      <c r="BBA129" s="1251"/>
      <c r="BBB129" s="1251"/>
      <c r="BBC129" s="1251"/>
      <c r="BBD129" s="1251"/>
      <c r="BBE129" s="1251"/>
      <c r="BBF129" s="1251"/>
      <c r="BBG129" s="1251"/>
      <c r="BBH129" s="1251"/>
      <c r="BBI129" s="1251"/>
      <c r="BBJ129" s="1251"/>
      <c r="BBK129" s="1251"/>
      <c r="BBL129" s="1251"/>
      <c r="BBM129" s="1251"/>
      <c r="BBN129" s="1251"/>
      <c r="BBO129" s="1251"/>
      <c r="BBP129" s="1251"/>
      <c r="BBQ129" s="1251"/>
      <c r="BBR129" s="1251"/>
      <c r="BBS129" s="1251"/>
      <c r="BBT129" s="1251"/>
      <c r="BBU129" s="1251"/>
      <c r="BBV129" s="1251"/>
      <c r="BBW129" s="1251"/>
      <c r="BBX129" s="1251"/>
      <c r="BBY129" s="1251"/>
      <c r="BBZ129" s="1251"/>
      <c r="BCA129" s="1251"/>
      <c r="BCB129" s="1251"/>
      <c r="BCC129" s="1251"/>
      <c r="BCD129" s="1251"/>
      <c r="BCE129" s="1251"/>
      <c r="BCF129" s="1251"/>
      <c r="BCG129" s="1251"/>
      <c r="BCH129" s="1251"/>
      <c r="BCI129" s="1251"/>
      <c r="BCJ129" s="1251"/>
      <c r="BCK129" s="1251"/>
      <c r="BCL129" s="1251"/>
      <c r="BCM129" s="1251"/>
      <c r="BCN129" s="1251"/>
      <c r="BCO129" s="1251"/>
      <c r="BCP129" s="1251"/>
      <c r="BCQ129" s="1251"/>
      <c r="BCR129" s="1251"/>
      <c r="BCS129" s="1251"/>
      <c r="BCT129" s="1251"/>
      <c r="BCU129" s="1251"/>
      <c r="BCV129" s="1251"/>
      <c r="BCW129" s="1251"/>
      <c r="BCX129" s="1251"/>
      <c r="BCY129" s="1251"/>
      <c r="BCZ129" s="1251"/>
      <c r="BDA129" s="1251"/>
      <c r="BDB129" s="1251"/>
      <c r="BDC129" s="1251"/>
      <c r="BDD129" s="1251"/>
      <c r="BDE129" s="1251"/>
      <c r="BDF129" s="1251"/>
      <c r="BDG129" s="1251"/>
      <c r="BDH129" s="1251"/>
      <c r="BDI129" s="1251"/>
      <c r="BDJ129" s="1251"/>
      <c r="BDK129" s="1251"/>
      <c r="BDL129" s="1251"/>
      <c r="BDM129" s="1251"/>
      <c r="BDN129" s="1251"/>
      <c r="BDO129" s="1251"/>
      <c r="BDP129" s="1251"/>
      <c r="BDQ129" s="1251"/>
      <c r="BDR129" s="1251"/>
      <c r="BDS129" s="1251"/>
      <c r="BDT129" s="1251"/>
      <c r="BDU129" s="1251"/>
      <c r="BDV129" s="1251"/>
      <c r="BDW129" s="1251"/>
      <c r="BDX129" s="1251"/>
      <c r="BDY129" s="1251"/>
      <c r="BDZ129" s="1251"/>
      <c r="BEA129" s="1251"/>
      <c r="BEB129" s="1251"/>
      <c r="BEC129" s="1251"/>
      <c r="BED129" s="1251"/>
      <c r="BEE129" s="1251"/>
      <c r="BEF129" s="1251"/>
      <c r="BEG129" s="1251"/>
      <c r="BEH129" s="1251"/>
      <c r="BEI129" s="1251"/>
      <c r="BEJ129" s="1251"/>
      <c r="BEK129" s="1251"/>
      <c r="BEL129" s="1251"/>
      <c r="BEM129" s="1251"/>
      <c r="BEN129" s="1251"/>
      <c r="BEO129" s="1251"/>
      <c r="BEP129" s="1251"/>
      <c r="BEQ129" s="1251"/>
      <c r="BER129" s="1251"/>
      <c r="BES129" s="1251"/>
      <c r="BET129" s="1251"/>
      <c r="BEU129" s="1251"/>
      <c r="BEV129" s="1251"/>
      <c r="BEW129" s="1251"/>
      <c r="BEX129" s="1251"/>
      <c r="BEY129" s="1251"/>
      <c r="BEZ129" s="1251"/>
      <c r="BFA129" s="1251"/>
      <c r="BFB129" s="1251"/>
      <c r="BFC129" s="1251"/>
      <c r="BFD129" s="1251"/>
      <c r="BFE129" s="1251"/>
      <c r="BFF129" s="1251"/>
      <c r="BFG129" s="1251"/>
      <c r="BFH129" s="1251"/>
      <c r="BFI129" s="1251"/>
      <c r="BFJ129" s="1251"/>
      <c r="BFK129" s="1251"/>
      <c r="BFL129" s="1251"/>
      <c r="BFM129" s="1251"/>
      <c r="BFN129" s="1251"/>
      <c r="BFO129" s="1251"/>
      <c r="BFP129" s="1251"/>
      <c r="BFQ129" s="1251"/>
      <c r="BFR129" s="1251"/>
      <c r="BFS129" s="1251"/>
      <c r="BFT129" s="1251"/>
      <c r="BFU129" s="1251"/>
      <c r="BFV129" s="1251"/>
      <c r="BFW129" s="1251"/>
      <c r="BFX129" s="1251"/>
      <c r="BFY129" s="1251"/>
      <c r="BFZ129" s="1251"/>
      <c r="BGA129" s="1251"/>
      <c r="BGB129" s="1251"/>
      <c r="BGC129" s="1251"/>
      <c r="BGD129" s="1251"/>
      <c r="BGE129" s="1251"/>
      <c r="BGF129" s="1251"/>
      <c r="BGG129" s="1251"/>
      <c r="BGH129" s="1251"/>
      <c r="BGI129" s="1251"/>
      <c r="BGJ129" s="1251"/>
      <c r="BGK129" s="1251"/>
      <c r="BGL129" s="1251"/>
      <c r="BGM129" s="1251"/>
      <c r="BGN129" s="1251"/>
      <c r="BGO129" s="1251"/>
      <c r="BGP129" s="1251"/>
      <c r="BGQ129" s="1251"/>
      <c r="BGR129" s="1251"/>
      <c r="BGS129" s="1251"/>
      <c r="BGT129" s="1251"/>
      <c r="BGU129" s="1251"/>
      <c r="BGV129" s="1251"/>
      <c r="BGW129" s="1251"/>
      <c r="BGX129" s="1251"/>
      <c r="BGY129" s="1251"/>
      <c r="BGZ129" s="1251"/>
      <c r="BHA129" s="1251"/>
      <c r="BHB129" s="1251"/>
      <c r="BHC129" s="1251"/>
      <c r="BHD129" s="1251"/>
      <c r="BHE129" s="1251"/>
      <c r="BHF129" s="1251"/>
      <c r="BHG129" s="1251"/>
      <c r="BHH129" s="1251"/>
      <c r="BHI129" s="1251"/>
      <c r="BHJ129" s="1251"/>
      <c r="BHK129" s="1251"/>
      <c r="BHL129" s="1251"/>
      <c r="BHM129" s="1251"/>
      <c r="BHN129" s="1251"/>
      <c r="BHO129" s="1251"/>
      <c r="BHP129" s="1251"/>
      <c r="BHQ129" s="1251"/>
      <c r="BHR129" s="1251"/>
      <c r="BHS129" s="1251"/>
      <c r="BHT129" s="1251"/>
      <c r="BHU129" s="1251"/>
      <c r="BHV129" s="1251"/>
      <c r="BHW129" s="1251"/>
      <c r="BHX129" s="1251"/>
      <c r="BHY129" s="1251"/>
      <c r="BHZ129" s="1251"/>
      <c r="BIA129" s="1251"/>
      <c r="BIB129" s="1251"/>
      <c r="BIC129" s="1251"/>
      <c r="BID129" s="1251"/>
      <c r="BIE129" s="1251"/>
      <c r="BIF129" s="1251"/>
      <c r="BIG129" s="1251"/>
      <c r="BIH129" s="1251"/>
      <c r="BII129" s="1251"/>
      <c r="BIJ129" s="1251"/>
      <c r="BIK129" s="1251"/>
      <c r="BIL129" s="1251"/>
      <c r="BIM129" s="1251"/>
      <c r="BIN129" s="1251"/>
      <c r="BIO129" s="1251"/>
      <c r="BIP129" s="1251"/>
      <c r="BIQ129" s="1251"/>
      <c r="BIR129" s="1251"/>
      <c r="BIS129" s="1251"/>
      <c r="BIT129" s="1251"/>
      <c r="BIU129" s="1251"/>
      <c r="BIV129" s="1251"/>
      <c r="BIW129" s="1251"/>
      <c r="BIX129" s="1251"/>
      <c r="BIY129" s="1251"/>
      <c r="BIZ129" s="1251"/>
      <c r="BJA129" s="1251"/>
      <c r="BJB129" s="1251"/>
      <c r="BJC129" s="1251"/>
      <c r="BJD129" s="1251"/>
      <c r="BJE129" s="1251"/>
      <c r="BJF129" s="1251"/>
      <c r="BJG129" s="1251"/>
      <c r="BJH129" s="1251"/>
      <c r="BJI129" s="1251"/>
      <c r="BJJ129" s="1251"/>
      <c r="BJK129" s="1251"/>
      <c r="BJL129" s="1251"/>
      <c r="BJM129" s="1251"/>
      <c r="BJN129" s="1251"/>
      <c r="BJO129" s="1251"/>
      <c r="BJP129" s="1251"/>
      <c r="BJQ129" s="1251"/>
      <c r="BJR129" s="1251"/>
      <c r="BJS129" s="1251"/>
      <c r="BJT129" s="1251"/>
      <c r="BJU129" s="1251"/>
      <c r="BJV129" s="1251"/>
      <c r="BJW129" s="1251"/>
      <c r="BJX129" s="1251"/>
      <c r="BJY129" s="1251"/>
      <c r="BJZ129" s="1251"/>
      <c r="BKA129" s="1251"/>
      <c r="BKB129" s="1251"/>
      <c r="BKC129" s="1251"/>
      <c r="BKD129" s="1251"/>
      <c r="BKE129" s="1251"/>
      <c r="BKF129" s="1251"/>
      <c r="BKG129" s="1251"/>
      <c r="BKH129" s="1251"/>
      <c r="BKI129" s="1251"/>
      <c r="BKJ129" s="1251"/>
      <c r="BKK129" s="1251"/>
      <c r="BKL129" s="1251"/>
      <c r="BKM129" s="1251"/>
      <c r="BKN129" s="1251"/>
      <c r="BKO129" s="1251"/>
      <c r="BKP129" s="1251"/>
      <c r="BKQ129" s="1251"/>
      <c r="BKR129" s="1251"/>
      <c r="BKS129" s="1251"/>
      <c r="BKT129" s="1251"/>
      <c r="BKU129" s="1251"/>
      <c r="BKV129" s="1251"/>
      <c r="BKW129" s="1251"/>
      <c r="BKX129" s="1251"/>
      <c r="BKY129" s="1251"/>
      <c r="BKZ129" s="1251"/>
      <c r="BLA129" s="1251"/>
      <c r="BLB129" s="1251"/>
      <c r="BLC129" s="1251"/>
      <c r="BLD129" s="1251"/>
      <c r="BLE129" s="1251"/>
      <c r="BLF129" s="1251"/>
      <c r="BLG129" s="1251"/>
      <c r="BLH129" s="1251"/>
      <c r="BLI129" s="1251"/>
      <c r="BLJ129" s="1251"/>
      <c r="BLK129" s="1251"/>
      <c r="BLL129" s="1251"/>
      <c r="BLM129" s="1251"/>
      <c r="BLN129" s="1251"/>
      <c r="BLO129" s="1251"/>
      <c r="BLP129" s="1251"/>
      <c r="BLQ129" s="1251"/>
      <c r="BLR129" s="1251"/>
      <c r="BLS129" s="1251"/>
      <c r="BLT129" s="1251"/>
      <c r="BLU129" s="1251"/>
      <c r="BLV129" s="1251"/>
      <c r="BLW129" s="1251"/>
      <c r="BLX129" s="1251"/>
      <c r="BLY129" s="1251"/>
      <c r="BLZ129" s="1251"/>
      <c r="BMA129" s="1251"/>
      <c r="BMB129" s="1251"/>
      <c r="BMC129" s="1251"/>
      <c r="BMD129" s="1251"/>
      <c r="BME129" s="1251"/>
      <c r="BMF129" s="1251"/>
      <c r="BMG129" s="1251"/>
      <c r="BMH129" s="1251"/>
      <c r="BMI129" s="1251"/>
      <c r="BMJ129" s="1251"/>
      <c r="BMK129" s="1251"/>
      <c r="BML129" s="1251"/>
      <c r="BMM129" s="1251"/>
      <c r="BMN129" s="1251"/>
      <c r="BMO129" s="1251"/>
      <c r="BMP129" s="1251"/>
      <c r="BMQ129" s="1251"/>
      <c r="BMR129" s="1251"/>
      <c r="BMS129" s="1251"/>
      <c r="BMT129" s="1251"/>
      <c r="BMU129" s="1251"/>
      <c r="BMV129" s="1251"/>
      <c r="BMW129" s="1251"/>
      <c r="BMX129" s="1251"/>
      <c r="BMY129" s="1251"/>
      <c r="BMZ129" s="1251"/>
      <c r="BNA129" s="1251"/>
      <c r="BNB129" s="1251"/>
      <c r="BNC129" s="1251"/>
      <c r="BND129" s="1251"/>
      <c r="BNE129" s="1251"/>
      <c r="BNF129" s="1251"/>
      <c r="BNG129" s="1251"/>
      <c r="BNH129" s="1251"/>
      <c r="BNI129" s="1251"/>
      <c r="BNJ129" s="1251"/>
      <c r="BNK129" s="1251"/>
      <c r="BNL129" s="1251"/>
      <c r="BNM129" s="1251"/>
      <c r="BNN129" s="1251"/>
      <c r="BNO129" s="1251"/>
      <c r="BNP129" s="1251"/>
      <c r="BNQ129" s="1251"/>
      <c r="BNR129" s="1251"/>
      <c r="BNS129" s="1251"/>
      <c r="BNT129" s="1251"/>
      <c r="BNU129" s="1251"/>
      <c r="BNV129" s="1251"/>
      <c r="BNW129" s="1251"/>
      <c r="BNX129" s="1251"/>
      <c r="BNY129" s="1251"/>
      <c r="BNZ129" s="1251"/>
      <c r="BOA129" s="1251"/>
      <c r="BOB129" s="1251"/>
      <c r="BOC129" s="1251"/>
      <c r="BOD129" s="1251"/>
      <c r="BOE129" s="1251"/>
      <c r="BOF129" s="1251"/>
      <c r="BOG129" s="1251"/>
      <c r="BOH129" s="1251"/>
      <c r="BOI129" s="1251"/>
      <c r="BOJ129" s="1251"/>
      <c r="BOK129" s="1251"/>
      <c r="BOL129" s="1251"/>
      <c r="BOM129" s="1251"/>
      <c r="BON129" s="1251"/>
      <c r="BOO129" s="1251"/>
      <c r="BOP129" s="1251"/>
      <c r="BOQ129" s="1251"/>
      <c r="BOR129" s="1251"/>
      <c r="BOS129" s="1251"/>
      <c r="BOT129" s="1251"/>
      <c r="BOU129" s="1251"/>
      <c r="BOV129" s="1251"/>
      <c r="BOW129" s="1251"/>
      <c r="BOX129" s="1251"/>
      <c r="BOY129" s="1251"/>
      <c r="BOZ129" s="1251"/>
      <c r="BPA129" s="1251"/>
      <c r="BPB129" s="1251"/>
      <c r="BPC129" s="1251"/>
      <c r="BPD129" s="1251"/>
      <c r="BPE129" s="1251"/>
      <c r="BPF129" s="1251"/>
      <c r="BPG129" s="1251"/>
      <c r="BPH129" s="1251"/>
      <c r="BPI129" s="1251"/>
      <c r="BPJ129" s="1251"/>
      <c r="BPK129" s="1251"/>
      <c r="BPL129" s="1251"/>
      <c r="BPM129" s="1251"/>
      <c r="BPN129" s="1251"/>
      <c r="BPO129" s="1251"/>
      <c r="BPP129" s="1251"/>
      <c r="BPQ129" s="1251"/>
      <c r="BPR129" s="1251"/>
      <c r="BPS129" s="1251"/>
      <c r="BPT129" s="1251"/>
      <c r="BPU129" s="1251"/>
      <c r="BPV129" s="1251"/>
      <c r="BPW129" s="1251"/>
      <c r="BPX129" s="1251"/>
      <c r="BPY129" s="1251"/>
      <c r="BPZ129" s="1251"/>
      <c r="BQA129" s="1251"/>
      <c r="BQB129" s="1251"/>
      <c r="BQC129" s="1251"/>
      <c r="BQD129" s="1251"/>
      <c r="BQE129" s="1251"/>
      <c r="BQF129" s="1251"/>
      <c r="BQG129" s="1251"/>
      <c r="BQH129" s="1251"/>
      <c r="BQI129" s="1251"/>
      <c r="BQJ129" s="1251"/>
      <c r="BQK129" s="1251"/>
      <c r="BQL129" s="1251"/>
      <c r="BQM129" s="1251"/>
      <c r="BQN129" s="1251"/>
      <c r="BQO129" s="1251"/>
      <c r="BQP129" s="1251"/>
      <c r="BQQ129" s="1251"/>
      <c r="BQR129" s="1251"/>
      <c r="BQS129" s="1251"/>
      <c r="BQT129" s="1251"/>
      <c r="BQU129" s="1251"/>
      <c r="BQV129" s="1251"/>
      <c r="BQW129" s="1251"/>
      <c r="BQX129" s="1251"/>
      <c r="BQY129" s="1251"/>
      <c r="BQZ129" s="1251"/>
      <c r="BRA129" s="1251"/>
      <c r="BRB129" s="1251"/>
      <c r="BRC129" s="1251"/>
      <c r="BRD129" s="1251"/>
      <c r="BRE129" s="1251"/>
      <c r="BRF129" s="1251"/>
      <c r="BRG129" s="1251"/>
      <c r="BRH129" s="1251"/>
      <c r="BRI129" s="1251"/>
      <c r="BRJ129" s="1251"/>
      <c r="BRK129" s="1251"/>
      <c r="BRL129" s="1251"/>
      <c r="BRM129" s="1251"/>
      <c r="BRN129" s="1251"/>
      <c r="BRO129" s="1251"/>
      <c r="BRP129" s="1251"/>
      <c r="BRQ129" s="1251"/>
      <c r="BRR129" s="1251"/>
      <c r="BRS129" s="1251"/>
      <c r="BRT129" s="1251"/>
      <c r="BRU129" s="1251"/>
      <c r="BRV129" s="1251"/>
      <c r="BRW129" s="1251"/>
      <c r="BRX129" s="1251"/>
      <c r="BRY129" s="1251"/>
      <c r="BRZ129" s="1251"/>
      <c r="BSA129" s="1251"/>
      <c r="BSB129" s="1251"/>
      <c r="BSC129" s="1251"/>
      <c r="BSD129" s="1251"/>
      <c r="BSE129" s="1251"/>
      <c r="BSF129" s="1251"/>
      <c r="BSG129" s="1251"/>
      <c r="BSH129" s="1251"/>
      <c r="BSI129" s="1251"/>
      <c r="BSJ129" s="1251"/>
      <c r="BSK129" s="1251"/>
      <c r="BSL129" s="1251"/>
      <c r="BSM129" s="1251"/>
      <c r="BSN129" s="1251"/>
      <c r="BSO129" s="1251"/>
      <c r="BSP129" s="1251"/>
      <c r="BSQ129" s="1251"/>
      <c r="BSR129" s="1251"/>
      <c r="BSS129" s="1251"/>
      <c r="BST129" s="1251"/>
      <c r="BSU129" s="1251"/>
      <c r="BSV129" s="1251"/>
      <c r="BSW129" s="1251"/>
      <c r="BSX129" s="1251"/>
      <c r="BSY129" s="1251"/>
      <c r="BSZ129" s="1251"/>
      <c r="BTA129" s="1251"/>
      <c r="BTB129" s="1251"/>
      <c r="BTC129" s="1251"/>
      <c r="BTD129" s="1251"/>
      <c r="BTE129" s="1251"/>
      <c r="BTF129" s="1251"/>
      <c r="BTG129" s="1251"/>
      <c r="BTH129" s="1251"/>
      <c r="BTI129" s="1251"/>
    </row>
    <row r="130" spans="1:1881" s="1261" customFormat="1" ht="15" hidden="1" thickBot="1" x14ac:dyDescent="0.35">
      <c r="A130" s="1248"/>
      <c r="B130" s="841" t="s">
        <v>22</v>
      </c>
      <c r="C130" s="841"/>
      <c r="D130" s="841"/>
      <c r="E130" s="827"/>
      <c r="F130" s="1279"/>
      <c r="G130" s="832"/>
      <c r="H130" s="1273"/>
      <c r="I130" s="760"/>
      <c r="J130" s="1251"/>
      <c r="K130" s="1251"/>
      <c r="L130" s="701"/>
      <c r="M130" s="1251"/>
      <c r="N130" s="1253"/>
      <c r="O130" s="1251"/>
      <c r="P130" s="1251"/>
      <c r="Q130" s="1251"/>
      <c r="R130" s="1251"/>
      <c r="S130" s="1251"/>
      <c r="T130" s="1251"/>
      <c r="U130" s="1251"/>
      <c r="V130" s="1251"/>
      <c r="W130" s="1251"/>
      <c r="X130" s="1251"/>
      <c r="Y130" s="1251"/>
      <c r="Z130" s="1248"/>
      <c r="AA130" s="1248"/>
      <c r="AB130" s="1248"/>
      <c r="AC130" s="1248"/>
      <c r="AD130" s="1248"/>
      <c r="AE130" s="1248"/>
      <c r="AF130" s="1248"/>
      <c r="AG130" s="1248"/>
      <c r="AH130" s="1248"/>
      <c r="AI130" s="1248"/>
      <c r="AJ130" s="1248"/>
      <c r="AK130" s="1248"/>
      <c r="AL130" s="1248"/>
      <c r="AM130" s="1248"/>
      <c r="AN130" s="1248"/>
      <c r="AO130" s="1248"/>
      <c r="AP130" s="1248"/>
      <c r="AQ130" s="1248"/>
      <c r="AR130" s="1248"/>
      <c r="AS130" s="1251"/>
      <c r="AT130" s="1251"/>
      <c r="AU130" s="1251"/>
      <c r="AV130" s="1251"/>
      <c r="AW130" s="1251"/>
      <c r="AX130" s="1251"/>
      <c r="AY130" s="1251"/>
      <c r="AZ130" s="1251"/>
      <c r="BA130" s="1251"/>
      <c r="BB130" s="1251"/>
      <c r="BC130" s="1251"/>
      <c r="BD130" s="1251"/>
      <c r="BE130" s="1251"/>
      <c r="BF130" s="1251"/>
      <c r="BG130" s="1251"/>
      <c r="BH130" s="1251"/>
      <c r="BI130" s="1251"/>
      <c r="BJ130" s="1251"/>
      <c r="BK130" s="1251"/>
      <c r="BL130" s="1251"/>
      <c r="BM130" s="1251"/>
      <c r="BN130" s="1251"/>
      <c r="BO130" s="1251"/>
      <c r="BP130" s="1251"/>
      <c r="BQ130" s="1251"/>
      <c r="BR130" s="1251"/>
      <c r="BS130" s="1251"/>
      <c r="BT130" s="1251"/>
      <c r="BU130" s="1251"/>
      <c r="BV130" s="1251"/>
      <c r="BW130" s="1251"/>
      <c r="BX130" s="1251"/>
      <c r="BY130" s="1251"/>
      <c r="BZ130" s="1251"/>
      <c r="CA130" s="1251"/>
      <c r="CB130" s="1251"/>
      <c r="CC130" s="1251"/>
      <c r="CD130" s="1251"/>
      <c r="CE130" s="1251"/>
      <c r="CF130" s="1251"/>
      <c r="CG130" s="1251"/>
      <c r="CH130" s="1251"/>
      <c r="CI130" s="1251"/>
      <c r="CJ130" s="1251"/>
      <c r="CK130" s="1251"/>
      <c r="CL130" s="1251"/>
      <c r="CM130" s="1251"/>
      <c r="CN130" s="1251"/>
      <c r="CO130" s="1251"/>
      <c r="CP130" s="1251"/>
      <c r="CQ130" s="1251"/>
      <c r="CR130" s="1251"/>
      <c r="CS130" s="1251"/>
      <c r="CT130" s="1251"/>
      <c r="CU130" s="1251"/>
      <c r="CV130" s="1251"/>
      <c r="CW130" s="1251"/>
      <c r="CX130" s="1251"/>
      <c r="CY130" s="1251"/>
      <c r="CZ130" s="1251"/>
      <c r="DA130" s="1251"/>
      <c r="DB130" s="1251"/>
      <c r="DC130" s="1251"/>
      <c r="DD130" s="1251"/>
      <c r="DE130" s="1251"/>
      <c r="DF130" s="1251"/>
      <c r="DG130" s="1251"/>
      <c r="DH130" s="1251"/>
      <c r="DI130" s="1251"/>
      <c r="DJ130" s="1251"/>
      <c r="DK130" s="1251"/>
      <c r="DL130" s="1251"/>
      <c r="DM130" s="1251"/>
      <c r="DN130" s="1251"/>
      <c r="DO130" s="1251"/>
      <c r="DP130" s="1251"/>
      <c r="DQ130" s="1251"/>
      <c r="DR130" s="1251"/>
      <c r="DS130" s="1251"/>
      <c r="DT130" s="1251"/>
      <c r="DU130" s="1251"/>
      <c r="DV130" s="1251"/>
      <c r="DW130" s="1251"/>
      <c r="DX130" s="1251"/>
      <c r="DY130" s="1251"/>
      <c r="DZ130" s="1251"/>
      <c r="EA130" s="1251"/>
      <c r="EB130" s="1251"/>
      <c r="EC130" s="1251"/>
      <c r="ED130" s="1251"/>
      <c r="EE130" s="1251"/>
      <c r="EF130" s="1251"/>
      <c r="EG130" s="1251"/>
      <c r="EH130" s="1251"/>
      <c r="EI130" s="1251"/>
      <c r="EJ130" s="1251"/>
      <c r="EK130" s="1251"/>
      <c r="EL130" s="1251"/>
      <c r="EM130" s="1251"/>
      <c r="EN130" s="1251"/>
      <c r="EO130" s="1251"/>
      <c r="EP130" s="1251"/>
      <c r="EQ130" s="1251"/>
      <c r="ER130" s="1251"/>
      <c r="ES130" s="1251"/>
      <c r="ET130" s="1251"/>
      <c r="EU130" s="1251"/>
      <c r="EV130" s="1251"/>
      <c r="EW130" s="1251"/>
      <c r="EX130" s="1251"/>
      <c r="EY130" s="1251"/>
      <c r="EZ130" s="1251"/>
      <c r="FA130" s="1251"/>
      <c r="FB130" s="1251"/>
      <c r="FC130" s="1251"/>
      <c r="FD130" s="1251"/>
      <c r="FE130" s="1251"/>
      <c r="FF130" s="1251"/>
      <c r="FG130" s="1251"/>
      <c r="FH130" s="1251"/>
      <c r="FI130" s="1251"/>
      <c r="FJ130" s="1251"/>
      <c r="FK130" s="1251"/>
      <c r="FL130" s="1251"/>
      <c r="FM130" s="1251"/>
      <c r="FN130" s="1251"/>
      <c r="FO130" s="1251"/>
      <c r="FP130" s="1251"/>
      <c r="FQ130" s="1251"/>
      <c r="FR130" s="1251"/>
      <c r="FS130" s="1251"/>
      <c r="FT130" s="1251"/>
      <c r="FU130" s="1251"/>
      <c r="FV130" s="1251"/>
      <c r="FW130" s="1251"/>
      <c r="FX130" s="1251"/>
      <c r="FY130" s="1251"/>
      <c r="FZ130" s="1251"/>
      <c r="GA130" s="1251"/>
      <c r="GB130" s="1251"/>
      <c r="GC130" s="1251"/>
      <c r="GD130" s="1251"/>
      <c r="GE130" s="1251"/>
      <c r="GF130" s="1251"/>
      <c r="GG130" s="1251"/>
      <c r="GH130" s="1251"/>
      <c r="GI130" s="1251"/>
      <c r="GJ130" s="1251"/>
      <c r="GK130" s="1251"/>
      <c r="GL130" s="1251"/>
      <c r="GM130" s="1251"/>
      <c r="GN130" s="1251"/>
      <c r="GO130" s="1251"/>
      <c r="GP130" s="1251"/>
      <c r="GQ130" s="1251"/>
      <c r="GR130" s="1251"/>
      <c r="GS130" s="1251"/>
      <c r="GT130" s="1251"/>
      <c r="GU130" s="1251"/>
      <c r="GV130" s="1251"/>
      <c r="GW130" s="1251"/>
      <c r="GX130" s="1251"/>
      <c r="GY130" s="1251"/>
      <c r="GZ130" s="1251"/>
      <c r="HA130" s="1251"/>
      <c r="HB130" s="1251"/>
      <c r="HC130" s="1251"/>
      <c r="HD130" s="1251"/>
      <c r="HE130" s="1251"/>
      <c r="HF130" s="1251"/>
      <c r="HG130" s="1251"/>
      <c r="HH130" s="1251"/>
      <c r="HI130" s="1251"/>
      <c r="HJ130" s="1251"/>
      <c r="HK130" s="1251"/>
      <c r="HL130" s="1251"/>
      <c r="HM130" s="1251"/>
      <c r="HN130" s="1251"/>
      <c r="HO130" s="1251"/>
      <c r="HP130" s="1251"/>
      <c r="HQ130" s="1251"/>
      <c r="HR130" s="1251"/>
      <c r="HS130" s="1251"/>
      <c r="HT130" s="1251"/>
      <c r="HU130" s="1251"/>
      <c r="HV130" s="1251"/>
      <c r="HW130" s="1251"/>
      <c r="HX130" s="1251"/>
      <c r="HY130" s="1251"/>
      <c r="HZ130" s="1251"/>
      <c r="IA130" s="1251"/>
      <c r="IB130" s="1251"/>
      <c r="IC130" s="1251"/>
      <c r="ID130" s="1251"/>
      <c r="IE130" s="1251"/>
      <c r="IF130" s="1251"/>
      <c r="IG130" s="1251"/>
      <c r="IH130" s="1251"/>
      <c r="II130" s="1251"/>
      <c r="IJ130" s="1251"/>
      <c r="IK130" s="1251"/>
      <c r="IL130" s="1251"/>
      <c r="IM130" s="1251"/>
      <c r="IN130" s="1251"/>
      <c r="IO130" s="1251"/>
      <c r="IP130" s="1251"/>
      <c r="IQ130" s="1251"/>
      <c r="IR130" s="1251"/>
      <c r="IS130" s="1251"/>
      <c r="IT130" s="1251"/>
      <c r="IU130" s="1251"/>
      <c r="IV130" s="1251"/>
      <c r="IW130" s="1251"/>
      <c r="IX130" s="1251"/>
      <c r="IY130" s="1251"/>
      <c r="IZ130" s="1251"/>
      <c r="JA130" s="1251"/>
      <c r="JB130" s="1251"/>
      <c r="JC130" s="1251"/>
      <c r="JD130" s="1251"/>
      <c r="JE130" s="1251"/>
      <c r="JF130" s="1251"/>
      <c r="JG130" s="1251"/>
      <c r="JH130" s="1251"/>
      <c r="JI130" s="1251"/>
      <c r="JJ130" s="1251"/>
      <c r="JK130" s="1251"/>
      <c r="JL130" s="1251"/>
      <c r="JM130" s="1251"/>
      <c r="JN130" s="1251"/>
      <c r="JO130" s="1251"/>
      <c r="JP130" s="1251"/>
      <c r="JQ130" s="1251"/>
      <c r="JR130" s="1251"/>
      <c r="JS130" s="1251"/>
      <c r="JT130" s="1251"/>
      <c r="JU130" s="1251"/>
      <c r="JV130" s="1251"/>
      <c r="JW130" s="1251"/>
      <c r="JX130" s="1251"/>
      <c r="JY130" s="1251"/>
      <c r="JZ130" s="1251"/>
      <c r="KA130" s="1251"/>
      <c r="KB130" s="1251"/>
      <c r="KC130" s="1251"/>
      <c r="KD130" s="1251"/>
      <c r="KE130" s="1251"/>
      <c r="KF130" s="1251"/>
      <c r="KG130" s="1251"/>
      <c r="KH130" s="1251"/>
      <c r="KI130" s="1251"/>
      <c r="KJ130" s="1251"/>
      <c r="KK130" s="1251"/>
      <c r="KL130" s="1251"/>
      <c r="KM130" s="1251"/>
      <c r="KN130" s="1251"/>
      <c r="KO130" s="1251"/>
      <c r="KP130" s="1251"/>
      <c r="KQ130" s="1251"/>
      <c r="KR130" s="1251"/>
      <c r="KS130" s="1251"/>
      <c r="KT130" s="1251"/>
      <c r="KU130" s="1251"/>
      <c r="KV130" s="1251"/>
      <c r="KW130" s="1251"/>
      <c r="KX130" s="1251"/>
      <c r="KY130" s="1251"/>
      <c r="KZ130" s="1251"/>
      <c r="LA130" s="1251"/>
      <c r="LB130" s="1251"/>
      <c r="LC130" s="1251"/>
      <c r="LD130" s="1251"/>
      <c r="LE130" s="1251"/>
      <c r="LF130" s="1251"/>
      <c r="LG130" s="1251"/>
      <c r="LH130" s="1251"/>
      <c r="LI130" s="1251"/>
      <c r="LJ130" s="1251"/>
      <c r="LK130" s="1251"/>
      <c r="LL130" s="1251"/>
      <c r="LM130" s="1251"/>
      <c r="LN130" s="1251"/>
      <c r="LO130" s="1251"/>
      <c r="LP130" s="1251"/>
      <c r="LQ130" s="1251"/>
      <c r="LR130" s="1251"/>
      <c r="LS130" s="1251"/>
      <c r="LT130" s="1251"/>
      <c r="LU130" s="1251"/>
      <c r="LV130" s="1251"/>
      <c r="LW130" s="1251"/>
      <c r="LX130" s="1251"/>
      <c r="LY130" s="1251"/>
      <c r="LZ130" s="1251"/>
      <c r="MA130" s="1251"/>
      <c r="MB130" s="1251"/>
      <c r="MC130" s="1251"/>
      <c r="MD130" s="1251"/>
      <c r="ME130" s="1251"/>
      <c r="MF130" s="1251"/>
      <c r="MG130" s="1251"/>
      <c r="MH130" s="1251"/>
      <c r="MI130" s="1251"/>
      <c r="MJ130" s="1251"/>
      <c r="MK130" s="1251"/>
      <c r="ML130" s="1251"/>
      <c r="MM130" s="1251"/>
      <c r="MN130" s="1251"/>
      <c r="MO130" s="1251"/>
      <c r="MP130" s="1251"/>
      <c r="MQ130" s="1251"/>
      <c r="MR130" s="1251"/>
      <c r="MS130" s="1251"/>
      <c r="MT130" s="1251"/>
      <c r="MU130" s="1251"/>
      <c r="MV130" s="1251"/>
      <c r="MW130" s="1251"/>
      <c r="MX130" s="1251"/>
      <c r="MY130" s="1251"/>
      <c r="MZ130" s="1251"/>
      <c r="NA130" s="1251"/>
      <c r="NB130" s="1251"/>
      <c r="NC130" s="1251"/>
      <c r="ND130" s="1251"/>
      <c r="NE130" s="1251"/>
      <c r="NF130" s="1251"/>
      <c r="NG130" s="1251"/>
      <c r="NH130" s="1251"/>
      <c r="NI130" s="1251"/>
      <c r="NJ130" s="1251"/>
      <c r="NK130" s="1251"/>
      <c r="NL130" s="1251"/>
      <c r="NM130" s="1251"/>
      <c r="NN130" s="1251"/>
      <c r="NO130" s="1251"/>
      <c r="NP130" s="1251"/>
      <c r="NQ130" s="1251"/>
      <c r="NR130" s="1251"/>
      <c r="NS130" s="1251"/>
      <c r="NT130" s="1251"/>
      <c r="NU130" s="1251"/>
      <c r="NV130" s="1251"/>
      <c r="NW130" s="1251"/>
      <c r="NX130" s="1251"/>
      <c r="NY130" s="1251"/>
      <c r="NZ130" s="1251"/>
      <c r="OA130" s="1251"/>
      <c r="OB130" s="1251"/>
      <c r="OC130" s="1251"/>
      <c r="OD130" s="1251"/>
      <c r="OE130" s="1251"/>
      <c r="OF130" s="1251"/>
      <c r="OG130" s="1251"/>
      <c r="OH130" s="1251"/>
      <c r="OI130" s="1251"/>
      <c r="OJ130" s="1251"/>
      <c r="OK130" s="1251"/>
      <c r="OL130" s="1251"/>
      <c r="OM130" s="1251"/>
      <c r="ON130" s="1251"/>
      <c r="OO130" s="1251"/>
      <c r="OP130" s="1251"/>
      <c r="OQ130" s="1251"/>
      <c r="OR130" s="1251"/>
      <c r="OS130" s="1251"/>
      <c r="OT130" s="1251"/>
      <c r="OU130" s="1251"/>
      <c r="OV130" s="1251"/>
      <c r="OW130" s="1251"/>
      <c r="OX130" s="1251"/>
      <c r="OY130" s="1251"/>
      <c r="OZ130" s="1251"/>
      <c r="PA130" s="1251"/>
      <c r="PB130" s="1251"/>
      <c r="PC130" s="1251"/>
      <c r="PD130" s="1251"/>
      <c r="PE130" s="1251"/>
      <c r="PF130" s="1251"/>
      <c r="PG130" s="1251"/>
      <c r="PH130" s="1251"/>
      <c r="PI130" s="1251"/>
      <c r="PJ130" s="1251"/>
      <c r="PK130" s="1251"/>
      <c r="PL130" s="1251"/>
      <c r="PM130" s="1251"/>
      <c r="PN130" s="1251"/>
      <c r="PO130" s="1251"/>
      <c r="PP130" s="1251"/>
      <c r="PQ130" s="1251"/>
      <c r="PR130" s="1251"/>
      <c r="PS130" s="1251"/>
      <c r="PT130" s="1251"/>
      <c r="PU130" s="1251"/>
      <c r="PV130" s="1251"/>
      <c r="PW130" s="1251"/>
      <c r="PX130" s="1251"/>
      <c r="PY130" s="1251"/>
      <c r="PZ130" s="1251"/>
      <c r="QA130" s="1251"/>
      <c r="QB130" s="1251"/>
      <c r="QC130" s="1251"/>
      <c r="QD130" s="1251"/>
      <c r="QE130" s="1251"/>
      <c r="QF130" s="1251"/>
      <c r="QG130" s="1251"/>
      <c r="QH130" s="1251"/>
      <c r="QI130" s="1251"/>
      <c r="QJ130" s="1251"/>
      <c r="QK130" s="1251"/>
      <c r="QL130" s="1251"/>
      <c r="QM130" s="1251"/>
      <c r="QN130" s="1251"/>
      <c r="QO130" s="1251"/>
      <c r="QP130" s="1251"/>
      <c r="QQ130" s="1251"/>
      <c r="QR130" s="1251"/>
      <c r="QS130" s="1251"/>
      <c r="QT130" s="1251"/>
      <c r="QU130" s="1251"/>
      <c r="QV130" s="1251"/>
      <c r="QW130" s="1251"/>
      <c r="QX130" s="1251"/>
      <c r="QY130" s="1251"/>
      <c r="QZ130" s="1251"/>
      <c r="RA130" s="1251"/>
      <c r="RB130" s="1251"/>
      <c r="RC130" s="1251"/>
      <c r="RD130" s="1251"/>
      <c r="RE130" s="1251"/>
      <c r="RF130" s="1251"/>
      <c r="RG130" s="1251"/>
      <c r="RH130" s="1251"/>
      <c r="RI130" s="1251"/>
      <c r="RJ130" s="1251"/>
      <c r="RK130" s="1251"/>
      <c r="RL130" s="1251"/>
      <c r="RM130" s="1251"/>
      <c r="RN130" s="1251"/>
      <c r="RO130" s="1251"/>
      <c r="RP130" s="1251"/>
      <c r="RQ130" s="1251"/>
      <c r="RR130" s="1251"/>
      <c r="RS130" s="1251"/>
      <c r="RT130" s="1251"/>
      <c r="RU130" s="1251"/>
      <c r="RV130" s="1251"/>
      <c r="RW130" s="1251"/>
      <c r="RX130" s="1251"/>
      <c r="RY130" s="1251"/>
      <c r="RZ130" s="1251"/>
      <c r="SA130" s="1251"/>
      <c r="SB130" s="1251"/>
      <c r="SC130" s="1251"/>
      <c r="SD130" s="1251"/>
      <c r="SE130" s="1251"/>
      <c r="SF130" s="1251"/>
      <c r="SG130" s="1251"/>
      <c r="SH130" s="1251"/>
      <c r="SI130" s="1251"/>
      <c r="SJ130" s="1251"/>
      <c r="SK130" s="1251"/>
      <c r="SL130" s="1251"/>
      <c r="SM130" s="1251"/>
      <c r="SN130" s="1251"/>
      <c r="SO130" s="1251"/>
      <c r="SP130" s="1251"/>
      <c r="SQ130" s="1251"/>
      <c r="SR130" s="1251"/>
      <c r="SS130" s="1251"/>
      <c r="ST130" s="1251"/>
      <c r="SU130" s="1251"/>
      <c r="SV130" s="1251"/>
      <c r="SW130" s="1251"/>
      <c r="SX130" s="1251"/>
      <c r="SY130" s="1251"/>
      <c r="SZ130" s="1251"/>
      <c r="TA130" s="1251"/>
      <c r="TB130" s="1251"/>
      <c r="TC130" s="1251"/>
      <c r="TD130" s="1251"/>
      <c r="TE130" s="1251"/>
      <c r="TF130" s="1251"/>
      <c r="TG130" s="1251"/>
      <c r="TH130" s="1251"/>
      <c r="TI130" s="1251"/>
      <c r="TJ130" s="1251"/>
      <c r="TK130" s="1251"/>
      <c r="TL130" s="1251"/>
      <c r="TM130" s="1251"/>
      <c r="TN130" s="1251"/>
      <c r="TO130" s="1251"/>
      <c r="TP130" s="1251"/>
      <c r="TQ130" s="1251"/>
      <c r="TR130" s="1251"/>
      <c r="TS130" s="1251"/>
      <c r="TT130" s="1251"/>
      <c r="TU130" s="1251"/>
      <c r="TV130" s="1251"/>
      <c r="TW130" s="1251"/>
      <c r="TX130" s="1251"/>
      <c r="TY130" s="1251"/>
      <c r="TZ130" s="1251"/>
      <c r="UA130" s="1251"/>
      <c r="UB130" s="1251"/>
      <c r="UC130" s="1251"/>
      <c r="UD130" s="1251"/>
      <c r="UE130" s="1251"/>
      <c r="UF130" s="1251"/>
      <c r="UG130" s="1251"/>
      <c r="UH130" s="1251"/>
      <c r="UI130" s="1251"/>
      <c r="UJ130" s="1251"/>
      <c r="UK130" s="1251"/>
      <c r="UL130" s="1251"/>
      <c r="UM130" s="1251"/>
      <c r="UN130" s="1251"/>
      <c r="UO130" s="1251"/>
      <c r="UP130" s="1251"/>
      <c r="UQ130" s="1251"/>
      <c r="UR130" s="1251"/>
      <c r="US130" s="1251"/>
      <c r="UT130" s="1251"/>
      <c r="UU130" s="1251"/>
      <c r="UV130" s="1251"/>
      <c r="UW130" s="1251"/>
      <c r="UX130" s="1251"/>
      <c r="UY130" s="1251"/>
      <c r="UZ130" s="1251"/>
      <c r="VA130" s="1251"/>
      <c r="VB130" s="1251"/>
      <c r="VC130" s="1251"/>
      <c r="VD130" s="1251"/>
      <c r="VE130" s="1251"/>
      <c r="VF130" s="1251"/>
      <c r="VG130" s="1251"/>
      <c r="VH130" s="1251"/>
      <c r="VI130" s="1251"/>
      <c r="VJ130" s="1251"/>
      <c r="VK130" s="1251"/>
      <c r="VL130" s="1251"/>
      <c r="VM130" s="1251"/>
      <c r="VN130" s="1251"/>
      <c r="VO130" s="1251"/>
      <c r="VP130" s="1251"/>
      <c r="VQ130" s="1251"/>
      <c r="VR130" s="1251"/>
      <c r="VS130" s="1251"/>
      <c r="VT130" s="1251"/>
      <c r="VU130" s="1251"/>
      <c r="VV130" s="1251"/>
      <c r="VW130" s="1251"/>
      <c r="VX130" s="1251"/>
      <c r="VY130" s="1251"/>
      <c r="VZ130" s="1251"/>
      <c r="WA130" s="1251"/>
      <c r="WB130" s="1251"/>
      <c r="WC130" s="1251"/>
      <c r="WD130" s="1251"/>
      <c r="WE130" s="1251"/>
      <c r="WF130" s="1251"/>
      <c r="WG130" s="1251"/>
      <c r="WH130" s="1251"/>
      <c r="WI130" s="1251"/>
      <c r="WJ130" s="1251"/>
      <c r="WK130" s="1251"/>
      <c r="WL130" s="1251"/>
      <c r="WM130" s="1251"/>
      <c r="WN130" s="1251"/>
      <c r="WO130" s="1251"/>
      <c r="WP130" s="1251"/>
      <c r="WQ130" s="1251"/>
      <c r="WR130" s="1251"/>
      <c r="WS130" s="1251"/>
      <c r="WT130" s="1251"/>
      <c r="WU130" s="1251"/>
      <c r="WV130" s="1251"/>
      <c r="WW130" s="1251"/>
      <c r="WX130" s="1251"/>
      <c r="WY130" s="1251"/>
      <c r="WZ130" s="1251"/>
      <c r="XA130" s="1251"/>
      <c r="XB130" s="1251"/>
      <c r="XC130" s="1251"/>
      <c r="XD130" s="1251"/>
      <c r="XE130" s="1251"/>
      <c r="XF130" s="1251"/>
      <c r="XG130" s="1251"/>
      <c r="XH130" s="1251"/>
      <c r="XI130" s="1251"/>
      <c r="XJ130" s="1251"/>
      <c r="XK130" s="1251"/>
      <c r="XL130" s="1251"/>
      <c r="XM130" s="1251"/>
      <c r="XN130" s="1251"/>
      <c r="XO130" s="1251"/>
      <c r="XP130" s="1251"/>
      <c r="XQ130" s="1251"/>
      <c r="XR130" s="1251"/>
      <c r="XS130" s="1251"/>
      <c r="XT130" s="1251"/>
      <c r="XU130" s="1251"/>
      <c r="XV130" s="1251"/>
      <c r="XW130" s="1251"/>
      <c r="XX130" s="1251"/>
      <c r="XY130" s="1251"/>
      <c r="XZ130" s="1251"/>
      <c r="YA130" s="1251"/>
      <c r="YB130" s="1251"/>
      <c r="YC130" s="1251"/>
      <c r="YD130" s="1251"/>
      <c r="YE130" s="1251"/>
      <c r="YF130" s="1251"/>
      <c r="YG130" s="1251"/>
      <c r="YH130" s="1251"/>
      <c r="YI130" s="1251"/>
      <c r="YJ130" s="1251"/>
      <c r="YK130" s="1251"/>
      <c r="YL130" s="1251"/>
      <c r="YM130" s="1251"/>
      <c r="YN130" s="1251"/>
      <c r="YO130" s="1251"/>
      <c r="YP130" s="1251"/>
      <c r="YQ130" s="1251"/>
      <c r="YR130" s="1251"/>
      <c r="YS130" s="1251"/>
      <c r="YT130" s="1251"/>
      <c r="YU130" s="1251"/>
      <c r="YV130" s="1251"/>
      <c r="YW130" s="1251"/>
      <c r="YX130" s="1251"/>
      <c r="YY130" s="1251"/>
      <c r="YZ130" s="1251"/>
      <c r="ZA130" s="1251"/>
      <c r="ZB130" s="1251"/>
      <c r="ZC130" s="1251"/>
      <c r="ZD130" s="1251"/>
      <c r="ZE130" s="1251"/>
      <c r="ZF130" s="1251"/>
      <c r="ZG130" s="1251"/>
      <c r="ZH130" s="1251"/>
      <c r="ZI130" s="1251"/>
      <c r="ZJ130" s="1251"/>
      <c r="ZK130" s="1251"/>
      <c r="ZL130" s="1251"/>
      <c r="ZM130" s="1251"/>
      <c r="ZN130" s="1251"/>
      <c r="ZO130" s="1251"/>
      <c r="ZP130" s="1251"/>
      <c r="ZQ130" s="1251"/>
      <c r="ZR130" s="1251"/>
      <c r="ZS130" s="1251"/>
      <c r="ZT130" s="1251"/>
      <c r="ZU130" s="1251"/>
      <c r="ZV130" s="1251"/>
      <c r="ZW130" s="1251"/>
      <c r="ZX130" s="1251"/>
      <c r="ZY130" s="1251"/>
      <c r="ZZ130" s="1251"/>
      <c r="AAA130" s="1251"/>
      <c r="AAB130" s="1251"/>
      <c r="AAC130" s="1251"/>
      <c r="AAD130" s="1251"/>
      <c r="AAE130" s="1251"/>
      <c r="AAF130" s="1251"/>
      <c r="AAG130" s="1251"/>
      <c r="AAH130" s="1251"/>
      <c r="AAI130" s="1251"/>
      <c r="AAJ130" s="1251"/>
      <c r="AAK130" s="1251"/>
      <c r="AAL130" s="1251"/>
      <c r="AAM130" s="1251"/>
      <c r="AAN130" s="1251"/>
      <c r="AAO130" s="1251"/>
      <c r="AAP130" s="1251"/>
      <c r="AAQ130" s="1251"/>
      <c r="AAR130" s="1251"/>
      <c r="AAS130" s="1251"/>
      <c r="AAT130" s="1251"/>
      <c r="AAU130" s="1251"/>
      <c r="AAV130" s="1251"/>
      <c r="AAW130" s="1251"/>
      <c r="AAX130" s="1251"/>
      <c r="AAY130" s="1251"/>
      <c r="AAZ130" s="1251"/>
      <c r="ABA130" s="1251"/>
      <c r="ABB130" s="1251"/>
      <c r="ABC130" s="1251"/>
      <c r="ABD130" s="1251"/>
      <c r="ABE130" s="1251"/>
      <c r="ABF130" s="1251"/>
      <c r="ABG130" s="1251"/>
      <c r="ABH130" s="1251"/>
      <c r="ABI130" s="1251"/>
      <c r="ABJ130" s="1251"/>
      <c r="ABK130" s="1251"/>
      <c r="ABL130" s="1251"/>
      <c r="ABM130" s="1251"/>
      <c r="ABN130" s="1251"/>
      <c r="ABO130" s="1251"/>
      <c r="ABP130" s="1251"/>
      <c r="ABQ130" s="1251"/>
      <c r="ABR130" s="1251"/>
      <c r="ABS130" s="1251"/>
      <c r="ABT130" s="1251"/>
      <c r="ABU130" s="1251"/>
      <c r="ABV130" s="1251"/>
      <c r="ABW130" s="1251"/>
      <c r="ABX130" s="1251"/>
      <c r="ABY130" s="1251"/>
      <c r="ABZ130" s="1251"/>
      <c r="ACA130" s="1251"/>
      <c r="ACB130" s="1251"/>
      <c r="ACC130" s="1251"/>
      <c r="ACD130" s="1251"/>
      <c r="ACE130" s="1251"/>
      <c r="ACF130" s="1251"/>
      <c r="ACG130" s="1251"/>
      <c r="ACH130" s="1251"/>
      <c r="ACI130" s="1251"/>
      <c r="ACJ130" s="1251"/>
      <c r="ACK130" s="1251"/>
      <c r="ACL130" s="1251"/>
      <c r="ACM130" s="1251"/>
      <c r="ACN130" s="1251"/>
      <c r="ACO130" s="1251"/>
      <c r="ACP130" s="1251"/>
      <c r="ACQ130" s="1251"/>
      <c r="ACR130" s="1251"/>
      <c r="ACS130" s="1251"/>
      <c r="ACT130" s="1251"/>
      <c r="ACU130" s="1251"/>
      <c r="ACV130" s="1251"/>
      <c r="ACW130" s="1251"/>
      <c r="ACX130" s="1251"/>
      <c r="ACY130" s="1251"/>
      <c r="ACZ130" s="1251"/>
      <c r="ADA130" s="1251"/>
      <c r="ADB130" s="1251"/>
      <c r="ADC130" s="1251"/>
      <c r="ADD130" s="1251"/>
      <c r="ADE130" s="1251"/>
      <c r="ADF130" s="1251"/>
      <c r="ADG130" s="1251"/>
      <c r="ADH130" s="1251"/>
      <c r="ADI130" s="1251"/>
      <c r="ADJ130" s="1251"/>
      <c r="ADK130" s="1251"/>
      <c r="ADL130" s="1251"/>
      <c r="ADM130" s="1251"/>
      <c r="ADN130" s="1251"/>
      <c r="ADO130" s="1251"/>
      <c r="ADP130" s="1251"/>
      <c r="ADQ130" s="1251"/>
      <c r="ADR130" s="1251"/>
      <c r="ADS130" s="1251"/>
      <c r="ADT130" s="1251"/>
      <c r="ADU130" s="1251"/>
      <c r="ADV130" s="1251"/>
      <c r="ADW130" s="1251"/>
      <c r="ADX130" s="1251"/>
      <c r="ADY130" s="1251"/>
      <c r="ADZ130" s="1251"/>
      <c r="AEA130" s="1251"/>
      <c r="AEB130" s="1251"/>
      <c r="AEC130" s="1251"/>
      <c r="AED130" s="1251"/>
      <c r="AEE130" s="1251"/>
      <c r="AEF130" s="1251"/>
      <c r="AEG130" s="1251"/>
      <c r="AEH130" s="1251"/>
      <c r="AEI130" s="1251"/>
      <c r="AEJ130" s="1251"/>
      <c r="AEK130" s="1251"/>
      <c r="AEL130" s="1251"/>
      <c r="AEM130" s="1251"/>
      <c r="AEN130" s="1251"/>
      <c r="AEO130" s="1251"/>
      <c r="AEP130" s="1251"/>
      <c r="AEQ130" s="1251"/>
      <c r="AER130" s="1251"/>
      <c r="AES130" s="1251"/>
      <c r="AET130" s="1251"/>
      <c r="AEU130" s="1251"/>
      <c r="AEV130" s="1251"/>
      <c r="AEW130" s="1251"/>
      <c r="AEX130" s="1251"/>
      <c r="AEY130" s="1251"/>
      <c r="AEZ130" s="1251"/>
      <c r="AFA130" s="1251"/>
      <c r="AFB130" s="1251"/>
      <c r="AFC130" s="1251"/>
      <c r="AFD130" s="1251"/>
      <c r="AFE130" s="1251"/>
      <c r="AFF130" s="1251"/>
      <c r="AFG130" s="1251"/>
      <c r="AFH130" s="1251"/>
      <c r="AFI130" s="1251"/>
      <c r="AFJ130" s="1251"/>
      <c r="AFK130" s="1251"/>
      <c r="AFL130" s="1251"/>
      <c r="AFM130" s="1251"/>
      <c r="AFN130" s="1251"/>
      <c r="AFO130" s="1251"/>
      <c r="AFP130" s="1251"/>
      <c r="AFQ130" s="1251"/>
      <c r="AFR130" s="1251"/>
      <c r="AFS130" s="1251"/>
      <c r="AFT130" s="1251"/>
      <c r="AFU130" s="1251"/>
      <c r="AFV130" s="1251"/>
      <c r="AFW130" s="1251"/>
      <c r="AFX130" s="1251"/>
      <c r="AFY130" s="1251"/>
      <c r="AFZ130" s="1251"/>
      <c r="AGA130" s="1251"/>
      <c r="AGB130" s="1251"/>
      <c r="AGC130" s="1251"/>
      <c r="AGD130" s="1251"/>
      <c r="AGE130" s="1251"/>
      <c r="AGF130" s="1251"/>
      <c r="AGG130" s="1251"/>
      <c r="AGH130" s="1251"/>
      <c r="AGI130" s="1251"/>
      <c r="AGJ130" s="1251"/>
      <c r="AGK130" s="1251"/>
      <c r="AGL130" s="1251"/>
      <c r="AGM130" s="1251"/>
      <c r="AGN130" s="1251"/>
      <c r="AGO130" s="1251"/>
      <c r="AGP130" s="1251"/>
      <c r="AGQ130" s="1251"/>
      <c r="AGR130" s="1251"/>
      <c r="AGS130" s="1251"/>
      <c r="AGT130" s="1251"/>
      <c r="AGU130" s="1251"/>
      <c r="AGV130" s="1251"/>
      <c r="AGW130" s="1251"/>
      <c r="AGX130" s="1251"/>
      <c r="AGY130" s="1251"/>
      <c r="AGZ130" s="1251"/>
      <c r="AHA130" s="1251"/>
      <c r="AHB130" s="1251"/>
      <c r="AHC130" s="1251"/>
      <c r="AHD130" s="1251"/>
      <c r="AHE130" s="1251"/>
      <c r="AHF130" s="1251"/>
      <c r="AHG130" s="1251"/>
      <c r="AHH130" s="1251"/>
      <c r="AHI130" s="1251"/>
      <c r="AHJ130" s="1251"/>
      <c r="AHK130" s="1251"/>
      <c r="AHL130" s="1251"/>
      <c r="AHM130" s="1251"/>
      <c r="AHN130" s="1251"/>
      <c r="AHO130" s="1251"/>
      <c r="AHP130" s="1251"/>
      <c r="AHQ130" s="1251"/>
      <c r="AHR130" s="1251"/>
      <c r="AHS130" s="1251"/>
      <c r="AHT130" s="1251"/>
      <c r="AHU130" s="1251"/>
      <c r="AHV130" s="1251"/>
      <c r="AHW130" s="1251"/>
      <c r="AHX130" s="1251"/>
      <c r="AHY130" s="1251"/>
      <c r="AHZ130" s="1251"/>
      <c r="AIA130" s="1251"/>
      <c r="AIB130" s="1251"/>
      <c r="AIC130" s="1251"/>
      <c r="AID130" s="1251"/>
      <c r="AIE130" s="1251"/>
      <c r="AIF130" s="1251"/>
      <c r="AIG130" s="1251"/>
      <c r="AIH130" s="1251"/>
      <c r="AII130" s="1251"/>
      <c r="AIJ130" s="1251"/>
      <c r="AIK130" s="1251"/>
      <c r="AIL130" s="1251"/>
      <c r="AIM130" s="1251"/>
      <c r="AIN130" s="1251"/>
      <c r="AIO130" s="1251"/>
      <c r="AIP130" s="1251"/>
      <c r="AIQ130" s="1251"/>
      <c r="AIR130" s="1251"/>
      <c r="AIS130" s="1251"/>
      <c r="AIT130" s="1251"/>
      <c r="AIU130" s="1251"/>
      <c r="AIV130" s="1251"/>
      <c r="AIW130" s="1251"/>
      <c r="AIX130" s="1251"/>
      <c r="AIY130" s="1251"/>
      <c r="AIZ130" s="1251"/>
      <c r="AJA130" s="1251"/>
      <c r="AJB130" s="1251"/>
      <c r="AJC130" s="1251"/>
      <c r="AJD130" s="1251"/>
      <c r="AJE130" s="1251"/>
      <c r="AJF130" s="1251"/>
      <c r="AJG130" s="1251"/>
      <c r="AJH130" s="1251"/>
      <c r="AJI130" s="1251"/>
      <c r="AJJ130" s="1251"/>
      <c r="AJK130" s="1251"/>
      <c r="AJL130" s="1251"/>
      <c r="AJM130" s="1251"/>
      <c r="AJN130" s="1251"/>
      <c r="AJO130" s="1251"/>
      <c r="AJP130" s="1251"/>
      <c r="AJQ130" s="1251"/>
      <c r="AJR130" s="1251"/>
      <c r="AJS130" s="1251"/>
      <c r="AJT130" s="1251"/>
      <c r="AJU130" s="1251"/>
      <c r="AJV130" s="1251"/>
      <c r="AJW130" s="1251"/>
      <c r="AJX130" s="1251"/>
      <c r="AJY130" s="1251"/>
      <c r="AJZ130" s="1251"/>
      <c r="AKA130" s="1251"/>
      <c r="AKB130" s="1251"/>
      <c r="AKC130" s="1251"/>
      <c r="AKD130" s="1251"/>
      <c r="AKE130" s="1251"/>
      <c r="AKF130" s="1251"/>
      <c r="AKG130" s="1251"/>
      <c r="AKH130" s="1251"/>
      <c r="AKI130" s="1251"/>
      <c r="AKJ130" s="1251"/>
      <c r="AKK130" s="1251"/>
      <c r="AKL130" s="1251"/>
      <c r="AKM130" s="1251"/>
      <c r="AKN130" s="1251"/>
      <c r="AKO130" s="1251"/>
      <c r="AKP130" s="1251"/>
      <c r="AKQ130" s="1251"/>
      <c r="AKR130" s="1251"/>
      <c r="AKS130" s="1251"/>
      <c r="AKT130" s="1251"/>
      <c r="AKU130" s="1251"/>
      <c r="AKV130" s="1251"/>
      <c r="AKW130" s="1251"/>
      <c r="AKX130" s="1251"/>
      <c r="AKY130" s="1251"/>
      <c r="AKZ130" s="1251"/>
      <c r="ALA130" s="1251"/>
      <c r="ALB130" s="1251"/>
      <c r="ALC130" s="1251"/>
      <c r="ALD130" s="1251"/>
      <c r="ALE130" s="1251"/>
      <c r="ALF130" s="1251"/>
      <c r="ALG130" s="1251"/>
      <c r="ALH130" s="1251"/>
      <c r="ALI130" s="1251"/>
      <c r="ALJ130" s="1251"/>
      <c r="ALK130" s="1251"/>
      <c r="ALL130" s="1251"/>
      <c r="ALM130" s="1251"/>
      <c r="ALN130" s="1251"/>
      <c r="ALO130" s="1251"/>
      <c r="ALP130" s="1251"/>
      <c r="ALQ130" s="1251"/>
      <c r="ALR130" s="1251"/>
      <c r="ALS130" s="1251"/>
      <c r="ALT130" s="1251"/>
      <c r="ALU130" s="1251"/>
      <c r="ALV130" s="1251"/>
      <c r="ALW130" s="1251"/>
      <c r="ALX130" s="1251"/>
      <c r="ALY130" s="1251"/>
      <c r="ALZ130" s="1251"/>
      <c r="AMA130" s="1251"/>
      <c r="AMB130" s="1251"/>
      <c r="AMC130" s="1251"/>
      <c r="AMD130" s="1251"/>
      <c r="AME130" s="1251"/>
      <c r="AMF130" s="1251"/>
      <c r="AMG130" s="1251"/>
      <c r="AMH130" s="1251"/>
      <c r="AMI130" s="1251"/>
      <c r="AMJ130" s="1251"/>
      <c r="AMK130" s="1251"/>
      <c r="AML130" s="1251"/>
      <c r="AMM130" s="1251"/>
      <c r="AMN130" s="1251"/>
      <c r="AMO130" s="1251"/>
      <c r="AMP130" s="1251"/>
      <c r="AMQ130" s="1251"/>
      <c r="AMR130" s="1251"/>
      <c r="AMS130" s="1251"/>
      <c r="AMT130" s="1251"/>
      <c r="AMU130" s="1251"/>
      <c r="AMV130" s="1251"/>
      <c r="AMW130" s="1251"/>
      <c r="AMX130" s="1251"/>
      <c r="AMY130" s="1251"/>
      <c r="AMZ130" s="1251"/>
      <c r="ANA130" s="1251"/>
      <c r="ANB130" s="1251"/>
      <c r="ANC130" s="1251"/>
      <c r="AND130" s="1251"/>
      <c r="ANE130" s="1251"/>
      <c r="ANF130" s="1251"/>
      <c r="ANG130" s="1251"/>
      <c r="ANH130" s="1251"/>
      <c r="ANI130" s="1251"/>
      <c r="ANJ130" s="1251"/>
      <c r="ANK130" s="1251"/>
      <c r="ANL130" s="1251"/>
      <c r="ANM130" s="1251"/>
      <c r="ANN130" s="1251"/>
      <c r="ANO130" s="1251"/>
      <c r="ANP130" s="1251"/>
      <c r="ANQ130" s="1251"/>
      <c r="ANR130" s="1251"/>
      <c r="ANS130" s="1251"/>
      <c r="ANT130" s="1251"/>
      <c r="ANU130" s="1251"/>
      <c r="ANV130" s="1251"/>
      <c r="ANW130" s="1251"/>
      <c r="ANX130" s="1251"/>
      <c r="ANY130" s="1251"/>
      <c r="ANZ130" s="1251"/>
      <c r="AOA130" s="1251"/>
      <c r="AOB130" s="1251"/>
      <c r="AOC130" s="1251"/>
      <c r="AOD130" s="1251"/>
      <c r="AOE130" s="1251"/>
      <c r="AOF130" s="1251"/>
      <c r="AOG130" s="1251"/>
      <c r="AOH130" s="1251"/>
      <c r="AOI130" s="1251"/>
      <c r="AOJ130" s="1251"/>
      <c r="AOK130" s="1251"/>
      <c r="AOL130" s="1251"/>
      <c r="AOM130" s="1251"/>
      <c r="AON130" s="1251"/>
      <c r="AOO130" s="1251"/>
      <c r="AOP130" s="1251"/>
      <c r="AOQ130" s="1251"/>
      <c r="AOR130" s="1251"/>
      <c r="AOS130" s="1251"/>
      <c r="AOT130" s="1251"/>
      <c r="AOU130" s="1251"/>
      <c r="AOV130" s="1251"/>
      <c r="AOW130" s="1251"/>
      <c r="AOX130" s="1251"/>
      <c r="AOY130" s="1251"/>
      <c r="AOZ130" s="1251"/>
      <c r="APA130" s="1251"/>
      <c r="APB130" s="1251"/>
      <c r="APC130" s="1251"/>
      <c r="APD130" s="1251"/>
      <c r="APE130" s="1251"/>
      <c r="APF130" s="1251"/>
      <c r="APG130" s="1251"/>
      <c r="APH130" s="1251"/>
      <c r="API130" s="1251"/>
      <c r="APJ130" s="1251"/>
      <c r="APK130" s="1251"/>
      <c r="APL130" s="1251"/>
      <c r="APM130" s="1251"/>
      <c r="APN130" s="1251"/>
      <c r="APO130" s="1251"/>
      <c r="APP130" s="1251"/>
      <c r="APQ130" s="1251"/>
      <c r="APR130" s="1251"/>
      <c r="APS130" s="1251"/>
      <c r="APT130" s="1251"/>
      <c r="APU130" s="1251"/>
      <c r="APV130" s="1251"/>
      <c r="APW130" s="1251"/>
      <c r="APX130" s="1251"/>
      <c r="APY130" s="1251"/>
      <c r="APZ130" s="1251"/>
      <c r="AQA130" s="1251"/>
      <c r="AQB130" s="1251"/>
      <c r="AQC130" s="1251"/>
      <c r="AQD130" s="1251"/>
      <c r="AQE130" s="1251"/>
      <c r="AQF130" s="1251"/>
      <c r="AQG130" s="1251"/>
      <c r="AQH130" s="1251"/>
      <c r="AQI130" s="1251"/>
      <c r="AQJ130" s="1251"/>
      <c r="AQK130" s="1251"/>
      <c r="AQL130" s="1251"/>
      <c r="AQM130" s="1251"/>
      <c r="AQN130" s="1251"/>
      <c r="AQO130" s="1251"/>
      <c r="AQP130" s="1251"/>
      <c r="AQQ130" s="1251"/>
      <c r="AQR130" s="1251"/>
      <c r="AQS130" s="1251"/>
      <c r="AQT130" s="1251"/>
      <c r="AQU130" s="1251"/>
      <c r="AQV130" s="1251"/>
      <c r="AQW130" s="1251"/>
      <c r="AQX130" s="1251"/>
      <c r="AQY130" s="1251"/>
      <c r="AQZ130" s="1251"/>
      <c r="ARA130" s="1251"/>
      <c r="ARB130" s="1251"/>
      <c r="ARC130" s="1251"/>
      <c r="ARD130" s="1251"/>
      <c r="ARE130" s="1251"/>
      <c r="ARF130" s="1251"/>
      <c r="ARG130" s="1251"/>
      <c r="ARH130" s="1251"/>
      <c r="ARI130" s="1251"/>
      <c r="ARJ130" s="1251"/>
      <c r="ARK130" s="1251"/>
      <c r="ARL130" s="1251"/>
      <c r="ARM130" s="1251"/>
      <c r="ARN130" s="1251"/>
      <c r="ARO130" s="1251"/>
      <c r="ARP130" s="1251"/>
      <c r="ARQ130" s="1251"/>
      <c r="ARR130" s="1251"/>
      <c r="ARS130" s="1251"/>
      <c r="ART130" s="1251"/>
      <c r="ARU130" s="1251"/>
      <c r="ARV130" s="1251"/>
      <c r="ARW130" s="1251"/>
      <c r="ARX130" s="1251"/>
      <c r="ARY130" s="1251"/>
      <c r="ARZ130" s="1251"/>
      <c r="ASA130" s="1251"/>
      <c r="ASB130" s="1251"/>
      <c r="ASC130" s="1251"/>
      <c r="ASD130" s="1251"/>
      <c r="ASE130" s="1251"/>
      <c r="ASF130" s="1251"/>
      <c r="ASG130" s="1251"/>
      <c r="ASH130" s="1251"/>
      <c r="ASI130" s="1251"/>
      <c r="ASJ130" s="1251"/>
      <c r="ASK130" s="1251"/>
      <c r="ASL130" s="1251"/>
      <c r="ASM130" s="1251"/>
      <c r="ASN130" s="1251"/>
      <c r="ASO130" s="1251"/>
      <c r="ASP130" s="1251"/>
      <c r="ASQ130" s="1251"/>
      <c r="ASR130" s="1251"/>
      <c r="ASS130" s="1251"/>
      <c r="AST130" s="1251"/>
      <c r="ASU130" s="1251"/>
      <c r="ASV130" s="1251"/>
      <c r="ASW130" s="1251"/>
      <c r="ASX130" s="1251"/>
      <c r="ASY130" s="1251"/>
      <c r="ASZ130" s="1251"/>
      <c r="ATA130" s="1251"/>
      <c r="ATB130" s="1251"/>
      <c r="ATC130" s="1251"/>
      <c r="ATD130" s="1251"/>
      <c r="ATE130" s="1251"/>
      <c r="ATF130" s="1251"/>
      <c r="ATG130" s="1251"/>
      <c r="ATH130" s="1251"/>
      <c r="ATI130" s="1251"/>
      <c r="ATJ130" s="1251"/>
      <c r="ATK130" s="1251"/>
      <c r="ATL130" s="1251"/>
      <c r="ATM130" s="1251"/>
      <c r="ATN130" s="1251"/>
      <c r="ATO130" s="1251"/>
      <c r="ATP130" s="1251"/>
      <c r="ATQ130" s="1251"/>
      <c r="ATR130" s="1251"/>
      <c r="ATS130" s="1251"/>
      <c r="ATT130" s="1251"/>
      <c r="ATU130" s="1251"/>
      <c r="ATV130" s="1251"/>
      <c r="ATW130" s="1251"/>
      <c r="ATX130" s="1251"/>
      <c r="ATY130" s="1251"/>
      <c r="ATZ130" s="1251"/>
      <c r="AUA130" s="1251"/>
      <c r="AUB130" s="1251"/>
      <c r="AUC130" s="1251"/>
      <c r="AUD130" s="1251"/>
      <c r="AUE130" s="1251"/>
      <c r="AUF130" s="1251"/>
      <c r="AUG130" s="1251"/>
      <c r="AUH130" s="1251"/>
      <c r="AUI130" s="1251"/>
      <c r="AUJ130" s="1251"/>
      <c r="AUK130" s="1251"/>
      <c r="AUL130" s="1251"/>
      <c r="AUM130" s="1251"/>
      <c r="AUN130" s="1251"/>
      <c r="AUO130" s="1251"/>
      <c r="AUP130" s="1251"/>
      <c r="AUQ130" s="1251"/>
      <c r="AUR130" s="1251"/>
      <c r="AUS130" s="1251"/>
      <c r="AUT130" s="1251"/>
      <c r="AUU130" s="1251"/>
      <c r="AUV130" s="1251"/>
      <c r="AUW130" s="1251"/>
      <c r="AUX130" s="1251"/>
      <c r="AUY130" s="1251"/>
      <c r="AUZ130" s="1251"/>
      <c r="AVA130" s="1251"/>
      <c r="AVB130" s="1251"/>
      <c r="AVC130" s="1251"/>
      <c r="AVD130" s="1251"/>
      <c r="AVE130" s="1251"/>
      <c r="AVF130" s="1251"/>
      <c r="AVG130" s="1251"/>
      <c r="AVH130" s="1251"/>
      <c r="AVI130" s="1251"/>
      <c r="AVJ130" s="1251"/>
      <c r="AVK130" s="1251"/>
      <c r="AVL130" s="1251"/>
      <c r="AVM130" s="1251"/>
      <c r="AVN130" s="1251"/>
      <c r="AVO130" s="1251"/>
      <c r="AVP130" s="1251"/>
      <c r="AVQ130" s="1251"/>
      <c r="AVR130" s="1251"/>
      <c r="AVS130" s="1251"/>
      <c r="AVT130" s="1251"/>
      <c r="AVU130" s="1251"/>
      <c r="AVV130" s="1251"/>
      <c r="AVW130" s="1251"/>
      <c r="AVX130" s="1251"/>
      <c r="AVY130" s="1251"/>
      <c r="AVZ130" s="1251"/>
      <c r="AWA130" s="1251"/>
      <c r="AWB130" s="1251"/>
      <c r="AWC130" s="1251"/>
      <c r="AWD130" s="1251"/>
      <c r="AWE130" s="1251"/>
      <c r="AWF130" s="1251"/>
      <c r="AWG130" s="1251"/>
      <c r="AWH130" s="1251"/>
      <c r="AWI130" s="1251"/>
      <c r="AWJ130" s="1251"/>
      <c r="AWK130" s="1251"/>
      <c r="AWL130" s="1251"/>
      <c r="AWM130" s="1251"/>
      <c r="AWN130" s="1251"/>
      <c r="AWO130" s="1251"/>
      <c r="AWP130" s="1251"/>
      <c r="AWQ130" s="1251"/>
      <c r="AWR130" s="1251"/>
      <c r="AWS130" s="1251"/>
      <c r="AWT130" s="1251"/>
      <c r="AWU130" s="1251"/>
      <c r="AWV130" s="1251"/>
      <c r="AWW130" s="1251"/>
      <c r="AWX130" s="1251"/>
      <c r="AWY130" s="1251"/>
      <c r="AWZ130" s="1251"/>
      <c r="AXA130" s="1251"/>
      <c r="AXB130" s="1251"/>
      <c r="AXC130" s="1251"/>
      <c r="AXD130" s="1251"/>
      <c r="AXE130" s="1251"/>
      <c r="AXF130" s="1251"/>
      <c r="AXG130" s="1251"/>
      <c r="AXH130" s="1251"/>
      <c r="AXI130" s="1251"/>
      <c r="AXJ130" s="1251"/>
      <c r="AXK130" s="1251"/>
      <c r="AXL130" s="1251"/>
      <c r="AXM130" s="1251"/>
      <c r="AXN130" s="1251"/>
      <c r="AXO130" s="1251"/>
      <c r="AXP130" s="1251"/>
      <c r="AXQ130" s="1251"/>
      <c r="AXR130" s="1251"/>
      <c r="AXS130" s="1251"/>
      <c r="AXT130" s="1251"/>
      <c r="AXU130" s="1251"/>
      <c r="AXV130" s="1251"/>
      <c r="AXW130" s="1251"/>
      <c r="AXX130" s="1251"/>
      <c r="AXY130" s="1251"/>
      <c r="AXZ130" s="1251"/>
      <c r="AYA130" s="1251"/>
      <c r="AYB130" s="1251"/>
      <c r="AYC130" s="1251"/>
      <c r="AYD130" s="1251"/>
      <c r="AYE130" s="1251"/>
      <c r="AYF130" s="1251"/>
      <c r="AYG130" s="1251"/>
      <c r="AYH130" s="1251"/>
      <c r="AYI130" s="1251"/>
      <c r="AYJ130" s="1251"/>
      <c r="AYK130" s="1251"/>
      <c r="AYL130" s="1251"/>
      <c r="AYM130" s="1251"/>
      <c r="AYN130" s="1251"/>
      <c r="AYO130" s="1251"/>
      <c r="AYP130" s="1251"/>
      <c r="AYQ130" s="1251"/>
      <c r="AYR130" s="1251"/>
      <c r="AYS130" s="1251"/>
      <c r="AYT130" s="1251"/>
      <c r="AYU130" s="1251"/>
      <c r="AYV130" s="1251"/>
      <c r="AYW130" s="1251"/>
      <c r="AYX130" s="1251"/>
      <c r="AYY130" s="1251"/>
      <c r="AYZ130" s="1251"/>
      <c r="AZA130" s="1251"/>
      <c r="AZB130" s="1251"/>
      <c r="AZC130" s="1251"/>
      <c r="AZD130" s="1251"/>
      <c r="AZE130" s="1251"/>
      <c r="AZF130" s="1251"/>
      <c r="AZG130" s="1251"/>
      <c r="AZH130" s="1251"/>
      <c r="AZI130" s="1251"/>
      <c r="AZJ130" s="1251"/>
      <c r="AZK130" s="1251"/>
      <c r="AZL130" s="1251"/>
      <c r="AZM130" s="1251"/>
      <c r="AZN130" s="1251"/>
      <c r="AZO130" s="1251"/>
      <c r="AZP130" s="1251"/>
      <c r="AZQ130" s="1251"/>
      <c r="AZR130" s="1251"/>
      <c r="AZS130" s="1251"/>
      <c r="AZT130" s="1251"/>
      <c r="AZU130" s="1251"/>
      <c r="AZV130" s="1251"/>
      <c r="AZW130" s="1251"/>
      <c r="AZX130" s="1251"/>
      <c r="AZY130" s="1251"/>
      <c r="AZZ130" s="1251"/>
      <c r="BAA130" s="1251"/>
      <c r="BAB130" s="1251"/>
      <c r="BAC130" s="1251"/>
      <c r="BAD130" s="1251"/>
      <c r="BAE130" s="1251"/>
      <c r="BAF130" s="1251"/>
      <c r="BAG130" s="1251"/>
      <c r="BAH130" s="1251"/>
      <c r="BAI130" s="1251"/>
      <c r="BAJ130" s="1251"/>
      <c r="BAK130" s="1251"/>
      <c r="BAL130" s="1251"/>
      <c r="BAM130" s="1251"/>
      <c r="BAN130" s="1251"/>
      <c r="BAO130" s="1251"/>
      <c r="BAP130" s="1251"/>
      <c r="BAQ130" s="1251"/>
      <c r="BAR130" s="1251"/>
      <c r="BAS130" s="1251"/>
      <c r="BAT130" s="1251"/>
      <c r="BAU130" s="1251"/>
      <c r="BAV130" s="1251"/>
      <c r="BAW130" s="1251"/>
      <c r="BAX130" s="1251"/>
      <c r="BAY130" s="1251"/>
      <c r="BAZ130" s="1251"/>
      <c r="BBA130" s="1251"/>
      <c r="BBB130" s="1251"/>
      <c r="BBC130" s="1251"/>
      <c r="BBD130" s="1251"/>
      <c r="BBE130" s="1251"/>
      <c r="BBF130" s="1251"/>
      <c r="BBG130" s="1251"/>
      <c r="BBH130" s="1251"/>
      <c r="BBI130" s="1251"/>
      <c r="BBJ130" s="1251"/>
      <c r="BBK130" s="1251"/>
      <c r="BBL130" s="1251"/>
      <c r="BBM130" s="1251"/>
      <c r="BBN130" s="1251"/>
      <c r="BBO130" s="1251"/>
      <c r="BBP130" s="1251"/>
      <c r="BBQ130" s="1251"/>
      <c r="BBR130" s="1251"/>
      <c r="BBS130" s="1251"/>
      <c r="BBT130" s="1251"/>
      <c r="BBU130" s="1251"/>
      <c r="BBV130" s="1251"/>
      <c r="BBW130" s="1251"/>
      <c r="BBX130" s="1251"/>
      <c r="BBY130" s="1251"/>
      <c r="BBZ130" s="1251"/>
      <c r="BCA130" s="1251"/>
      <c r="BCB130" s="1251"/>
      <c r="BCC130" s="1251"/>
      <c r="BCD130" s="1251"/>
      <c r="BCE130" s="1251"/>
      <c r="BCF130" s="1251"/>
      <c r="BCG130" s="1251"/>
      <c r="BCH130" s="1251"/>
      <c r="BCI130" s="1251"/>
      <c r="BCJ130" s="1251"/>
      <c r="BCK130" s="1251"/>
      <c r="BCL130" s="1251"/>
      <c r="BCM130" s="1251"/>
      <c r="BCN130" s="1251"/>
      <c r="BCO130" s="1251"/>
      <c r="BCP130" s="1251"/>
      <c r="BCQ130" s="1251"/>
      <c r="BCR130" s="1251"/>
      <c r="BCS130" s="1251"/>
      <c r="BCT130" s="1251"/>
      <c r="BCU130" s="1251"/>
      <c r="BCV130" s="1251"/>
      <c r="BCW130" s="1251"/>
      <c r="BCX130" s="1251"/>
      <c r="BCY130" s="1251"/>
      <c r="BCZ130" s="1251"/>
      <c r="BDA130" s="1251"/>
      <c r="BDB130" s="1251"/>
      <c r="BDC130" s="1251"/>
      <c r="BDD130" s="1251"/>
      <c r="BDE130" s="1251"/>
      <c r="BDF130" s="1251"/>
      <c r="BDG130" s="1251"/>
      <c r="BDH130" s="1251"/>
      <c r="BDI130" s="1251"/>
      <c r="BDJ130" s="1251"/>
      <c r="BDK130" s="1251"/>
      <c r="BDL130" s="1251"/>
      <c r="BDM130" s="1251"/>
      <c r="BDN130" s="1251"/>
      <c r="BDO130" s="1251"/>
      <c r="BDP130" s="1251"/>
      <c r="BDQ130" s="1251"/>
      <c r="BDR130" s="1251"/>
      <c r="BDS130" s="1251"/>
      <c r="BDT130" s="1251"/>
      <c r="BDU130" s="1251"/>
      <c r="BDV130" s="1251"/>
      <c r="BDW130" s="1251"/>
      <c r="BDX130" s="1251"/>
      <c r="BDY130" s="1251"/>
      <c r="BDZ130" s="1251"/>
      <c r="BEA130" s="1251"/>
      <c r="BEB130" s="1251"/>
      <c r="BEC130" s="1251"/>
      <c r="BED130" s="1251"/>
      <c r="BEE130" s="1251"/>
      <c r="BEF130" s="1251"/>
      <c r="BEG130" s="1251"/>
      <c r="BEH130" s="1251"/>
      <c r="BEI130" s="1251"/>
      <c r="BEJ130" s="1251"/>
      <c r="BEK130" s="1251"/>
      <c r="BEL130" s="1251"/>
      <c r="BEM130" s="1251"/>
      <c r="BEN130" s="1251"/>
      <c r="BEO130" s="1251"/>
      <c r="BEP130" s="1251"/>
      <c r="BEQ130" s="1251"/>
      <c r="BER130" s="1251"/>
      <c r="BES130" s="1251"/>
      <c r="BET130" s="1251"/>
      <c r="BEU130" s="1251"/>
      <c r="BEV130" s="1251"/>
      <c r="BEW130" s="1251"/>
      <c r="BEX130" s="1251"/>
      <c r="BEY130" s="1251"/>
      <c r="BEZ130" s="1251"/>
      <c r="BFA130" s="1251"/>
      <c r="BFB130" s="1251"/>
      <c r="BFC130" s="1251"/>
      <c r="BFD130" s="1251"/>
      <c r="BFE130" s="1251"/>
      <c r="BFF130" s="1251"/>
      <c r="BFG130" s="1251"/>
      <c r="BFH130" s="1251"/>
      <c r="BFI130" s="1251"/>
      <c r="BFJ130" s="1251"/>
      <c r="BFK130" s="1251"/>
      <c r="BFL130" s="1251"/>
      <c r="BFM130" s="1251"/>
      <c r="BFN130" s="1251"/>
      <c r="BFO130" s="1251"/>
      <c r="BFP130" s="1251"/>
      <c r="BFQ130" s="1251"/>
      <c r="BFR130" s="1251"/>
      <c r="BFS130" s="1251"/>
      <c r="BFT130" s="1251"/>
      <c r="BFU130" s="1251"/>
      <c r="BFV130" s="1251"/>
      <c r="BFW130" s="1251"/>
      <c r="BFX130" s="1251"/>
      <c r="BFY130" s="1251"/>
      <c r="BFZ130" s="1251"/>
      <c r="BGA130" s="1251"/>
      <c r="BGB130" s="1251"/>
      <c r="BGC130" s="1251"/>
      <c r="BGD130" s="1251"/>
      <c r="BGE130" s="1251"/>
      <c r="BGF130" s="1251"/>
      <c r="BGG130" s="1251"/>
      <c r="BGH130" s="1251"/>
      <c r="BGI130" s="1251"/>
      <c r="BGJ130" s="1251"/>
      <c r="BGK130" s="1251"/>
      <c r="BGL130" s="1251"/>
      <c r="BGM130" s="1251"/>
      <c r="BGN130" s="1251"/>
      <c r="BGO130" s="1251"/>
      <c r="BGP130" s="1251"/>
      <c r="BGQ130" s="1251"/>
      <c r="BGR130" s="1251"/>
      <c r="BGS130" s="1251"/>
      <c r="BGT130" s="1251"/>
      <c r="BGU130" s="1251"/>
      <c r="BGV130" s="1251"/>
      <c r="BGW130" s="1251"/>
      <c r="BGX130" s="1251"/>
      <c r="BGY130" s="1251"/>
      <c r="BGZ130" s="1251"/>
      <c r="BHA130" s="1251"/>
      <c r="BHB130" s="1251"/>
      <c r="BHC130" s="1251"/>
      <c r="BHD130" s="1251"/>
      <c r="BHE130" s="1251"/>
      <c r="BHF130" s="1251"/>
      <c r="BHG130" s="1251"/>
      <c r="BHH130" s="1251"/>
      <c r="BHI130" s="1251"/>
      <c r="BHJ130" s="1251"/>
      <c r="BHK130" s="1251"/>
      <c r="BHL130" s="1251"/>
      <c r="BHM130" s="1251"/>
      <c r="BHN130" s="1251"/>
      <c r="BHO130" s="1251"/>
      <c r="BHP130" s="1251"/>
      <c r="BHQ130" s="1251"/>
      <c r="BHR130" s="1251"/>
      <c r="BHS130" s="1251"/>
      <c r="BHT130" s="1251"/>
      <c r="BHU130" s="1251"/>
      <c r="BHV130" s="1251"/>
      <c r="BHW130" s="1251"/>
      <c r="BHX130" s="1251"/>
      <c r="BHY130" s="1251"/>
      <c r="BHZ130" s="1251"/>
      <c r="BIA130" s="1251"/>
      <c r="BIB130" s="1251"/>
      <c r="BIC130" s="1251"/>
      <c r="BID130" s="1251"/>
      <c r="BIE130" s="1251"/>
      <c r="BIF130" s="1251"/>
      <c r="BIG130" s="1251"/>
      <c r="BIH130" s="1251"/>
      <c r="BII130" s="1251"/>
      <c r="BIJ130" s="1251"/>
      <c r="BIK130" s="1251"/>
      <c r="BIL130" s="1251"/>
      <c r="BIM130" s="1251"/>
      <c r="BIN130" s="1251"/>
      <c r="BIO130" s="1251"/>
      <c r="BIP130" s="1251"/>
      <c r="BIQ130" s="1251"/>
      <c r="BIR130" s="1251"/>
      <c r="BIS130" s="1251"/>
      <c r="BIT130" s="1251"/>
      <c r="BIU130" s="1251"/>
      <c r="BIV130" s="1251"/>
      <c r="BIW130" s="1251"/>
      <c r="BIX130" s="1251"/>
      <c r="BIY130" s="1251"/>
      <c r="BIZ130" s="1251"/>
      <c r="BJA130" s="1251"/>
      <c r="BJB130" s="1251"/>
      <c r="BJC130" s="1251"/>
      <c r="BJD130" s="1251"/>
      <c r="BJE130" s="1251"/>
      <c r="BJF130" s="1251"/>
      <c r="BJG130" s="1251"/>
      <c r="BJH130" s="1251"/>
      <c r="BJI130" s="1251"/>
      <c r="BJJ130" s="1251"/>
      <c r="BJK130" s="1251"/>
      <c r="BJL130" s="1251"/>
      <c r="BJM130" s="1251"/>
      <c r="BJN130" s="1251"/>
      <c r="BJO130" s="1251"/>
      <c r="BJP130" s="1251"/>
      <c r="BJQ130" s="1251"/>
      <c r="BJR130" s="1251"/>
      <c r="BJS130" s="1251"/>
      <c r="BJT130" s="1251"/>
      <c r="BJU130" s="1251"/>
      <c r="BJV130" s="1251"/>
      <c r="BJW130" s="1251"/>
      <c r="BJX130" s="1251"/>
      <c r="BJY130" s="1251"/>
      <c r="BJZ130" s="1251"/>
      <c r="BKA130" s="1251"/>
      <c r="BKB130" s="1251"/>
      <c r="BKC130" s="1251"/>
      <c r="BKD130" s="1251"/>
      <c r="BKE130" s="1251"/>
      <c r="BKF130" s="1251"/>
      <c r="BKG130" s="1251"/>
      <c r="BKH130" s="1251"/>
      <c r="BKI130" s="1251"/>
      <c r="BKJ130" s="1251"/>
      <c r="BKK130" s="1251"/>
      <c r="BKL130" s="1251"/>
      <c r="BKM130" s="1251"/>
      <c r="BKN130" s="1251"/>
      <c r="BKO130" s="1251"/>
      <c r="BKP130" s="1251"/>
      <c r="BKQ130" s="1251"/>
      <c r="BKR130" s="1251"/>
      <c r="BKS130" s="1251"/>
      <c r="BKT130" s="1251"/>
      <c r="BKU130" s="1251"/>
      <c r="BKV130" s="1251"/>
      <c r="BKW130" s="1251"/>
      <c r="BKX130" s="1251"/>
      <c r="BKY130" s="1251"/>
      <c r="BKZ130" s="1251"/>
      <c r="BLA130" s="1251"/>
      <c r="BLB130" s="1251"/>
      <c r="BLC130" s="1251"/>
      <c r="BLD130" s="1251"/>
      <c r="BLE130" s="1251"/>
      <c r="BLF130" s="1251"/>
      <c r="BLG130" s="1251"/>
      <c r="BLH130" s="1251"/>
      <c r="BLI130" s="1251"/>
      <c r="BLJ130" s="1251"/>
      <c r="BLK130" s="1251"/>
      <c r="BLL130" s="1251"/>
      <c r="BLM130" s="1251"/>
      <c r="BLN130" s="1251"/>
      <c r="BLO130" s="1251"/>
      <c r="BLP130" s="1251"/>
      <c r="BLQ130" s="1251"/>
      <c r="BLR130" s="1251"/>
      <c r="BLS130" s="1251"/>
      <c r="BLT130" s="1251"/>
      <c r="BLU130" s="1251"/>
      <c r="BLV130" s="1251"/>
      <c r="BLW130" s="1251"/>
      <c r="BLX130" s="1251"/>
      <c r="BLY130" s="1251"/>
      <c r="BLZ130" s="1251"/>
      <c r="BMA130" s="1251"/>
      <c r="BMB130" s="1251"/>
      <c r="BMC130" s="1251"/>
      <c r="BMD130" s="1251"/>
      <c r="BME130" s="1251"/>
      <c r="BMF130" s="1251"/>
      <c r="BMG130" s="1251"/>
      <c r="BMH130" s="1251"/>
      <c r="BMI130" s="1251"/>
      <c r="BMJ130" s="1251"/>
      <c r="BMK130" s="1251"/>
      <c r="BML130" s="1251"/>
      <c r="BMM130" s="1251"/>
      <c r="BMN130" s="1251"/>
      <c r="BMO130" s="1251"/>
      <c r="BMP130" s="1251"/>
      <c r="BMQ130" s="1251"/>
      <c r="BMR130" s="1251"/>
      <c r="BMS130" s="1251"/>
      <c r="BMT130" s="1251"/>
      <c r="BMU130" s="1251"/>
      <c r="BMV130" s="1251"/>
      <c r="BMW130" s="1251"/>
      <c r="BMX130" s="1251"/>
      <c r="BMY130" s="1251"/>
      <c r="BMZ130" s="1251"/>
      <c r="BNA130" s="1251"/>
      <c r="BNB130" s="1251"/>
      <c r="BNC130" s="1251"/>
      <c r="BND130" s="1251"/>
      <c r="BNE130" s="1251"/>
      <c r="BNF130" s="1251"/>
      <c r="BNG130" s="1251"/>
      <c r="BNH130" s="1251"/>
      <c r="BNI130" s="1251"/>
      <c r="BNJ130" s="1251"/>
      <c r="BNK130" s="1251"/>
      <c r="BNL130" s="1251"/>
      <c r="BNM130" s="1251"/>
      <c r="BNN130" s="1251"/>
      <c r="BNO130" s="1251"/>
      <c r="BNP130" s="1251"/>
      <c r="BNQ130" s="1251"/>
      <c r="BNR130" s="1251"/>
      <c r="BNS130" s="1251"/>
      <c r="BNT130" s="1251"/>
      <c r="BNU130" s="1251"/>
      <c r="BNV130" s="1251"/>
      <c r="BNW130" s="1251"/>
      <c r="BNX130" s="1251"/>
      <c r="BNY130" s="1251"/>
      <c r="BNZ130" s="1251"/>
      <c r="BOA130" s="1251"/>
      <c r="BOB130" s="1251"/>
      <c r="BOC130" s="1251"/>
      <c r="BOD130" s="1251"/>
      <c r="BOE130" s="1251"/>
      <c r="BOF130" s="1251"/>
      <c r="BOG130" s="1251"/>
      <c r="BOH130" s="1251"/>
      <c r="BOI130" s="1251"/>
      <c r="BOJ130" s="1251"/>
      <c r="BOK130" s="1251"/>
      <c r="BOL130" s="1251"/>
      <c r="BOM130" s="1251"/>
      <c r="BON130" s="1251"/>
      <c r="BOO130" s="1251"/>
      <c r="BOP130" s="1251"/>
      <c r="BOQ130" s="1251"/>
      <c r="BOR130" s="1251"/>
      <c r="BOS130" s="1251"/>
      <c r="BOT130" s="1251"/>
      <c r="BOU130" s="1251"/>
      <c r="BOV130" s="1251"/>
      <c r="BOW130" s="1251"/>
      <c r="BOX130" s="1251"/>
      <c r="BOY130" s="1251"/>
      <c r="BOZ130" s="1251"/>
      <c r="BPA130" s="1251"/>
      <c r="BPB130" s="1251"/>
      <c r="BPC130" s="1251"/>
      <c r="BPD130" s="1251"/>
      <c r="BPE130" s="1251"/>
      <c r="BPF130" s="1251"/>
      <c r="BPG130" s="1251"/>
      <c r="BPH130" s="1251"/>
      <c r="BPI130" s="1251"/>
      <c r="BPJ130" s="1251"/>
      <c r="BPK130" s="1251"/>
      <c r="BPL130" s="1251"/>
      <c r="BPM130" s="1251"/>
      <c r="BPN130" s="1251"/>
      <c r="BPO130" s="1251"/>
      <c r="BPP130" s="1251"/>
      <c r="BPQ130" s="1251"/>
      <c r="BPR130" s="1251"/>
      <c r="BPS130" s="1251"/>
      <c r="BPT130" s="1251"/>
      <c r="BPU130" s="1251"/>
      <c r="BPV130" s="1251"/>
      <c r="BPW130" s="1251"/>
      <c r="BPX130" s="1251"/>
      <c r="BPY130" s="1251"/>
      <c r="BPZ130" s="1251"/>
      <c r="BQA130" s="1251"/>
      <c r="BQB130" s="1251"/>
      <c r="BQC130" s="1251"/>
      <c r="BQD130" s="1251"/>
      <c r="BQE130" s="1251"/>
      <c r="BQF130" s="1251"/>
      <c r="BQG130" s="1251"/>
      <c r="BQH130" s="1251"/>
      <c r="BQI130" s="1251"/>
      <c r="BQJ130" s="1251"/>
      <c r="BQK130" s="1251"/>
      <c r="BQL130" s="1251"/>
      <c r="BQM130" s="1251"/>
      <c r="BQN130" s="1251"/>
      <c r="BQO130" s="1251"/>
      <c r="BQP130" s="1251"/>
      <c r="BQQ130" s="1251"/>
      <c r="BQR130" s="1251"/>
      <c r="BQS130" s="1251"/>
      <c r="BQT130" s="1251"/>
      <c r="BQU130" s="1251"/>
      <c r="BQV130" s="1251"/>
      <c r="BQW130" s="1251"/>
      <c r="BQX130" s="1251"/>
      <c r="BQY130" s="1251"/>
      <c r="BQZ130" s="1251"/>
      <c r="BRA130" s="1251"/>
      <c r="BRB130" s="1251"/>
      <c r="BRC130" s="1251"/>
      <c r="BRD130" s="1251"/>
      <c r="BRE130" s="1251"/>
      <c r="BRF130" s="1251"/>
      <c r="BRG130" s="1251"/>
      <c r="BRH130" s="1251"/>
      <c r="BRI130" s="1251"/>
      <c r="BRJ130" s="1251"/>
      <c r="BRK130" s="1251"/>
      <c r="BRL130" s="1251"/>
      <c r="BRM130" s="1251"/>
      <c r="BRN130" s="1251"/>
      <c r="BRO130" s="1251"/>
      <c r="BRP130" s="1251"/>
      <c r="BRQ130" s="1251"/>
      <c r="BRR130" s="1251"/>
      <c r="BRS130" s="1251"/>
      <c r="BRT130" s="1251"/>
      <c r="BRU130" s="1251"/>
      <c r="BRV130" s="1251"/>
      <c r="BRW130" s="1251"/>
      <c r="BRX130" s="1251"/>
      <c r="BRY130" s="1251"/>
      <c r="BRZ130" s="1251"/>
      <c r="BSA130" s="1251"/>
      <c r="BSB130" s="1251"/>
      <c r="BSC130" s="1251"/>
      <c r="BSD130" s="1251"/>
      <c r="BSE130" s="1251"/>
      <c r="BSF130" s="1251"/>
      <c r="BSG130" s="1251"/>
      <c r="BSH130" s="1251"/>
      <c r="BSI130" s="1251"/>
      <c r="BSJ130" s="1251"/>
      <c r="BSK130" s="1251"/>
      <c r="BSL130" s="1251"/>
      <c r="BSM130" s="1251"/>
      <c r="BSN130" s="1251"/>
      <c r="BSO130" s="1251"/>
      <c r="BSP130" s="1251"/>
      <c r="BSQ130" s="1251"/>
      <c r="BSR130" s="1251"/>
      <c r="BSS130" s="1251"/>
      <c r="BST130" s="1251"/>
      <c r="BSU130" s="1251"/>
      <c r="BSV130" s="1251"/>
      <c r="BSW130" s="1251"/>
      <c r="BSX130" s="1251"/>
      <c r="BSY130" s="1251"/>
      <c r="BSZ130" s="1251"/>
      <c r="BTA130" s="1251"/>
      <c r="BTB130" s="1251"/>
      <c r="BTC130" s="1251"/>
      <c r="BTD130" s="1251"/>
      <c r="BTE130" s="1251"/>
      <c r="BTF130" s="1251"/>
      <c r="BTG130" s="1251"/>
      <c r="BTH130" s="1251"/>
      <c r="BTI130" s="1251"/>
    </row>
    <row r="131" spans="1:1881" s="1261" customFormat="1" ht="78" hidden="1" customHeight="1" thickBot="1" x14ac:dyDescent="0.35">
      <c r="A131" s="1248">
        <v>596</v>
      </c>
      <c r="B131" s="668" t="s">
        <v>57</v>
      </c>
      <c r="C131" s="808"/>
      <c r="D131" s="668" t="s">
        <v>576</v>
      </c>
      <c r="E131" s="1249" t="e">
        <f>HLOOKUP($D$2,'2020 Data(H)'!$C$1:$CZ$426,255,FALSE)</f>
        <v>#N/A</v>
      </c>
      <c r="F131" s="1263"/>
      <c r="G131" s="739"/>
      <c r="H131" s="1273"/>
      <c r="I131" s="760"/>
      <c r="J131" s="1251"/>
      <c r="K131" s="1251"/>
      <c r="L131" s="701"/>
      <c r="M131" s="1251"/>
      <c r="N131" s="1253"/>
      <c r="O131" s="1251"/>
      <c r="P131" s="1251"/>
      <c r="Q131" s="1251"/>
      <c r="R131" s="1251"/>
      <c r="S131" s="1251"/>
      <c r="T131" s="1251"/>
      <c r="U131" s="1251"/>
      <c r="V131" s="1251"/>
      <c r="W131" s="1251"/>
      <c r="X131" s="1251"/>
      <c r="Y131" s="1251"/>
      <c r="Z131" s="1248"/>
      <c r="AA131" s="1248"/>
      <c r="AB131" s="1248"/>
      <c r="AC131" s="1248"/>
      <c r="AD131" s="1248"/>
      <c r="AE131" s="1248"/>
      <c r="AF131" s="1248"/>
      <c r="AG131" s="1248"/>
      <c r="AH131" s="1248"/>
      <c r="AI131" s="1248"/>
      <c r="AJ131" s="1248"/>
      <c r="AK131" s="1248"/>
      <c r="AL131" s="1248"/>
      <c r="AM131" s="1248"/>
      <c r="AN131" s="1248"/>
      <c r="AO131" s="1248"/>
      <c r="AP131" s="1248"/>
      <c r="AQ131" s="1248"/>
      <c r="AR131" s="1248"/>
      <c r="AS131" s="1251"/>
      <c r="AT131" s="1251"/>
      <c r="AU131" s="1251"/>
      <c r="AV131" s="1251"/>
      <c r="AW131" s="1251"/>
      <c r="AX131" s="1251"/>
      <c r="AY131" s="1251"/>
      <c r="AZ131" s="1251"/>
      <c r="BA131" s="1251"/>
      <c r="BB131" s="1251"/>
      <c r="BC131" s="1251"/>
      <c r="BD131" s="1251"/>
      <c r="BE131" s="1251"/>
      <c r="BF131" s="1251"/>
      <c r="BG131" s="1251"/>
      <c r="BH131" s="1251"/>
      <c r="BI131" s="1251"/>
      <c r="BJ131" s="1251"/>
      <c r="BK131" s="1251"/>
      <c r="BL131" s="1251"/>
      <c r="BM131" s="1251"/>
      <c r="BN131" s="1251"/>
      <c r="BO131" s="1251"/>
      <c r="BP131" s="1251"/>
      <c r="BQ131" s="1251"/>
      <c r="BR131" s="1251"/>
      <c r="BS131" s="1251"/>
      <c r="BT131" s="1251"/>
      <c r="BU131" s="1251"/>
      <c r="BV131" s="1251"/>
      <c r="BW131" s="1251"/>
      <c r="BX131" s="1251"/>
      <c r="BY131" s="1251"/>
      <c r="BZ131" s="1251"/>
      <c r="CA131" s="1251"/>
      <c r="CB131" s="1251"/>
      <c r="CC131" s="1251"/>
      <c r="CD131" s="1251"/>
      <c r="CE131" s="1251"/>
      <c r="CF131" s="1251"/>
      <c r="CG131" s="1251"/>
      <c r="CH131" s="1251"/>
      <c r="CI131" s="1251"/>
      <c r="CJ131" s="1251"/>
      <c r="CK131" s="1251"/>
      <c r="CL131" s="1251"/>
      <c r="CM131" s="1251"/>
      <c r="CN131" s="1251"/>
      <c r="CO131" s="1251"/>
      <c r="CP131" s="1251"/>
      <c r="CQ131" s="1251"/>
      <c r="CR131" s="1251"/>
      <c r="CS131" s="1251"/>
      <c r="CT131" s="1251"/>
      <c r="CU131" s="1251"/>
      <c r="CV131" s="1251"/>
      <c r="CW131" s="1251"/>
      <c r="CX131" s="1251"/>
      <c r="CY131" s="1251"/>
      <c r="CZ131" s="1251"/>
      <c r="DA131" s="1251"/>
      <c r="DB131" s="1251"/>
      <c r="DC131" s="1251"/>
      <c r="DD131" s="1251"/>
      <c r="DE131" s="1251"/>
      <c r="DF131" s="1251"/>
      <c r="DG131" s="1251"/>
      <c r="DH131" s="1251"/>
      <c r="DI131" s="1251"/>
      <c r="DJ131" s="1251"/>
      <c r="DK131" s="1251"/>
      <c r="DL131" s="1251"/>
      <c r="DM131" s="1251"/>
      <c r="DN131" s="1251"/>
      <c r="DO131" s="1251"/>
      <c r="DP131" s="1251"/>
      <c r="DQ131" s="1251"/>
      <c r="DR131" s="1251"/>
      <c r="DS131" s="1251"/>
      <c r="DT131" s="1251"/>
      <c r="DU131" s="1251"/>
      <c r="DV131" s="1251"/>
      <c r="DW131" s="1251"/>
      <c r="DX131" s="1251"/>
      <c r="DY131" s="1251"/>
      <c r="DZ131" s="1251"/>
      <c r="EA131" s="1251"/>
      <c r="EB131" s="1251"/>
      <c r="EC131" s="1251"/>
      <c r="ED131" s="1251"/>
      <c r="EE131" s="1251"/>
      <c r="EF131" s="1251"/>
      <c r="EG131" s="1251"/>
      <c r="EH131" s="1251"/>
      <c r="EI131" s="1251"/>
      <c r="EJ131" s="1251"/>
      <c r="EK131" s="1251"/>
      <c r="EL131" s="1251"/>
      <c r="EM131" s="1251"/>
      <c r="EN131" s="1251"/>
      <c r="EO131" s="1251"/>
      <c r="EP131" s="1251"/>
      <c r="EQ131" s="1251"/>
      <c r="ER131" s="1251"/>
      <c r="ES131" s="1251"/>
      <c r="ET131" s="1251"/>
      <c r="EU131" s="1251"/>
      <c r="EV131" s="1251"/>
      <c r="EW131" s="1251"/>
      <c r="EX131" s="1251"/>
      <c r="EY131" s="1251"/>
      <c r="EZ131" s="1251"/>
      <c r="FA131" s="1251"/>
      <c r="FB131" s="1251"/>
      <c r="FC131" s="1251"/>
      <c r="FD131" s="1251"/>
      <c r="FE131" s="1251"/>
      <c r="FF131" s="1251"/>
      <c r="FG131" s="1251"/>
      <c r="FH131" s="1251"/>
      <c r="FI131" s="1251"/>
      <c r="FJ131" s="1251"/>
      <c r="FK131" s="1251"/>
      <c r="FL131" s="1251"/>
      <c r="FM131" s="1251"/>
      <c r="FN131" s="1251"/>
      <c r="FO131" s="1251"/>
      <c r="FP131" s="1251"/>
      <c r="FQ131" s="1251"/>
      <c r="FR131" s="1251"/>
      <c r="FS131" s="1251"/>
      <c r="FT131" s="1251"/>
      <c r="FU131" s="1251"/>
      <c r="FV131" s="1251"/>
      <c r="FW131" s="1251"/>
      <c r="FX131" s="1251"/>
      <c r="FY131" s="1251"/>
      <c r="FZ131" s="1251"/>
      <c r="GA131" s="1251"/>
      <c r="GB131" s="1251"/>
      <c r="GC131" s="1251"/>
      <c r="GD131" s="1251"/>
      <c r="GE131" s="1251"/>
      <c r="GF131" s="1251"/>
      <c r="GG131" s="1251"/>
      <c r="GH131" s="1251"/>
      <c r="GI131" s="1251"/>
      <c r="GJ131" s="1251"/>
      <c r="GK131" s="1251"/>
      <c r="GL131" s="1251"/>
      <c r="GM131" s="1251"/>
      <c r="GN131" s="1251"/>
      <c r="GO131" s="1251"/>
      <c r="GP131" s="1251"/>
      <c r="GQ131" s="1251"/>
      <c r="GR131" s="1251"/>
      <c r="GS131" s="1251"/>
      <c r="GT131" s="1251"/>
      <c r="GU131" s="1251"/>
      <c r="GV131" s="1251"/>
      <c r="GW131" s="1251"/>
      <c r="GX131" s="1251"/>
      <c r="GY131" s="1251"/>
      <c r="GZ131" s="1251"/>
      <c r="HA131" s="1251"/>
      <c r="HB131" s="1251"/>
      <c r="HC131" s="1251"/>
      <c r="HD131" s="1251"/>
      <c r="HE131" s="1251"/>
      <c r="HF131" s="1251"/>
      <c r="HG131" s="1251"/>
      <c r="HH131" s="1251"/>
      <c r="HI131" s="1251"/>
      <c r="HJ131" s="1251"/>
      <c r="HK131" s="1251"/>
      <c r="HL131" s="1251"/>
      <c r="HM131" s="1251"/>
      <c r="HN131" s="1251"/>
      <c r="HO131" s="1251"/>
      <c r="HP131" s="1251"/>
      <c r="HQ131" s="1251"/>
      <c r="HR131" s="1251"/>
      <c r="HS131" s="1251"/>
      <c r="HT131" s="1251"/>
      <c r="HU131" s="1251"/>
      <c r="HV131" s="1251"/>
      <c r="HW131" s="1251"/>
      <c r="HX131" s="1251"/>
      <c r="HY131" s="1251"/>
      <c r="HZ131" s="1251"/>
      <c r="IA131" s="1251"/>
      <c r="IB131" s="1251"/>
      <c r="IC131" s="1251"/>
      <c r="ID131" s="1251"/>
      <c r="IE131" s="1251"/>
      <c r="IF131" s="1251"/>
      <c r="IG131" s="1251"/>
      <c r="IH131" s="1251"/>
      <c r="II131" s="1251"/>
      <c r="IJ131" s="1251"/>
      <c r="IK131" s="1251"/>
      <c r="IL131" s="1251"/>
      <c r="IM131" s="1251"/>
      <c r="IN131" s="1251"/>
      <c r="IO131" s="1251"/>
      <c r="IP131" s="1251"/>
      <c r="IQ131" s="1251"/>
      <c r="IR131" s="1251"/>
      <c r="IS131" s="1251"/>
      <c r="IT131" s="1251"/>
      <c r="IU131" s="1251"/>
      <c r="IV131" s="1251"/>
      <c r="IW131" s="1251"/>
      <c r="IX131" s="1251"/>
      <c r="IY131" s="1251"/>
      <c r="IZ131" s="1251"/>
      <c r="JA131" s="1251"/>
      <c r="JB131" s="1251"/>
      <c r="JC131" s="1251"/>
      <c r="JD131" s="1251"/>
      <c r="JE131" s="1251"/>
      <c r="JF131" s="1251"/>
      <c r="JG131" s="1251"/>
      <c r="JH131" s="1251"/>
      <c r="JI131" s="1251"/>
      <c r="JJ131" s="1251"/>
      <c r="JK131" s="1251"/>
      <c r="JL131" s="1251"/>
      <c r="JM131" s="1251"/>
      <c r="JN131" s="1251"/>
      <c r="JO131" s="1251"/>
      <c r="JP131" s="1251"/>
      <c r="JQ131" s="1251"/>
      <c r="JR131" s="1251"/>
      <c r="JS131" s="1251"/>
      <c r="JT131" s="1251"/>
      <c r="JU131" s="1251"/>
      <c r="JV131" s="1251"/>
      <c r="JW131" s="1251"/>
      <c r="JX131" s="1251"/>
      <c r="JY131" s="1251"/>
      <c r="JZ131" s="1251"/>
      <c r="KA131" s="1251"/>
      <c r="KB131" s="1251"/>
      <c r="KC131" s="1251"/>
      <c r="KD131" s="1251"/>
      <c r="KE131" s="1251"/>
      <c r="KF131" s="1251"/>
      <c r="KG131" s="1251"/>
      <c r="KH131" s="1251"/>
      <c r="KI131" s="1251"/>
      <c r="KJ131" s="1251"/>
      <c r="KK131" s="1251"/>
      <c r="KL131" s="1251"/>
      <c r="KM131" s="1251"/>
      <c r="KN131" s="1251"/>
      <c r="KO131" s="1251"/>
      <c r="KP131" s="1251"/>
      <c r="KQ131" s="1251"/>
      <c r="KR131" s="1251"/>
      <c r="KS131" s="1251"/>
      <c r="KT131" s="1251"/>
      <c r="KU131" s="1251"/>
      <c r="KV131" s="1251"/>
      <c r="KW131" s="1251"/>
      <c r="KX131" s="1251"/>
      <c r="KY131" s="1251"/>
      <c r="KZ131" s="1251"/>
      <c r="LA131" s="1251"/>
      <c r="LB131" s="1251"/>
      <c r="LC131" s="1251"/>
      <c r="LD131" s="1251"/>
      <c r="LE131" s="1251"/>
      <c r="LF131" s="1251"/>
      <c r="LG131" s="1251"/>
      <c r="LH131" s="1251"/>
      <c r="LI131" s="1251"/>
      <c r="LJ131" s="1251"/>
      <c r="LK131" s="1251"/>
      <c r="LL131" s="1251"/>
      <c r="LM131" s="1251"/>
      <c r="LN131" s="1251"/>
      <c r="LO131" s="1251"/>
      <c r="LP131" s="1251"/>
      <c r="LQ131" s="1251"/>
      <c r="LR131" s="1251"/>
      <c r="LS131" s="1251"/>
      <c r="LT131" s="1251"/>
      <c r="LU131" s="1251"/>
      <c r="LV131" s="1251"/>
      <c r="LW131" s="1251"/>
      <c r="LX131" s="1251"/>
      <c r="LY131" s="1251"/>
      <c r="LZ131" s="1251"/>
      <c r="MA131" s="1251"/>
      <c r="MB131" s="1251"/>
      <c r="MC131" s="1251"/>
      <c r="MD131" s="1251"/>
      <c r="ME131" s="1251"/>
      <c r="MF131" s="1251"/>
      <c r="MG131" s="1251"/>
      <c r="MH131" s="1251"/>
      <c r="MI131" s="1251"/>
      <c r="MJ131" s="1251"/>
      <c r="MK131" s="1251"/>
      <c r="ML131" s="1251"/>
      <c r="MM131" s="1251"/>
      <c r="MN131" s="1251"/>
      <c r="MO131" s="1251"/>
      <c r="MP131" s="1251"/>
      <c r="MQ131" s="1251"/>
      <c r="MR131" s="1251"/>
      <c r="MS131" s="1251"/>
      <c r="MT131" s="1251"/>
      <c r="MU131" s="1251"/>
      <c r="MV131" s="1251"/>
      <c r="MW131" s="1251"/>
      <c r="MX131" s="1251"/>
      <c r="MY131" s="1251"/>
      <c r="MZ131" s="1251"/>
      <c r="NA131" s="1251"/>
      <c r="NB131" s="1251"/>
      <c r="NC131" s="1251"/>
      <c r="ND131" s="1251"/>
      <c r="NE131" s="1251"/>
      <c r="NF131" s="1251"/>
      <c r="NG131" s="1251"/>
      <c r="NH131" s="1251"/>
      <c r="NI131" s="1251"/>
      <c r="NJ131" s="1251"/>
      <c r="NK131" s="1251"/>
      <c r="NL131" s="1251"/>
      <c r="NM131" s="1251"/>
      <c r="NN131" s="1251"/>
      <c r="NO131" s="1251"/>
      <c r="NP131" s="1251"/>
      <c r="NQ131" s="1251"/>
      <c r="NR131" s="1251"/>
      <c r="NS131" s="1251"/>
      <c r="NT131" s="1251"/>
      <c r="NU131" s="1251"/>
      <c r="NV131" s="1251"/>
      <c r="NW131" s="1251"/>
      <c r="NX131" s="1251"/>
      <c r="NY131" s="1251"/>
      <c r="NZ131" s="1251"/>
      <c r="OA131" s="1251"/>
      <c r="OB131" s="1251"/>
      <c r="OC131" s="1251"/>
      <c r="OD131" s="1251"/>
      <c r="OE131" s="1251"/>
      <c r="OF131" s="1251"/>
      <c r="OG131" s="1251"/>
      <c r="OH131" s="1251"/>
      <c r="OI131" s="1251"/>
      <c r="OJ131" s="1251"/>
      <c r="OK131" s="1251"/>
      <c r="OL131" s="1251"/>
      <c r="OM131" s="1251"/>
      <c r="ON131" s="1251"/>
      <c r="OO131" s="1251"/>
      <c r="OP131" s="1251"/>
      <c r="OQ131" s="1251"/>
      <c r="OR131" s="1251"/>
      <c r="OS131" s="1251"/>
      <c r="OT131" s="1251"/>
      <c r="OU131" s="1251"/>
      <c r="OV131" s="1251"/>
      <c r="OW131" s="1251"/>
      <c r="OX131" s="1251"/>
      <c r="OY131" s="1251"/>
      <c r="OZ131" s="1251"/>
      <c r="PA131" s="1251"/>
      <c r="PB131" s="1251"/>
      <c r="PC131" s="1251"/>
      <c r="PD131" s="1251"/>
      <c r="PE131" s="1251"/>
      <c r="PF131" s="1251"/>
      <c r="PG131" s="1251"/>
      <c r="PH131" s="1251"/>
      <c r="PI131" s="1251"/>
      <c r="PJ131" s="1251"/>
      <c r="PK131" s="1251"/>
      <c r="PL131" s="1251"/>
      <c r="PM131" s="1251"/>
      <c r="PN131" s="1251"/>
      <c r="PO131" s="1251"/>
      <c r="PP131" s="1251"/>
      <c r="PQ131" s="1251"/>
      <c r="PR131" s="1251"/>
      <c r="PS131" s="1251"/>
      <c r="PT131" s="1251"/>
      <c r="PU131" s="1251"/>
      <c r="PV131" s="1251"/>
      <c r="PW131" s="1251"/>
      <c r="PX131" s="1251"/>
      <c r="PY131" s="1251"/>
      <c r="PZ131" s="1251"/>
      <c r="QA131" s="1251"/>
      <c r="QB131" s="1251"/>
      <c r="QC131" s="1251"/>
      <c r="QD131" s="1251"/>
      <c r="QE131" s="1251"/>
      <c r="QF131" s="1251"/>
      <c r="QG131" s="1251"/>
      <c r="QH131" s="1251"/>
      <c r="QI131" s="1251"/>
      <c r="QJ131" s="1251"/>
      <c r="QK131" s="1251"/>
      <c r="QL131" s="1251"/>
      <c r="QM131" s="1251"/>
      <c r="QN131" s="1251"/>
      <c r="QO131" s="1251"/>
      <c r="QP131" s="1251"/>
      <c r="QQ131" s="1251"/>
      <c r="QR131" s="1251"/>
      <c r="QS131" s="1251"/>
      <c r="QT131" s="1251"/>
      <c r="QU131" s="1251"/>
      <c r="QV131" s="1251"/>
      <c r="QW131" s="1251"/>
      <c r="QX131" s="1251"/>
      <c r="QY131" s="1251"/>
      <c r="QZ131" s="1251"/>
      <c r="RA131" s="1251"/>
      <c r="RB131" s="1251"/>
      <c r="RC131" s="1251"/>
      <c r="RD131" s="1251"/>
      <c r="RE131" s="1251"/>
      <c r="RF131" s="1251"/>
      <c r="RG131" s="1251"/>
      <c r="RH131" s="1251"/>
      <c r="RI131" s="1251"/>
      <c r="RJ131" s="1251"/>
      <c r="RK131" s="1251"/>
      <c r="RL131" s="1251"/>
      <c r="RM131" s="1251"/>
      <c r="RN131" s="1251"/>
      <c r="RO131" s="1251"/>
      <c r="RP131" s="1251"/>
      <c r="RQ131" s="1251"/>
      <c r="RR131" s="1251"/>
      <c r="RS131" s="1251"/>
      <c r="RT131" s="1251"/>
      <c r="RU131" s="1251"/>
      <c r="RV131" s="1251"/>
      <c r="RW131" s="1251"/>
      <c r="RX131" s="1251"/>
      <c r="RY131" s="1251"/>
      <c r="RZ131" s="1251"/>
      <c r="SA131" s="1251"/>
      <c r="SB131" s="1251"/>
      <c r="SC131" s="1251"/>
      <c r="SD131" s="1251"/>
      <c r="SE131" s="1251"/>
      <c r="SF131" s="1251"/>
      <c r="SG131" s="1251"/>
      <c r="SH131" s="1251"/>
      <c r="SI131" s="1251"/>
      <c r="SJ131" s="1251"/>
      <c r="SK131" s="1251"/>
      <c r="SL131" s="1251"/>
      <c r="SM131" s="1251"/>
      <c r="SN131" s="1251"/>
      <c r="SO131" s="1251"/>
      <c r="SP131" s="1251"/>
      <c r="SQ131" s="1251"/>
      <c r="SR131" s="1251"/>
      <c r="SS131" s="1251"/>
      <c r="ST131" s="1251"/>
      <c r="SU131" s="1251"/>
      <c r="SV131" s="1251"/>
      <c r="SW131" s="1251"/>
      <c r="SX131" s="1251"/>
      <c r="SY131" s="1251"/>
      <c r="SZ131" s="1251"/>
      <c r="TA131" s="1251"/>
      <c r="TB131" s="1251"/>
      <c r="TC131" s="1251"/>
      <c r="TD131" s="1251"/>
      <c r="TE131" s="1251"/>
      <c r="TF131" s="1251"/>
      <c r="TG131" s="1251"/>
      <c r="TH131" s="1251"/>
      <c r="TI131" s="1251"/>
      <c r="TJ131" s="1251"/>
      <c r="TK131" s="1251"/>
      <c r="TL131" s="1251"/>
      <c r="TM131" s="1251"/>
      <c r="TN131" s="1251"/>
      <c r="TO131" s="1251"/>
      <c r="TP131" s="1251"/>
      <c r="TQ131" s="1251"/>
      <c r="TR131" s="1251"/>
      <c r="TS131" s="1251"/>
      <c r="TT131" s="1251"/>
      <c r="TU131" s="1251"/>
      <c r="TV131" s="1251"/>
      <c r="TW131" s="1251"/>
      <c r="TX131" s="1251"/>
      <c r="TY131" s="1251"/>
      <c r="TZ131" s="1251"/>
      <c r="UA131" s="1251"/>
      <c r="UB131" s="1251"/>
      <c r="UC131" s="1251"/>
      <c r="UD131" s="1251"/>
      <c r="UE131" s="1251"/>
      <c r="UF131" s="1251"/>
      <c r="UG131" s="1251"/>
      <c r="UH131" s="1251"/>
      <c r="UI131" s="1251"/>
      <c r="UJ131" s="1251"/>
      <c r="UK131" s="1251"/>
      <c r="UL131" s="1251"/>
      <c r="UM131" s="1251"/>
      <c r="UN131" s="1251"/>
      <c r="UO131" s="1251"/>
      <c r="UP131" s="1251"/>
      <c r="UQ131" s="1251"/>
      <c r="UR131" s="1251"/>
      <c r="US131" s="1251"/>
      <c r="UT131" s="1251"/>
      <c r="UU131" s="1251"/>
      <c r="UV131" s="1251"/>
      <c r="UW131" s="1251"/>
      <c r="UX131" s="1251"/>
      <c r="UY131" s="1251"/>
      <c r="UZ131" s="1251"/>
      <c r="VA131" s="1251"/>
      <c r="VB131" s="1251"/>
      <c r="VC131" s="1251"/>
      <c r="VD131" s="1251"/>
      <c r="VE131" s="1251"/>
      <c r="VF131" s="1251"/>
      <c r="VG131" s="1251"/>
      <c r="VH131" s="1251"/>
      <c r="VI131" s="1251"/>
      <c r="VJ131" s="1251"/>
      <c r="VK131" s="1251"/>
      <c r="VL131" s="1251"/>
      <c r="VM131" s="1251"/>
      <c r="VN131" s="1251"/>
      <c r="VO131" s="1251"/>
      <c r="VP131" s="1251"/>
      <c r="VQ131" s="1251"/>
      <c r="VR131" s="1251"/>
      <c r="VS131" s="1251"/>
      <c r="VT131" s="1251"/>
      <c r="VU131" s="1251"/>
      <c r="VV131" s="1251"/>
      <c r="VW131" s="1251"/>
      <c r="VX131" s="1251"/>
      <c r="VY131" s="1251"/>
      <c r="VZ131" s="1251"/>
      <c r="WA131" s="1251"/>
      <c r="WB131" s="1251"/>
      <c r="WC131" s="1251"/>
      <c r="WD131" s="1251"/>
      <c r="WE131" s="1251"/>
      <c r="WF131" s="1251"/>
      <c r="WG131" s="1251"/>
      <c r="WH131" s="1251"/>
      <c r="WI131" s="1251"/>
      <c r="WJ131" s="1251"/>
      <c r="WK131" s="1251"/>
      <c r="WL131" s="1251"/>
      <c r="WM131" s="1251"/>
      <c r="WN131" s="1251"/>
      <c r="WO131" s="1251"/>
      <c r="WP131" s="1251"/>
      <c r="WQ131" s="1251"/>
      <c r="WR131" s="1251"/>
      <c r="WS131" s="1251"/>
      <c r="WT131" s="1251"/>
      <c r="WU131" s="1251"/>
      <c r="WV131" s="1251"/>
      <c r="WW131" s="1251"/>
      <c r="WX131" s="1251"/>
      <c r="WY131" s="1251"/>
      <c r="WZ131" s="1251"/>
      <c r="XA131" s="1251"/>
      <c r="XB131" s="1251"/>
      <c r="XC131" s="1251"/>
      <c r="XD131" s="1251"/>
      <c r="XE131" s="1251"/>
      <c r="XF131" s="1251"/>
      <c r="XG131" s="1251"/>
      <c r="XH131" s="1251"/>
      <c r="XI131" s="1251"/>
      <c r="XJ131" s="1251"/>
      <c r="XK131" s="1251"/>
      <c r="XL131" s="1251"/>
      <c r="XM131" s="1251"/>
      <c r="XN131" s="1251"/>
      <c r="XO131" s="1251"/>
      <c r="XP131" s="1251"/>
      <c r="XQ131" s="1251"/>
      <c r="XR131" s="1251"/>
      <c r="XS131" s="1251"/>
      <c r="XT131" s="1251"/>
      <c r="XU131" s="1251"/>
      <c r="XV131" s="1251"/>
      <c r="XW131" s="1251"/>
      <c r="XX131" s="1251"/>
      <c r="XY131" s="1251"/>
      <c r="XZ131" s="1251"/>
      <c r="YA131" s="1251"/>
      <c r="YB131" s="1251"/>
      <c r="YC131" s="1251"/>
      <c r="YD131" s="1251"/>
      <c r="YE131" s="1251"/>
      <c r="YF131" s="1251"/>
      <c r="YG131" s="1251"/>
      <c r="YH131" s="1251"/>
      <c r="YI131" s="1251"/>
      <c r="YJ131" s="1251"/>
      <c r="YK131" s="1251"/>
      <c r="YL131" s="1251"/>
      <c r="YM131" s="1251"/>
      <c r="YN131" s="1251"/>
      <c r="YO131" s="1251"/>
      <c r="YP131" s="1251"/>
      <c r="YQ131" s="1251"/>
      <c r="YR131" s="1251"/>
      <c r="YS131" s="1251"/>
      <c r="YT131" s="1251"/>
      <c r="YU131" s="1251"/>
      <c r="YV131" s="1251"/>
      <c r="YW131" s="1251"/>
      <c r="YX131" s="1251"/>
      <c r="YY131" s="1251"/>
      <c r="YZ131" s="1251"/>
      <c r="ZA131" s="1251"/>
      <c r="ZB131" s="1251"/>
      <c r="ZC131" s="1251"/>
      <c r="ZD131" s="1251"/>
      <c r="ZE131" s="1251"/>
      <c r="ZF131" s="1251"/>
      <c r="ZG131" s="1251"/>
      <c r="ZH131" s="1251"/>
      <c r="ZI131" s="1251"/>
      <c r="ZJ131" s="1251"/>
      <c r="ZK131" s="1251"/>
      <c r="ZL131" s="1251"/>
      <c r="ZM131" s="1251"/>
      <c r="ZN131" s="1251"/>
      <c r="ZO131" s="1251"/>
      <c r="ZP131" s="1251"/>
      <c r="ZQ131" s="1251"/>
      <c r="ZR131" s="1251"/>
      <c r="ZS131" s="1251"/>
      <c r="ZT131" s="1251"/>
      <c r="ZU131" s="1251"/>
      <c r="ZV131" s="1251"/>
      <c r="ZW131" s="1251"/>
      <c r="ZX131" s="1251"/>
      <c r="ZY131" s="1251"/>
      <c r="ZZ131" s="1251"/>
      <c r="AAA131" s="1251"/>
      <c r="AAB131" s="1251"/>
      <c r="AAC131" s="1251"/>
      <c r="AAD131" s="1251"/>
      <c r="AAE131" s="1251"/>
      <c r="AAF131" s="1251"/>
      <c r="AAG131" s="1251"/>
      <c r="AAH131" s="1251"/>
      <c r="AAI131" s="1251"/>
      <c r="AAJ131" s="1251"/>
      <c r="AAK131" s="1251"/>
      <c r="AAL131" s="1251"/>
      <c r="AAM131" s="1251"/>
      <c r="AAN131" s="1251"/>
      <c r="AAO131" s="1251"/>
      <c r="AAP131" s="1251"/>
      <c r="AAQ131" s="1251"/>
      <c r="AAR131" s="1251"/>
      <c r="AAS131" s="1251"/>
      <c r="AAT131" s="1251"/>
      <c r="AAU131" s="1251"/>
      <c r="AAV131" s="1251"/>
      <c r="AAW131" s="1251"/>
      <c r="AAX131" s="1251"/>
      <c r="AAY131" s="1251"/>
      <c r="AAZ131" s="1251"/>
      <c r="ABA131" s="1251"/>
      <c r="ABB131" s="1251"/>
      <c r="ABC131" s="1251"/>
      <c r="ABD131" s="1251"/>
      <c r="ABE131" s="1251"/>
      <c r="ABF131" s="1251"/>
      <c r="ABG131" s="1251"/>
      <c r="ABH131" s="1251"/>
      <c r="ABI131" s="1251"/>
      <c r="ABJ131" s="1251"/>
      <c r="ABK131" s="1251"/>
      <c r="ABL131" s="1251"/>
      <c r="ABM131" s="1251"/>
      <c r="ABN131" s="1251"/>
      <c r="ABO131" s="1251"/>
      <c r="ABP131" s="1251"/>
      <c r="ABQ131" s="1251"/>
      <c r="ABR131" s="1251"/>
      <c r="ABS131" s="1251"/>
      <c r="ABT131" s="1251"/>
      <c r="ABU131" s="1251"/>
      <c r="ABV131" s="1251"/>
      <c r="ABW131" s="1251"/>
      <c r="ABX131" s="1251"/>
      <c r="ABY131" s="1251"/>
      <c r="ABZ131" s="1251"/>
      <c r="ACA131" s="1251"/>
      <c r="ACB131" s="1251"/>
      <c r="ACC131" s="1251"/>
      <c r="ACD131" s="1251"/>
      <c r="ACE131" s="1251"/>
      <c r="ACF131" s="1251"/>
      <c r="ACG131" s="1251"/>
      <c r="ACH131" s="1251"/>
      <c r="ACI131" s="1251"/>
      <c r="ACJ131" s="1251"/>
      <c r="ACK131" s="1251"/>
      <c r="ACL131" s="1251"/>
      <c r="ACM131" s="1251"/>
      <c r="ACN131" s="1251"/>
      <c r="ACO131" s="1251"/>
      <c r="ACP131" s="1251"/>
      <c r="ACQ131" s="1251"/>
      <c r="ACR131" s="1251"/>
      <c r="ACS131" s="1251"/>
      <c r="ACT131" s="1251"/>
      <c r="ACU131" s="1251"/>
      <c r="ACV131" s="1251"/>
      <c r="ACW131" s="1251"/>
      <c r="ACX131" s="1251"/>
      <c r="ACY131" s="1251"/>
      <c r="ACZ131" s="1251"/>
      <c r="ADA131" s="1251"/>
      <c r="ADB131" s="1251"/>
      <c r="ADC131" s="1251"/>
      <c r="ADD131" s="1251"/>
      <c r="ADE131" s="1251"/>
      <c r="ADF131" s="1251"/>
      <c r="ADG131" s="1251"/>
      <c r="ADH131" s="1251"/>
      <c r="ADI131" s="1251"/>
      <c r="ADJ131" s="1251"/>
      <c r="ADK131" s="1251"/>
      <c r="ADL131" s="1251"/>
      <c r="ADM131" s="1251"/>
      <c r="ADN131" s="1251"/>
      <c r="ADO131" s="1251"/>
      <c r="ADP131" s="1251"/>
      <c r="ADQ131" s="1251"/>
      <c r="ADR131" s="1251"/>
      <c r="ADS131" s="1251"/>
      <c r="ADT131" s="1251"/>
      <c r="ADU131" s="1251"/>
      <c r="ADV131" s="1251"/>
      <c r="ADW131" s="1251"/>
      <c r="ADX131" s="1251"/>
      <c r="ADY131" s="1251"/>
      <c r="ADZ131" s="1251"/>
      <c r="AEA131" s="1251"/>
      <c r="AEB131" s="1251"/>
      <c r="AEC131" s="1251"/>
      <c r="AED131" s="1251"/>
      <c r="AEE131" s="1251"/>
      <c r="AEF131" s="1251"/>
      <c r="AEG131" s="1251"/>
      <c r="AEH131" s="1251"/>
      <c r="AEI131" s="1251"/>
      <c r="AEJ131" s="1251"/>
      <c r="AEK131" s="1251"/>
      <c r="AEL131" s="1251"/>
      <c r="AEM131" s="1251"/>
      <c r="AEN131" s="1251"/>
      <c r="AEO131" s="1251"/>
      <c r="AEP131" s="1251"/>
      <c r="AEQ131" s="1251"/>
      <c r="AER131" s="1251"/>
      <c r="AES131" s="1251"/>
      <c r="AET131" s="1251"/>
      <c r="AEU131" s="1251"/>
      <c r="AEV131" s="1251"/>
      <c r="AEW131" s="1251"/>
      <c r="AEX131" s="1251"/>
      <c r="AEY131" s="1251"/>
      <c r="AEZ131" s="1251"/>
      <c r="AFA131" s="1251"/>
      <c r="AFB131" s="1251"/>
      <c r="AFC131" s="1251"/>
      <c r="AFD131" s="1251"/>
      <c r="AFE131" s="1251"/>
      <c r="AFF131" s="1251"/>
      <c r="AFG131" s="1251"/>
      <c r="AFH131" s="1251"/>
      <c r="AFI131" s="1251"/>
      <c r="AFJ131" s="1251"/>
      <c r="AFK131" s="1251"/>
      <c r="AFL131" s="1251"/>
      <c r="AFM131" s="1251"/>
      <c r="AFN131" s="1251"/>
      <c r="AFO131" s="1251"/>
      <c r="AFP131" s="1251"/>
      <c r="AFQ131" s="1251"/>
      <c r="AFR131" s="1251"/>
      <c r="AFS131" s="1251"/>
      <c r="AFT131" s="1251"/>
      <c r="AFU131" s="1251"/>
      <c r="AFV131" s="1251"/>
      <c r="AFW131" s="1251"/>
      <c r="AFX131" s="1251"/>
      <c r="AFY131" s="1251"/>
      <c r="AFZ131" s="1251"/>
      <c r="AGA131" s="1251"/>
      <c r="AGB131" s="1251"/>
      <c r="AGC131" s="1251"/>
      <c r="AGD131" s="1251"/>
      <c r="AGE131" s="1251"/>
      <c r="AGF131" s="1251"/>
      <c r="AGG131" s="1251"/>
      <c r="AGH131" s="1251"/>
      <c r="AGI131" s="1251"/>
      <c r="AGJ131" s="1251"/>
      <c r="AGK131" s="1251"/>
      <c r="AGL131" s="1251"/>
      <c r="AGM131" s="1251"/>
      <c r="AGN131" s="1251"/>
      <c r="AGO131" s="1251"/>
      <c r="AGP131" s="1251"/>
      <c r="AGQ131" s="1251"/>
      <c r="AGR131" s="1251"/>
      <c r="AGS131" s="1251"/>
      <c r="AGT131" s="1251"/>
      <c r="AGU131" s="1251"/>
      <c r="AGV131" s="1251"/>
      <c r="AGW131" s="1251"/>
      <c r="AGX131" s="1251"/>
      <c r="AGY131" s="1251"/>
      <c r="AGZ131" s="1251"/>
      <c r="AHA131" s="1251"/>
      <c r="AHB131" s="1251"/>
      <c r="AHC131" s="1251"/>
      <c r="AHD131" s="1251"/>
      <c r="AHE131" s="1251"/>
      <c r="AHF131" s="1251"/>
      <c r="AHG131" s="1251"/>
      <c r="AHH131" s="1251"/>
      <c r="AHI131" s="1251"/>
      <c r="AHJ131" s="1251"/>
      <c r="AHK131" s="1251"/>
      <c r="AHL131" s="1251"/>
      <c r="AHM131" s="1251"/>
      <c r="AHN131" s="1251"/>
      <c r="AHO131" s="1251"/>
      <c r="AHP131" s="1251"/>
      <c r="AHQ131" s="1251"/>
      <c r="AHR131" s="1251"/>
      <c r="AHS131" s="1251"/>
      <c r="AHT131" s="1251"/>
      <c r="AHU131" s="1251"/>
      <c r="AHV131" s="1251"/>
      <c r="AHW131" s="1251"/>
      <c r="AHX131" s="1251"/>
      <c r="AHY131" s="1251"/>
      <c r="AHZ131" s="1251"/>
      <c r="AIA131" s="1251"/>
      <c r="AIB131" s="1251"/>
      <c r="AIC131" s="1251"/>
      <c r="AID131" s="1251"/>
      <c r="AIE131" s="1251"/>
      <c r="AIF131" s="1251"/>
      <c r="AIG131" s="1251"/>
      <c r="AIH131" s="1251"/>
      <c r="AII131" s="1251"/>
      <c r="AIJ131" s="1251"/>
      <c r="AIK131" s="1251"/>
      <c r="AIL131" s="1251"/>
      <c r="AIM131" s="1251"/>
      <c r="AIN131" s="1251"/>
      <c r="AIO131" s="1251"/>
      <c r="AIP131" s="1251"/>
      <c r="AIQ131" s="1251"/>
      <c r="AIR131" s="1251"/>
      <c r="AIS131" s="1251"/>
      <c r="AIT131" s="1251"/>
      <c r="AIU131" s="1251"/>
      <c r="AIV131" s="1251"/>
      <c r="AIW131" s="1251"/>
      <c r="AIX131" s="1251"/>
      <c r="AIY131" s="1251"/>
      <c r="AIZ131" s="1251"/>
      <c r="AJA131" s="1251"/>
      <c r="AJB131" s="1251"/>
      <c r="AJC131" s="1251"/>
      <c r="AJD131" s="1251"/>
      <c r="AJE131" s="1251"/>
      <c r="AJF131" s="1251"/>
      <c r="AJG131" s="1251"/>
      <c r="AJH131" s="1251"/>
      <c r="AJI131" s="1251"/>
      <c r="AJJ131" s="1251"/>
      <c r="AJK131" s="1251"/>
      <c r="AJL131" s="1251"/>
      <c r="AJM131" s="1251"/>
      <c r="AJN131" s="1251"/>
      <c r="AJO131" s="1251"/>
      <c r="AJP131" s="1251"/>
      <c r="AJQ131" s="1251"/>
      <c r="AJR131" s="1251"/>
      <c r="AJS131" s="1251"/>
      <c r="AJT131" s="1251"/>
      <c r="AJU131" s="1251"/>
      <c r="AJV131" s="1251"/>
      <c r="AJW131" s="1251"/>
      <c r="AJX131" s="1251"/>
      <c r="AJY131" s="1251"/>
      <c r="AJZ131" s="1251"/>
      <c r="AKA131" s="1251"/>
      <c r="AKB131" s="1251"/>
      <c r="AKC131" s="1251"/>
      <c r="AKD131" s="1251"/>
      <c r="AKE131" s="1251"/>
      <c r="AKF131" s="1251"/>
      <c r="AKG131" s="1251"/>
      <c r="AKH131" s="1251"/>
      <c r="AKI131" s="1251"/>
      <c r="AKJ131" s="1251"/>
      <c r="AKK131" s="1251"/>
      <c r="AKL131" s="1251"/>
      <c r="AKM131" s="1251"/>
      <c r="AKN131" s="1251"/>
      <c r="AKO131" s="1251"/>
      <c r="AKP131" s="1251"/>
      <c r="AKQ131" s="1251"/>
      <c r="AKR131" s="1251"/>
      <c r="AKS131" s="1251"/>
      <c r="AKT131" s="1251"/>
      <c r="AKU131" s="1251"/>
      <c r="AKV131" s="1251"/>
      <c r="AKW131" s="1251"/>
      <c r="AKX131" s="1251"/>
      <c r="AKY131" s="1251"/>
      <c r="AKZ131" s="1251"/>
      <c r="ALA131" s="1251"/>
      <c r="ALB131" s="1251"/>
      <c r="ALC131" s="1251"/>
      <c r="ALD131" s="1251"/>
      <c r="ALE131" s="1251"/>
      <c r="ALF131" s="1251"/>
      <c r="ALG131" s="1251"/>
      <c r="ALH131" s="1251"/>
      <c r="ALI131" s="1251"/>
      <c r="ALJ131" s="1251"/>
      <c r="ALK131" s="1251"/>
      <c r="ALL131" s="1251"/>
      <c r="ALM131" s="1251"/>
      <c r="ALN131" s="1251"/>
      <c r="ALO131" s="1251"/>
      <c r="ALP131" s="1251"/>
      <c r="ALQ131" s="1251"/>
      <c r="ALR131" s="1251"/>
      <c r="ALS131" s="1251"/>
      <c r="ALT131" s="1251"/>
      <c r="ALU131" s="1251"/>
      <c r="ALV131" s="1251"/>
      <c r="ALW131" s="1251"/>
      <c r="ALX131" s="1251"/>
      <c r="ALY131" s="1251"/>
      <c r="ALZ131" s="1251"/>
      <c r="AMA131" s="1251"/>
      <c r="AMB131" s="1251"/>
      <c r="AMC131" s="1251"/>
      <c r="AMD131" s="1251"/>
      <c r="AME131" s="1251"/>
      <c r="AMF131" s="1251"/>
      <c r="AMG131" s="1251"/>
      <c r="AMH131" s="1251"/>
      <c r="AMI131" s="1251"/>
      <c r="AMJ131" s="1251"/>
      <c r="AMK131" s="1251"/>
      <c r="AML131" s="1251"/>
      <c r="AMM131" s="1251"/>
      <c r="AMN131" s="1251"/>
      <c r="AMO131" s="1251"/>
      <c r="AMP131" s="1251"/>
      <c r="AMQ131" s="1251"/>
      <c r="AMR131" s="1251"/>
      <c r="AMS131" s="1251"/>
      <c r="AMT131" s="1251"/>
      <c r="AMU131" s="1251"/>
      <c r="AMV131" s="1251"/>
      <c r="AMW131" s="1251"/>
      <c r="AMX131" s="1251"/>
      <c r="AMY131" s="1251"/>
      <c r="AMZ131" s="1251"/>
      <c r="ANA131" s="1251"/>
      <c r="ANB131" s="1251"/>
      <c r="ANC131" s="1251"/>
      <c r="AND131" s="1251"/>
      <c r="ANE131" s="1251"/>
      <c r="ANF131" s="1251"/>
      <c r="ANG131" s="1251"/>
      <c r="ANH131" s="1251"/>
      <c r="ANI131" s="1251"/>
      <c r="ANJ131" s="1251"/>
      <c r="ANK131" s="1251"/>
      <c r="ANL131" s="1251"/>
      <c r="ANM131" s="1251"/>
      <c r="ANN131" s="1251"/>
      <c r="ANO131" s="1251"/>
      <c r="ANP131" s="1251"/>
      <c r="ANQ131" s="1251"/>
      <c r="ANR131" s="1251"/>
      <c r="ANS131" s="1251"/>
      <c r="ANT131" s="1251"/>
      <c r="ANU131" s="1251"/>
      <c r="ANV131" s="1251"/>
      <c r="ANW131" s="1251"/>
      <c r="ANX131" s="1251"/>
      <c r="ANY131" s="1251"/>
      <c r="ANZ131" s="1251"/>
      <c r="AOA131" s="1251"/>
      <c r="AOB131" s="1251"/>
      <c r="AOC131" s="1251"/>
      <c r="AOD131" s="1251"/>
      <c r="AOE131" s="1251"/>
      <c r="AOF131" s="1251"/>
      <c r="AOG131" s="1251"/>
      <c r="AOH131" s="1251"/>
      <c r="AOI131" s="1251"/>
      <c r="AOJ131" s="1251"/>
      <c r="AOK131" s="1251"/>
      <c r="AOL131" s="1251"/>
      <c r="AOM131" s="1251"/>
      <c r="AON131" s="1251"/>
      <c r="AOO131" s="1251"/>
      <c r="AOP131" s="1251"/>
      <c r="AOQ131" s="1251"/>
      <c r="AOR131" s="1251"/>
      <c r="AOS131" s="1251"/>
      <c r="AOT131" s="1251"/>
      <c r="AOU131" s="1251"/>
      <c r="AOV131" s="1251"/>
      <c r="AOW131" s="1251"/>
      <c r="AOX131" s="1251"/>
      <c r="AOY131" s="1251"/>
      <c r="AOZ131" s="1251"/>
      <c r="APA131" s="1251"/>
      <c r="APB131" s="1251"/>
      <c r="APC131" s="1251"/>
      <c r="APD131" s="1251"/>
      <c r="APE131" s="1251"/>
      <c r="APF131" s="1251"/>
      <c r="APG131" s="1251"/>
      <c r="APH131" s="1251"/>
      <c r="API131" s="1251"/>
      <c r="APJ131" s="1251"/>
      <c r="APK131" s="1251"/>
      <c r="APL131" s="1251"/>
      <c r="APM131" s="1251"/>
      <c r="APN131" s="1251"/>
      <c r="APO131" s="1251"/>
      <c r="APP131" s="1251"/>
      <c r="APQ131" s="1251"/>
      <c r="APR131" s="1251"/>
      <c r="APS131" s="1251"/>
      <c r="APT131" s="1251"/>
      <c r="APU131" s="1251"/>
      <c r="APV131" s="1251"/>
      <c r="APW131" s="1251"/>
      <c r="APX131" s="1251"/>
      <c r="APY131" s="1251"/>
      <c r="APZ131" s="1251"/>
      <c r="AQA131" s="1251"/>
      <c r="AQB131" s="1251"/>
      <c r="AQC131" s="1251"/>
      <c r="AQD131" s="1251"/>
      <c r="AQE131" s="1251"/>
      <c r="AQF131" s="1251"/>
      <c r="AQG131" s="1251"/>
      <c r="AQH131" s="1251"/>
      <c r="AQI131" s="1251"/>
      <c r="AQJ131" s="1251"/>
      <c r="AQK131" s="1251"/>
      <c r="AQL131" s="1251"/>
      <c r="AQM131" s="1251"/>
      <c r="AQN131" s="1251"/>
      <c r="AQO131" s="1251"/>
      <c r="AQP131" s="1251"/>
      <c r="AQQ131" s="1251"/>
      <c r="AQR131" s="1251"/>
      <c r="AQS131" s="1251"/>
      <c r="AQT131" s="1251"/>
      <c r="AQU131" s="1251"/>
      <c r="AQV131" s="1251"/>
      <c r="AQW131" s="1251"/>
      <c r="AQX131" s="1251"/>
      <c r="AQY131" s="1251"/>
      <c r="AQZ131" s="1251"/>
      <c r="ARA131" s="1251"/>
      <c r="ARB131" s="1251"/>
      <c r="ARC131" s="1251"/>
      <c r="ARD131" s="1251"/>
      <c r="ARE131" s="1251"/>
      <c r="ARF131" s="1251"/>
      <c r="ARG131" s="1251"/>
      <c r="ARH131" s="1251"/>
      <c r="ARI131" s="1251"/>
      <c r="ARJ131" s="1251"/>
      <c r="ARK131" s="1251"/>
      <c r="ARL131" s="1251"/>
      <c r="ARM131" s="1251"/>
      <c r="ARN131" s="1251"/>
      <c r="ARO131" s="1251"/>
      <c r="ARP131" s="1251"/>
      <c r="ARQ131" s="1251"/>
      <c r="ARR131" s="1251"/>
      <c r="ARS131" s="1251"/>
      <c r="ART131" s="1251"/>
      <c r="ARU131" s="1251"/>
      <c r="ARV131" s="1251"/>
      <c r="ARW131" s="1251"/>
      <c r="ARX131" s="1251"/>
      <c r="ARY131" s="1251"/>
      <c r="ARZ131" s="1251"/>
      <c r="ASA131" s="1251"/>
      <c r="ASB131" s="1251"/>
      <c r="ASC131" s="1251"/>
      <c r="ASD131" s="1251"/>
      <c r="ASE131" s="1251"/>
      <c r="ASF131" s="1251"/>
      <c r="ASG131" s="1251"/>
      <c r="ASH131" s="1251"/>
      <c r="ASI131" s="1251"/>
      <c r="ASJ131" s="1251"/>
      <c r="ASK131" s="1251"/>
      <c r="ASL131" s="1251"/>
      <c r="ASM131" s="1251"/>
      <c r="ASN131" s="1251"/>
      <c r="ASO131" s="1251"/>
      <c r="ASP131" s="1251"/>
      <c r="ASQ131" s="1251"/>
      <c r="ASR131" s="1251"/>
      <c r="ASS131" s="1251"/>
      <c r="AST131" s="1251"/>
      <c r="ASU131" s="1251"/>
      <c r="ASV131" s="1251"/>
      <c r="ASW131" s="1251"/>
      <c r="ASX131" s="1251"/>
      <c r="ASY131" s="1251"/>
      <c r="ASZ131" s="1251"/>
      <c r="ATA131" s="1251"/>
      <c r="ATB131" s="1251"/>
      <c r="ATC131" s="1251"/>
      <c r="ATD131" s="1251"/>
      <c r="ATE131" s="1251"/>
      <c r="ATF131" s="1251"/>
      <c r="ATG131" s="1251"/>
      <c r="ATH131" s="1251"/>
      <c r="ATI131" s="1251"/>
      <c r="ATJ131" s="1251"/>
      <c r="ATK131" s="1251"/>
      <c r="ATL131" s="1251"/>
      <c r="ATM131" s="1251"/>
      <c r="ATN131" s="1251"/>
      <c r="ATO131" s="1251"/>
      <c r="ATP131" s="1251"/>
      <c r="ATQ131" s="1251"/>
      <c r="ATR131" s="1251"/>
      <c r="ATS131" s="1251"/>
      <c r="ATT131" s="1251"/>
      <c r="ATU131" s="1251"/>
      <c r="ATV131" s="1251"/>
      <c r="ATW131" s="1251"/>
      <c r="ATX131" s="1251"/>
      <c r="ATY131" s="1251"/>
      <c r="ATZ131" s="1251"/>
      <c r="AUA131" s="1251"/>
      <c r="AUB131" s="1251"/>
      <c r="AUC131" s="1251"/>
      <c r="AUD131" s="1251"/>
      <c r="AUE131" s="1251"/>
      <c r="AUF131" s="1251"/>
      <c r="AUG131" s="1251"/>
      <c r="AUH131" s="1251"/>
      <c r="AUI131" s="1251"/>
      <c r="AUJ131" s="1251"/>
      <c r="AUK131" s="1251"/>
      <c r="AUL131" s="1251"/>
      <c r="AUM131" s="1251"/>
      <c r="AUN131" s="1251"/>
      <c r="AUO131" s="1251"/>
      <c r="AUP131" s="1251"/>
      <c r="AUQ131" s="1251"/>
      <c r="AUR131" s="1251"/>
      <c r="AUS131" s="1251"/>
      <c r="AUT131" s="1251"/>
      <c r="AUU131" s="1251"/>
      <c r="AUV131" s="1251"/>
      <c r="AUW131" s="1251"/>
      <c r="AUX131" s="1251"/>
      <c r="AUY131" s="1251"/>
      <c r="AUZ131" s="1251"/>
      <c r="AVA131" s="1251"/>
      <c r="AVB131" s="1251"/>
      <c r="AVC131" s="1251"/>
      <c r="AVD131" s="1251"/>
      <c r="AVE131" s="1251"/>
      <c r="AVF131" s="1251"/>
      <c r="AVG131" s="1251"/>
      <c r="AVH131" s="1251"/>
      <c r="AVI131" s="1251"/>
      <c r="AVJ131" s="1251"/>
      <c r="AVK131" s="1251"/>
      <c r="AVL131" s="1251"/>
      <c r="AVM131" s="1251"/>
      <c r="AVN131" s="1251"/>
      <c r="AVO131" s="1251"/>
      <c r="AVP131" s="1251"/>
      <c r="AVQ131" s="1251"/>
      <c r="AVR131" s="1251"/>
      <c r="AVS131" s="1251"/>
      <c r="AVT131" s="1251"/>
      <c r="AVU131" s="1251"/>
      <c r="AVV131" s="1251"/>
      <c r="AVW131" s="1251"/>
      <c r="AVX131" s="1251"/>
      <c r="AVY131" s="1251"/>
      <c r="AVZ131" s="1251"/>
      <c r="AWA131" s="1251"/>
      <c r="AWB131" s="1251"/>
      <c r="AWC131" s="1251"/>
      <c r="AWD131" s="1251"/>
      <c r="AWE131" s="1251"/>
      <c r="AWF131" s="1251"/>
      <c r="AWG131" s="1251"/>
      <c r="AWH131" s="1251"/>
      <c r="AWI131" s="1251"/>
      <c r="AWJ131" s="1251"/>
      <c r="AWK131" s="1251"/>
      <c r="AWL131" s="1251"/>
      <c r="AWM131" s="1251"/>
      <c r="AWN131" s="1251"/>
      <c r="AWO131" s="1251"/>
      <c r="AWP131" s="1251"/>
      <c r="AWQ131" s="1251"/>
      <c r="AWR131" s="1251"/>
      <c r="AWS131" s="1251"/>
      <c r="AWT131" s="1251"/>
      <c r="AWU131" s="1251"/>
      <c r="AWV131" s="1251"/>
      <c r="AWW131" s="1251"/>
      <c r="AWX131" s="1251"/>
      <c r="AWY131" s="1251"/>
      <c r="AWZ131" s="1251"/>
      <c r="AXA131" s="1251"/>
      <c r="AXB131" s="1251"/>
      <c r="AXC131" s="1251"/>
      <c r="AXD131" s="1251"/>
      <c r="AXE131" s="1251"/>
      <c r="AXF131" s="1251"/>
      <c r="AXG131" s="1251"/>
      <c r="AXH131" s="1251"/>
      <c r="AXI131" s="1251"/>
      <c r="AXJ131" s="1251"/>
      <c r="AXK131" s="1251"/>
      <c r="AXL131" s="1251"/>
      <c r="AXM131" s="1251"/>
      <c r="AXN131" s="1251"/>
      <c r="AXO131" s="1251"/>
      <c r="AXP131" s="1251"/>
      <c r="AXQ131" s="1251"/>
      <c r="AXR131" s="1251"/>
      <c r="AXS131" s="1251"/>
      <c r="AXT131" s="1251"/>
      <c r="AXU131" s="1251"/>
      <c r="AXV131" s="1251"/>
      <c r="AXW131" s="1251"/>
      <c r="AXX131" s="1251"/>
      <c r="AXY131" s="1251"/>
      <c r="AXZ131" s="1251"/>
      <c r="AYA131" s="1251"/>
      <c r="AYB131" s="1251"/>
      <c r="AYC131" s="1251"/>
      <c r="AYD131" s="1251"/>
      <c r="AYE131" s="1251"/>
      <c r="AYF131" s="1251"/>
      <c r="AYG131" s="1251"/>
      <c r="AYH131" s="1251"/>
      <c r="AYI131" s="1251"/>
      <c r="AYJ131" s="1251"/>
      <c r="AYK131" s="1251"/>
      <c r="AYL131" s="1251"/>
      <c r="AYM131" s="1251"/>
      <c r="AYN131" s="1251"/>
      <c r="AYO131" s="1251"/>
      <c r="AYP131" s="1251"/>
      <c r="AYQ131" s="1251"/>
      <c r="AYR131" s="1251"/>
      <c r="AYS131" s="1251"/>
      <c r="AYT131" s="1251"/>
      <c r="AYU131" s="1251"/>
      <c r="AYV131" s="1251"/>
      <c r="AYW131" s="1251"/>
      <c r="AYX131" s="1251"/>
      <c r="AYY131" s="1251"/>
      <c r="AYZ131" s="1251"/>
      <c r="AZA131" s="1251"/>
      <c r="AZB131" s="1251"/>
      <c r="AZC131" s="1251"/>
      <c r="AZD131" s="1251"/>
      <c r="AZE131" s="1251"/>
      <c r="AZF131" s="1251"/>
      <c r="AZG131" s="1251"/>
      <c r="AZH131" s="1251"/>
      <c r="AZI131" s="1251"/>
      <c r="AZJ131" s="1251"/>
      <c r="AZK131" s="1251"/>
      <c r="AZL131" s="1251"/>
      <c r="AZM131" s="1251"/>
      <c r="AZN131" s="1251"/>
      <c r="AZO131" s="1251"/>
      <c r="AZP131" s="1251"/>
      <c r="AZQ131" s="1251"/>
      <c r="AZR131" s="1251"/>
      <c r="AZS131" s="1251"/>
      <c r="AZT131" s="1251"/>
      <c r="AZU131" s="1251"/>
      <c r="AZV131" s="1251"/>
      <c r="AZW131" s="1251"/>
      <c r="AZX131" s="1251"/>
      <c r="AZY131" s="1251"/>
      <c r="AZZ131" s="1251"/>
      <c r="BAA131" s="1251"/>
      <c r="BAB131" s="1251"/>
      <c r="BAC131" s="1251"/>
      <c r="BAD131" s="1251"/>
      <c r="BAE131" s="1251"/>
      <c r="BAF131" s="1251"/>
      <c r="BAG131" s="1251"/>
      <c r="BAH131" s="1251"/>
      <c r="BAI131" s="1251"/>
      <c r="BAJ131" s="1251"/>
      <c r="BAK131" s="1251"/>
      <c r="BAL131" s="1251"/>
      <c r="BAM131" s="1251"/>
      <c r="BAN131" s="1251"/>
      <c r="BAO131" s="1251"/>
      <c r="BAP131" s="1251"/>
      <c r="BAQ131" s="1251"/>
      <c r="BAR131" s="1251"/>
      <c r="BAS131" s="1251"/>
      <c r="BAT131" s="1251"/>
      <c r="BAU131" s="1251"/>
      <c r="BAV131" s="1251"/>
      <c r="BAW131" s="1251"/>
      <c r="BAX131" s="1251"/>
      <c r="BAY131" s="1251"/>
      <c r="BAZ131" s="1251"/>
      <c r="BBA131" s="1251"/>
      <c r="BBB131" s="1251"/>
      <c r="BBC131" s="1251"/>
      <c r="BBD131" s="1251"/>
      <c r="BBE131" s="1251"/>
      <c r="BBF131" s="1251"/>
      <c r="BBG131" s="1251"/>
      <c r="BBH131" s="1251"/>
      <c r="BBI131" s="1251"/>
      <c r="BBJ131" s="1251"/>
      <c r="BBK131" s="1251"/>
      <c r="BBL131" s="1251"/>
      <c r="BBM131" s="1251"/>
      <c r="BBN131" s="1251"/>
      <c r="BBO131" s="1251"/>
      <c r="BBP131" s="1251"/>
      <c r="BBQ131" s="1251"/>
      <c r="BBR131" s="1251"/>
      <c r="BBS131" s="1251"/>
      <c r="BBT131" s="1251"/>
      <c r="BBU131" s="1251"/>
      <c r="BBV131" s="1251"/>
      <c r="BBW131" s="1251"/>
      <c r="BBX131" s="1251"/>
      <c r="BBY131" s="1251"/>
      <c r="BBZ131" s="1251"/>
      <c r="BCA131" s="1251"/>
      <c r="BCB131" s="1251"/>
      <c r="BCC131" s="1251"/>
      <c r="BCD131" s="1251"/>
      <c r="BCE131" s="1251"/>
      <c r="BCF131" s="1251"/>
      <c r="BCG131" s="1251"/>
      <c r="BCH131" s="1251"/>
      <c r="BCI131" s="1251"/>
      <c r="BCJ131" s="1251"/>
      <c r="BCK131" s="1251"/>
      <c r="BCL131" s="1251"/>
      <c r="BCM131" s="1251"/>
      <c r="BCN131" s="1251"/>
      <c r="BCO131" s="1251"/>
      <c r="BCP131" s="1251"/>
      <c r="BCQ131" s="1251"/>
      <c r="BCR131" s="1251"/>
      <c r="BCS131" s="1251"/>
      <c r="BCT131" s="1251"/>
      <c r="BCU131" s="1251"/>
      <c r="BCV131" s="1251"/>
      <c r="BCW131" s="1251"/>
      <c r="BCX131" s="1251"/>
      <c r="BCY131" s="1251"/>
      <c r="BCZ131" s="1251"/>
      <c r="BDA131" s="1251"/>
      <c r="BDB131" s="1251"/>
      <c r="BDC131" s="1251"/>
      <c r="BDD131" s="1251"/>
      <c r="BDE131" s="1251"/>
      <c r="BDF131" s="1251"/>
      <c r="BDG131" s="1251"/>
      <c r="BDH131" s="1251"/>
      <c r="BDI131" s="1251"/>
      <c r="BDJ131" s="1251"/>
      <c r="BDK131" s="1251"/>
      <c r="BDL131" s="1251"/>
      <c r="BDM131" s="1251"/>
      <c r="BDN131" s="1251"/>
      <c r="BDO131" s="1251"/>
      <c r="BDP131" s="1251"/>
      <c r="BDQ131" s="1251"/>
      <c r="BDR131" s="1251"/>
      <c r="BDS131" s="1251"/>
      <c r="BDT131" s="1251"/>
      <c r="BDU131" s="1251"/>
      <c r="BDV131" s="1251"/>
      <c r="BDW131" s="1251"/>
      <c r="BDX131" s="1251"/>
      <c r="BDY131" s="1251"/>
      <c r="BDZ131" s="1251"/>
      <c r="BEA131" s="1251"/>
      <c r="BEB131" s="1251"/>
      <c r="BEC131" s="1251"/>
      <c r="BED131" s="1251"/>
      <c r="BEE131" s="1251"/>
      <c r="BEF131" s="1251"/>
      <c r="BEG131" s="1251"/>
      <c r="BEH131" s="1251"/>
      <c r="BEI131" s="1251"/>
      <c r="BEJ131" s="1251"/>
      <c r="BEK131" s="1251"/>
      <c r="BEL131" s="1251"/>
      <c r="BEM131" s="1251"/>
      <c r="BEN131" s="1251"/>
      <c r="BEO131" s="1251"/>
      <c r="BEP131" s="1251"/>
      <c r="BEQ131" s="1251"/>
      <c r="BER131" s="1251"/>
      <c r="BES131" s="1251"/>
      <c r="BET131" s="1251"/>
      <c r="BEU131" s="1251"/>
      <c r="BEV131" s="1251"/>
      <c r="BEW131" s="1251"/>
      <c r="BEX131" s="1251"/>
      <c r="BEY131" s="1251"/>
      <c r="BEZ131" s="1251"/>
      <c r="BFA131" s="1251"/>
      <c r="BFB131" s="1251"/>
      <c r="BFC131" s="1251"/>
      <c r="BFD131" s="1251"/>
      <c r="BFE131" s="1251"/>
      <c r="BFF131" s="1251"/>
      <c r="BFG131" s="1251"/>
      <c r="BFH131" s="1251"/>
      <c r="BFI131" s="1251"/>
      <c r="BFJ131" s="1251"/>
      <c r="BFK131" s="1251"/>
      <c r="BFL131" s="1251"/>
      <c r="BFM131" s="1251"/>
      <c r="BFN131" s="1251"/>
      <c r="BFO131" s="1251"/>
      <c r="BFP131" s="1251"/>
      <c r="BFQ131" s="1251"/>
      <c r="BFR131" s="1251"/>
      <c r="BFS131" s="1251"/>
      <c r="BFT131" s="1251"/>
      <c r="BFU131" s="1251"/>
      <c r="BFV131" s="1251"/>
      <c r="BFW131" s="1251"/>
      <c r="BFX131" s="1251"/>
      <c r="BFY131" s="1251"/>
      <c r="BFZ131" s="1251"/>
      <c r="BGA131" s="1251"/>
      <c r="BGB131" s="1251"/>
      <c r="BGC131" s="1251"/>
      <c r="BGD131" s="1251"/>
      <c r="BGE131" s="1251"/>
      <c r="BGF131" s="1251"/>
      <c r="BGG131" s="1251"/>
      <c r="BGH131" s="1251"/>
      <c r="BGI131" s="1251"/>
      <c r="BGJ131" s="1251"/>
      <c r="BGK131" s="1251"/>
      <c r="BGL131" s="1251"/>
      <c r="BGM131" s="1251"/>
      <c r="BGN131" s="1251"/>
      <c r="BGO131" s="1251"/>
      <c r="BGP131" s="1251"/>
      <c r="BGQ131" s="1251"/>
      <c r="BGR131" s="1251"/>
      <c r="BGS131" s="1251"/>
      <c r="BGT131" s="1251"/>
      <c r="BGU131" s="1251"/>
      <c r="BGV131" s="1251"/>
      <c r="BGW131" s="1251"/>
      <c r="BGX131" s="1251"/>
      <c r="BGY131" s="1251"/>
      <c r="BGZ131" s="1251"/>
      <c r="BHA131" s="1251"/>
      <c r="BHB131" s="1251"/>
      <c r="BHC131" s="1251"/>
      <c r="BHD131" s="1251"/>
      <c r="BHE131" s="1251"/>
      <c r="BHF131" s="1251"/>
      <c r="BHG131" s="1251"/>
      <c r="BHH131" s="1251"/>
      <c r="BHI131" s="1251"/>
      <c r="BHJ131" s="1251"/>
      <c r="BHK131" s="1251"/>
      <c r="BHL131" s="1251"/>
      <c r="BHM131" s="1251"/>
      <c r="BHN131" s="1251"/>
      <c r="BHO131" s="1251"/>
      <c r="BHP131" s="1251"/>
      <c r="BHQ131" s="1251"/>
      <c r="BHR131" s="1251"/>
      <c r="BHS131" s="1251"/>
      <c r="BHT131" s="1251"/>
      <c r="BHU131" s="1251"/>
      <c r="BHV131" s="1251"/>
      <c r="BHW131" s="1251"/>
      <c r="BHX131" s="1251"/>
      <c r="BHY131" s="1251"/>
      <c r="BHZ131" s="1251"/>
      <c r="BIA131" s="1251"/>
      <c r="BIB131" s="1251"/>
      <c r="BIC131" s="1251"/>
      <c r="BID131" s="1251"/>
      <c r="BIE131" s="1251"/>
      <c r="BIF131" s="1251"/>
      <c r="BIG131" s="1251"/>
      <c r="BIH131" s="1251"/>
      <c r="BII131" s="1251"/>
      <c r="BIJ131" s="1251"/>
      <c r="BIK131" s="1251"/>
      <c r="BIL131" s="1251"/>
      <c r="BIM131" s="1251"/>
      <c r="BIN131" s="1251"/>
      <c r="BIO131" s="1251"/>
      <c r="BIP131" s="1251"/>
      <c r="BIQ131" s="1251"/>
      <c r="BIR131" s="1251"/>
      <c r="BIS131" s="1251"/>
      <c r="BIT131" s="1251"/>
      <c r="BIU131" s="1251"/>
      <c r="BIV131" s="1251"/>
      <c r="BIW131" s="1251"/>
      <c r="BIX131" s="1251"/>
      <c r="BIY131" s="1251"/>
      <c r="BIZ131" s="1251"/>
      <c r="BJA131" s="1251"/>
      <c r="BJB131" s="1251"/>
      <c r="BJC131" s="1251"/>
      <c r="BJD131" s="1251"/>
      <c r="BJE131" s="1251"/>
      <c r="BJF131" s="1251"/>
      <c r="BJG131" s="1251"/>
      <c r="BJH131" s="1251"/>
      <c r="BJI131" s="1251"/>
      <c r="BJJ131" s="1251"/>
      <c r="BJK131" s="1251"/>
      <c r="BJL131" s="1251"/>
      <c r="BJM131" s="1251"/>
      <c r="BJN131" s="1251"/>
      <c r="BJO131" s="1251"/>
      <c r="BJP131" s="1251"/>
      <c r="BJQ131" s="1251"/>
      <c r="BJR131" s="1251"/>
      <c r="BJS131" s="1251"/>
      <c r="BJT131" s="1251"/>
      <c r="BJU131" s="1251"/>
      <c r="BJV131" s="1251"/>
      <c r="BJW131" s="1251"/>
      <c r="BJX131" s="1251"/>
      <c r="BJY131" s="1251"/>
      <c r="BJZ131" s="1251"/>
      <c r="BKA131" s="1251"/>
      <c r="BKB131" s="1251"/>
      <c r="BKC131" s="1251"/>
      <c r="BKD131" s="1251"/>
      <c r="BKE131" s="1251"/>
      <c r="BKF131" s="1251"/>
      <c r="BKG131" s="1251"/>
      <c r="BKH131" s="1251"/>
      <c r="BKI131" s="1251"/>
      <c r="BKJ131" s="1251"/>
      <c r="BKK131" s="1251"/>
      <c r="BKL131" s="1251"/>
      <c r="BKM131" s="1251"/>
      <c r="BKN131" s="1251"/>
      <c r="BKO131" s="1251"/>
      <c r="BKP131" s="1251"/>
      <c r="BKQ131" s="1251"/>
      <c r="BKR131" s="1251"/>
      <c r="BKS131" s="1251"/>
      <c r="BKT131" s="1251"/>
      <c r="BKU131" s="1251"/>
      <c r="BKV131" s="1251"/>
      <c r="BKW131" s="1251"/>
      <c r="BKX131" s="1251"/>
      <c r="BKY131" s="1251"/>
      <c r="BKZ131" s="1251"/>
      <c r="BLA131" s="1251"/>
      <c r="BLB131" s="1251"/>
      <c r="BLC131" s="1251"/>
      <c r="BLD131" s="1251"/>
      <c r="BLE131" s="1251"/>
      <c r="BLF131" s="1251"/>
      <c r="BLG131" s="1251"/>
      <c r="BLH131" s="1251"/>
      <c r="BLI131" s="1251"/>
      <c r="BLJ131" s="1251"/>
      <c r="BLK131" s="1251"/>
      <c r="BLL131" s="1251"/>
      <c r="BLM131" s="1251"/>
      <c r="BLN131" s="1251"/>
      <c r="BLO131" s="1251"/>
      <c r="BLP131" s="1251"/>
      <c r="BLQ131" s="1251"/>
      <c r="BLR131" s="1251"/>
      <c r="BLS131" s="1251"/>
      <c r="BLT131" s="1251"/>
      <c r="BLU131" s="1251"/>
      <c r="BLV131" s="1251"/>
      <c r="BLW131" s="1251"/>
      <c r="BLX131" s="1251"/>
      <c r="BLY131" s="1251"/>
      <c r="BLZ131" s="1251"/>
      <c r="BMA131" s="1251"/>
      <c r="BMB131" s="1251"/>
      <c r="BMC131" s="1251"/>
      <c r="BMD131" s="1251"/>
      <c r="BME131" s="1251"/>
      <c r="BMF131" s="1251"/>
      <c r="BMG131" s="1251"/>
      <c r="BMH131" s="1251"/>
      <c r="BMI131" s="1251"/>
      <c r="BMJ131" s="1251"/>
      <c r="BMK131" s="1251"/>
      <c r="BML131" s="1251"/>
      <c r="BMM131" s="1251"/>
      <c r="BMN131" s="1251"/>
      <c r="BMO131" s="1251"/>
      <c r="BMP131" s="1251"/>
      <c r="BMQ131" s="1251"/>
      <c r="BMR131" s="1251"/>
      <c r="BMS131" s="1251"/>
      <c r="BMT131" s="1251"/>
      <c r="BMU131" s="1251"/>
      <c r="BMV131" s="1251"/>
      <c r="BMW131" s="1251"/>
      <c r="BMX131" s="1251"/>
      <c r="BMY131" s="1251"/>
      <c r="BMZ131" s="1251"/>
      <c r="BNA131" s="1251"/>
      <c r="BNB131" s="1251"/>
      <c r="BNC131" s="1251"/>
      <c r="BND131" s="1251"/>
      <c r="BNE131" s="1251"/>
      <c r="BNF131" s="1251"/>
      <c r="BNG131" s="1251"/>
      <c r="BNH131" s="1251"/>
      <c r="BNI131" s="1251"/>
      <c r="BNJ131" s="1251"/>
      <c r="BNK131" s="1251"/>
      <c r="BNL131" s="1251"/>
      <c r="BNM131" s="1251"/>
      <c r="BNN131" s="1251"/>
      <c r="BNO131" s="1251"/>
      <c r="BNP131" s="1251"/>
      <c r="BNQ131" s="1251"/>
      <c r="BNR131" s="1251"/>
      <c r="BNS131" s="1251"/>
      <c r="BNT131" s="1251"/>
      <c r="BNU131" s="1251"/>
      <c r="BNV131" s="1251"/>
      <c r="BNW131" s="1251"/>
      <c r="BNX131" s="1251"/>
      <c r="BNY131" s="1251"/>
      <c r="BNZ131" s="1251"/>
      <c r="BOA131" s="1251"/>
      <c r="BOB131" s="1251"/>
      <c r="BOC131" s="1251"/>
      <c r="BOD131" s="1251"/>
      <c r="BOE131" s="1251"/>
      <c r="BOF131" s="1251"/>
      <c r="BOG131" s="1251"/>
      <c r="BOH131" s="1251"/>
      <c r="BOI131" s="1251"/>
      <c r="BOJ131" s="1251"/>
      <c r="BOK131" s="1251"/>
      <c r="BOL131" s="1251"/>
      <c r="BOM131" s="1251"/>
      <c r="BON131" s="1251"/>
      <c r="BOO131" s="1251"/>
      <c r="BOP131" s="1251"/>
      <c r="BOQ131" s="1251"/>
      <c r="BOR131" s="1251"/>
      <c r="BOS131" s="1251"/>
      <c r="BOT131" s="1251"/>
      <c r="BOU131" s="1251"/>
      <c r="BOV131" s="1251"/>
      <c r="BOW131" s="1251"/>
      <c r="BOX131" s="1251"/>
      <c r="BOY131" s="1251"/>
      <c r="BOZ131" s="1251"/>
      <c r="BPA131" s="1251"/>
      <c r="BPB131" s="1251"/>
      <c r="BPC131" s="1251"/>
      <c r="BPD131" s="1251"/>
      <c r="BPE131" s="1251"/>
      <c r="BPF131" s="1251"/>
      <c r="BPG131" s="1251"/>
      <c r="BPH131" s="1251"/>
      <c r="BPI131" s="1251"/>
      <c r="BPJ131" s="1251"/>
      <c r="BPK131" s="1251"/>
      <c r="BPL131" s="1251"/>
      <c r="BPM131" s="1251"/>
      <c r="BPN131" s="1251"/>
      <c r="BPO131" s="1251"/>
      <c r="BPP131" s="1251"/>
      <c r="BPQ131" s="1251"/>
      <c r="BPR131" s="1251"/>
      <c r="BPS131" s="1251"/>
      <c r="BPT131" s="1251"/>
      <c r="BPU131" s="1251"/>
      <c r="BPV131" s="1251"/>
      <c r="BPW131" s="1251"/>
      <c r="BPX131" s="1251"/>
      <c r="BPY131" s="1251"/>
      <c r="BPZ131" s="1251"/>
      <c r="BQA131" s="1251"/>
      <c r="BQB131" s="1251"/>
      <c r="BQC131" s="1251"/>
      <c r="BQD131" s="1251"/>
      <c r="BQE131" s="1251"/>
      <c r="BQF131" s="1251"/>
      <c r="BQG131" s="1251"/>
      <c r="BQH131" s="1251"/>
      <c r="BQI131" s="1251"/>
      <c r="BQJ131" s="1251"/>
      <c r="BQK131" s="1251"/>
      <c r="BQL131" s="1251"/>
      <c r="BQM131" s="1251"/>
      <c r="BQN131" s="1251"/>
      <c r="BQO131" s="1251"/>
      <c r="BQP131" s="1251"/>
      <c r="BQQ131" s="1251"/>
      <c r="BQR131" s="1251"/>
      <c r="BQS131" s="1251"/>
      <c r="BQT131" s="1251"/>
      <c r="BQU131" s="1251"/>
      <c r="BQV131" s="1251"/>
      <c r="BQW131" s="1251"/>
      <c r="BQX131" s="1251"/>
      <c r="BQY131" s="1251"/>
      <c r="BQZ131" s="1251"/>
      <c r="BRA131" s="1251"/>
      <c r="BRB131" s="1251"/>
      <c r="BRC131" s="1251"/>
      <c r="BRD131" s="1251"/>
      <c r="BRE131" s="1251"/>
      <c r="BRF131" s="1251"/>
      <c r="BRG131" s="1251"/>
      <c r="BRH131" s="1251"/>
      <c r="BRI131" s="1251"/>
      <c r="BRJ131" s="1251"/>
      <c r="BRK131" s="1251"/>
      <c r="BRL131" s="1251"/>
      <c r="BRM131" s="1251"/>
      <c r="BRN131" s="1251"/>
      <c r="BRO131" s="1251"/>
      <c r="BRP131" s="1251"/>
      <c r="BRQ131" s="1251"/>
      <c r="BRR131" s="1251"/>
      <c r="BRS131" s="1251"/>
      <c r="BRT131" s="1251"/>
      <c r="BRU131" s="1251"/>
      <c r="BRV131" s="1251"/>
      <c r="BRW131" s="1251"/>
      <c r="BRX131" s="1251"/>
      <c r="BRY131" s="1251"/>
      <c r="BRZ131" s="1251"/>
      <c r="BSA131" s="1251"/>
      <c r="BSB131" s="1251"/>
      <c r="BSC131" s="1251"/>
      <c r="BSD131" s="1251"/>
      <c r="BSE131" s="1251"/>
      <c r="BSF131" s="1251"/>
      <c r="BSG131" s="1251"/>
      <c r="BSH131" s="1251"/>
      <c r="BSI131" s="1251"/>
      <c r="BSJ131" s="1251"/>
      <c r="BSK131" s="1251"/>
      <c r="BSL131" s="1251"/>
      <c r="BSM131" s="1251"/>
      <c r="BSN131" s="1251"/>
      <c r="BSO131" s="1251"/>
      <c r="BSP131" s="1251"/>
      <c r="BSQ131" s="1251"/>
      <c r="BSR131" s="1251"/>
      <c r="BSS131" s="1251"/>
      <c r="BST131" s="1251"/>
      <c r="BSU131" s="1251"/>
      <c r="BSV131" s="1251"/>
      <c r="BSW131" s="1251"/>
      <c r="BSX131" s="1251"/>
      <c r="BSY131" s="1251"/>
      <c r="BSZ131" s="1251"/>
      <c r="BTA131" s="1251"/>
      <c r="BTB131" s="1251"/>
      <c r="BTC131" s="1251"/>
      <c r="BTD131" s="1251"/>
      <c r="BTE131" s="1251"/>
      <c r="BTF131" s="1251"/>
      <c r="BTG131" s="1251"/>
      <c r="BTH131" s="1251"/>
      <c r="BTI131" s="1251"/>
    </row>
    <row r="132" spans="1:1881" s="1261" customFormat="1" ht="114.75" hidden="1" customHeight="1" thickBot="1" x14ac:dyDescent="0.35">
      <c r="A132" s="1248">
        <v>80</v>
      </c>
      <c r="B132" s="659" t="s">
        <v>62</v>
      </c>
      <c r="C132" s="659" t="s">
        <v>1385</v>
      </c>
      <c r="D132" s="24" t="s">
        <v>1386</v>
      </c>
      <c r="E132" s="1249" t="e">
        <f>HLOOKUP($D$2,'2020 Data(H)'!$C$1:$CZ$426,44,FALSE)</f>
        <v>#N/A</v>
      </c>
      <c r="F132" s="1271">
        <v>0</v>
      </c>
      <c r="G132" s="1249" t="e">
        <f>HLOOKUP($D$2,'2020 Data(H)'!C1:BS295,249,FALSE)</f>
        <v>#N/A</v>
      </c>
      <c r="H132" s="740"/>
      <c r="I132" s="760"/>
      <c r="J132" s="1251"/>
      <c r="K132" s="1251"/>
      <c r="L132" s="701"/>
      <c r="M132" s="1251"/>
      <c r="N132" s="1253"/>
      <c r="O132" s="1251"/>
      <c r="P132" s="1251"/>
      <c r="Q132" s="1251"/>
      <c r="R132" s="1251"/>
      <c r="S132" s="1251"/>
      <c r="T132" s="1251"/>
      <c r="U132" s="1251"/>
      <c r="V132" s="1251"/>
      <c r="W132" s="1251"/>
      <c r="X132" s="1251"/>
      <c r="Y132" s="1251"/>
      <c r="Z132" s="1248"/>
      <c r="AA132" s="1248"/>
      <c r="AB132" s="1248"/>
      <c r="AC132" s="1248"/>
      <c r="AD132" s="1248"/>
      <c r="AE132" s="1248"/>
      <c r="AF132" s="1248"/>
      <c r="AG132" s="1248"/>
      <c r="AH132" s="1248"/>
      <c r="AI132" s="1248"/>
      <c r="AJ132" s="1248"/>
      <c r="AK132" s="1248"/>
      <c r="AL132" s="1248"/>
      <c r="AM132" s="1248"/>
      <c r="AN132" s="1248"/>
      <c r="AO132" s="1248"/>
      <c r="AP132" s="1248"/>
      <c r="AQ132" s="1248"/>
      <c r="AR132" s="1248"/>
      <c r="AS132" s="1251"/>
      <c r="AT132" s="1251"/>
      <c r="AU132" s="1251"/>
      <c r="AV132" s="1251"/>
      <c r="AW132" s="1251"/>
      <c r="AX132" s="1251"/>
      <c r="AY132" s="1251"/>
      <c r="AZ132" s="1251"/>
      <c r="BA132" s="1251"/>
      <c r="BB132" s="1251"/>
      <c r="BC132" s="1251"/>
      <c r="BD132" s="1251"/>
      <c r="BE132" s="1251"/>
      <c r="BF132" s="1251"/>
      <c r="BG132" s="1251"/>
      <c r="BH132" s="1251"/>
      <c r="BI132" s="1251"/>
      <c r="BJ132" s="1251"/>
      <c r="BK132" s="1251"/>
      <c r="BL132" s="1251"/>
      <c r="BM132" s="1251"/>
      <c r="BN132" s="1251"/>
      <c r="BO132" s="1251"/>
      <c r="BP132" s="1251"/>
      <c r="BQ132" s="1251"/>
      <c r="BR132" s="1251"/>
      <c r="BS132" s="1251"/>
      <c r="BT132" s="1251"/>
      <c r="BU132" s="1251"/>
      <c r="BV132" s="1251"/>
      <c r="BW132" s="1251"/>
      <c r="BX132" s="1251"/>
      <c r="BY132" s="1251"/>
      <c r="BZ132" s="1251"/>
      <c r="CA132" s="1251"/>
      <c r="CB132" s="1251"/>
      <c r="CC132" s="1251"/>
      <c r="CD132" s="1251"/>
      <c r="CE132" s="1251"/>
      <c r="CF132" s="1251"/>
      <c r="CG132" s="1251"/>
      <c r="CH132" s="1251"/>
      <c r="CI132" s="1251"/>
      <c r="CJ132" s="1251"/>
      <c r="CK132" s="1251"/>
      <c r="CL132" s="1251"/>
      <c r="CM132" s="1251"/>
      <c r="CN132" s="1251"/>
      <c r="CO132" s="1251"/>
      <c r="CP132" s="1251"/>
      <c r="CQ132" s="1251"/>
      <c r="CR132" s="1251"/>
      <c r="CS132" s="1251"/>
      <c r="CT132" s="1251"/>
      <c r="CU132" s="1251"/>
      <c r="CV132" s="1251"/>
      <c r="CW132" s="1251"/>
      <c r="CX132" s="1251"/>
      <c r="CY132" s="1251"/>
      <c r="CZ132" s="1251"/>
      <c r="DA132" s="1251"/>
      <c r="DB132" s="1251"/>
      <c r="DC132" s="1251"/>
      <c r="DD132" s="1251"/>
      <c r="DE132" s="1251"/>
      <c r="DF132" s="1251"/>
      <c r="DG132" s="1251"/>
      <c r="DH132" s="1251"/>
      <c r="DI132" s="1251"/>
      <c r="DJ132" s="1251"/>
      <c r="DK132" s="1251"/>
      <c r="DL132" s="1251"/>
      <c r="DM132" s="1251"/>
      <c r="DN132" s="1251"/>
      <c r="DO132" s="1251"/>
      <c r="DP132" s="1251"/>
      <c r="DQ132" s="1251"/>
      <c r="DR132" s="1251"/>
      <c r="DS132" s="1251"/>
      <c r="DT132" s="1251"/>
      <c r="DU132" s="1251"/>
      <c r="DV132" s="1251"/>
      <c r="DW132" s="1251"/>
      <c r="DX132" s="1251"/>
      <c r="DY132" s="1251"/>
      <c r="DZ132" s="1251"/>
      <c r="EA132" s="1251"/>
      <c r="EB132" s="1251"/>
      <c r="EC132" s="1251"/>
      <c r="ED132" s="1251"/>
      <c r="EE132" s="1251"/>
      <c r="EF132" s="1251"/>
      <c r="EG132" s="1251"/>
      <c r="EH132" s="1251"/>
      <c r="EI132" s="1251"/>
      <c r="EJ132" s="1251"/>
      <c r="EK132" s="1251"/>
      <c r="EL132" s="1251"/>
      <c r="EM132" s="1251"/>
      <c r="EN132" s="1251"/>
      <c r="EO132" s="1251"/>
      <c r="EP132" s="1251"/>
      <c r="EQ132" s="1251"/>
      <c r="ER132" s="1251"/>
      <c r="ES132" s="1251"/>
      <c r="ET132" s="1251"/>
      <c r="EU132" s="1251"/>
      <c r="EV132" s="1251"/>
      <c r="EW132" s="1251"/>
      <c r="EX132" s="1251"/>
      <c r="EY132" s="1251"/>
      <c r="EZ132" s="1251"/>
      <c r="FA132" s="1251"/>
      <c r="FB132" s="1251"/>
      <c r="FC132" s="1251"/>
      <c r="FD132" s="1251"/>
      <c r="FE132" s="1251"/>
      <c r="FF132" s="1251"/>
      <c r="FG132" s="1251"/>
      <c r="FH132" s="1251"/>
      <c r="FI132" s="1251"/>
      <c r="FJ132" s="1251"/>
      <c r="FK132" s="1251"/>
      <c r="FL132" s="1251"/>
      <c r="FM132" s="1251"/>
      <c r="FN132" s="1251"/>
      <c r="FO132" s="1251"/>
      <c r="FP132" s="1251"/>
      <c r="FQ132" s="1251"/>
      <c r="FR132" s="1251"/>
      <c r="FS132" s="1251"/>
      <c r="FT132" s="1251"/>
      <c r="FU132" s="1251"/>
      <c r="FV132" s="1251"/>
      <c r="FW132" s="1251"/>
      <c r="FX132" s="1251"/>
      <c r="FY132" s="1251"/>
      <c r="FZ132" s="1251"/>
      <c r="GA132" s="1251"/>
      <c r="GB132" s="1251"/>
      <c r="GC132" s="1251"/>
      <c r="GD132" s="1251"/>
      <c r="GE132" s="1251"/>
      <c r="GF132" s="1251"/>
      <c r="GG132" s="1251"/>
      <c r="GH132" s="1251"/>
      <c r="GI132" s="1251"/>
      <c r="GJ132" s="1251"/>
      <c r="GK132" s="1251"/>
      <c r="GL132" s="1251"/>
      <c r="GM132" s="1251"/>
      <c r="GN132" s="1251"/>
      <c r="GO132" s="1251"/>
      <c r="GP132" s="1251"/>
      <c r="GQ132" s="1251"/>
      <c r="GR132" s="1251"/>
      <c r="GS132" s="1251"/>
      <c r="GT132" s="1251"/>
      <c r="GU132" s="1251"/>
      <c r="GV132" s="1251"/>
      <c r="GW132" s="1251"/>
      <c r="GX132" s="1251"/>
      <c r="GY132" s="1251"/>
      <c r="GZ132" s="1251"/>
      <c r="HA132" s="1251"/>
      <c r="HB132" s="1251"/>
      <c r="HC132" s="1251"/>
      <c r="HD132" s="1251"/>
      <c r="HE132" s="1251"/>
      <c r="HF132" s="1251"/>
      <c r="HG132" s="1251"/>
      <c r="HH132" s="1251"/>
      <c r="HI132" s="1251"/>
      <c r="HJ132" s="1251"/>
      <c r="HK132" s="1251"/>
      <c r="HL132" s="1251"/>
      <c r="HM132" s="1251"/>
      <c r="HN132" s="1251"/>
      <c r="HO132" s="1251"/>
      <c r="HP132" s="1251"/>
      <c r="HQ132" s="1251"/>
      <c r="HR132" s="1251"/>
      <c r="HS132" s="1251"/>
      <c r="HT132" s="1251"/>
      <c r="HU132" s="1251"/>
      <c r="HV132" s="1251"/>
      <c r="HW132" s="1251"/>
      <c r="HX132" s="1251"/>
      <c r="HY132" s="1251"/>
      <c r="HZ132" s="1251"/>
      <c r="IA132" s="1251"/>
      <c r="IB132" s="1251"/>
      <c r="IC132" s="1251"/>
      <c r="ID132" s="1251"/>
      <c r="IE132" s="1251"/>
      <c r="IF132" s="1251"/>
      <c r="IG132" s="1251"/>
      <c r="IH132" s="1251"/>
      <c r="II132" s="1251"/>
      <c r="IJ132" s="1251"/>
      <c r="IK132" s="1251"/>
      <c r="IL132" s="1251"/>
      <c r="IM132" s="1251"/>
      <c r="IN132" s="1251"/>
      <c r="IO132" s="1251"/>
      <c r="IP132" s="1251"/>
      <c r="IQ132" s="1251"/>
      <c r="IR132" s="1251"/>
      <c r="IS132" s="1251"/>
      <c r="IT132" s="1251"/>
      <c r="IU132" s="1251"/>
      <c r="IV132" s="1251"/>
      <c r="IW132" s="1251"/>
      <c r="IX132" s="1251"/>
      <c r="IY132" s="1251"/>
      <c r="IZ132" s="1251"/>
      <c r="JA132" s="1251"/>
      <c r="JB132" s="1251"/>
      <c r="JC132" s="1251"/>
      <c r="JD132" s="1251"/>
      <c r="JE132" s="1251"/>
      <c r="JF132" s="1251"/>
      <c r="JG132" s="1251"/>
      <c r="JH132" s="1251"/>
      <c r="JI132" s="1251"/>
      <c r="JJ132" s="1251"/>
      <c r="JK132" s="1251"/>
      <c r="JL132" s="1251"/>
      <c r="JM132" s="1251"/>
      <c r="JN132" s="1251"/>
      <c r="JO132" s="1251"/>
      <c r="JP132" s="1251"/>
      <c r="JQ132" s="1251"/>
      <c r="JR132" s="1251"/>
      <c r="JS132" s="1251"/>
      <c r="JT132" s="1251"/>
      <c r="JU132" s="1251"/>
      <c r="JV132" s="1251"/>
      <c r="JW132" s="1251"/>
      <c r="JX132" s="1251"/>
      <c r="JY132" s="1251"/>
      <c r="JZ132" s="1251"/>
      <c r="KA132" s="1251"/>
      <c r="KB132" s="1251"/>
      <c r="KC132" s="1251"/>
      <c r="KD132" s="1251"/>
      <c r="KE132" s="1251"/>
      <c r="KF132" s="1251"/>
      <c r="KG132" s="1251"/>
      <c r="KH132" s="1251"/>
      <c r="KI132" s="1251"/>
      <c r="KJ132" s="1251"/>
      <c r="KK132" s="1251"/>
      <c r="KL132" s="1251"/>
      <c r="KM132" s="1251"/>
      <c r="KN132" s="1251"/>
      <c r="KO132" s="1251"/>
      <c r="KP132" s="1251"/>
      <c r="KQ132" s="1251"/>
      <c r="KR132" s="1251"/>
      <c r="KS132" s="1251"/>
      <c r="KT132" s="1251"/>
      <c r="KU132" s="1251"/>
      <c r="KV132" s="1251"/>
      <c r="KW132" s="1251"/>
      <c r="KX132" s="1251"/>
      <c r="KY132" s="1251"/>
      <c r="KZ132" s="1251"/>
      <c r="LA132" s="1251"/>
      <c r="LB132" s="1251"/>
      <c r="LC132" s="1251"/>
      <c r="LD132" s="1251"/>
      <c r="LE132" s="1251"/>
      <c r="LF132" s="1251"/>
      <c r="LG132" s="1251"/>
      <c r="LH132" s="1251"/>
      <c r="LI132" s="1251"/>
      <c r="LJ132" s="1251"/>
      <c r="LK132" s="1251"/>
      <c r="LL132" s="1251"/>
      <c r="LM132" s="1251"/>
      <c r="LN132" s="1251"/>
      <c r="LO132" s="1251"/>
      <c r="LP132" s="1251"/>
      <c r="LQ132" s="1251"/>
      <c r="LR132" s="1251"/>
      <c r="LS132" s="1251"/>
      <c r="LT132" s="1251"/>
      <c r="LU132" s="1251"/>
      <c r="LV132" s="1251"/>
      <c r="LW132" s="1251"/>
      <c r="LX132" s="1251"/>
      <c r="LY132" s="1251"/>
      <c r="LZ132" s="1251"/>
      <c r="MA132" s="1251"/>
      <c r="MB132" s="1251"/>
      <c r="MC132" s="1251"/>
      <c r="MD132" s="1251"/>
      <c r="ME132" s="1251"/>
      <c r="MF132" s="1251"/>
      <c r="MG132" s="1251"/>
      <c r="MH132" s="1251"/>
      <c r="MI132" s="1251"/>
      <c r="MJ132" s="1251"/>
      <c r="MK132" s="1251"/>
      <c r="ML132" s="1251"/>
      <c r="MM132" s="1251"/>
      <c r="MN132" s="1251"/>
      <c r="MO132" s="1251"/>
      <c r="MP132" s="1251"/>
      <c r="MQ132" s="1251"/>
      <c r="MR132" s="1251"/>
      <c r="MS132" s="1251"/>
      <c r="MT132" s="1251"/>
      <c r="MU132" s="1251"/>
      <c r="MV132" s="1251"/>
      <c r="MW132" s="1251"/>
      <c r="MX132" s="1251"/>
      <c r="MY132" s="1251"/>
      <c r="MZ132" s="1251"/>
      <c r="NA132" s="1251"/>
      <c r="NB132" s="1251"/>
      <c r="NC132" s="1251"/>
      <c r="ND132" s="1251"/>
      <c r="NE132" s="1251"/>
      <c r="NF132" s="1251"/>
      <c r="NG132" s="1251"/>
      <c r="NH132" s="1251"/>
      <c r="NI132" s="1251"/>
      <c r="NJ132" s="1251"/>
      <c r="NK132" s="1251"/>
      <c r="NL132" s="1251"/>
      <c r="NM132" s="1251"/>
      <c r="NN132" s="1251"/>
      <c r="NO132" s="1251"/>
      <c r="NP132" s="1251"/>
      <c r="NQ132" s="1251"/>
      <c r="NR132" s="1251"/>
      <c r="NS132" s="1251"/>
      <c r="NT132" s="1251"/>
      <c r="NU132" s="1251"/>
      <c r="NV132" s="1251"/>
      <c r="NW132" s="1251"/>
      <c r="NX132" s="1251"/>
      <c r="NY132" s="1251"/>
      <c r="NZ132" s="1251"/>
      <c r="OA132" s="1251"/>
      <c r="OB132" s="1251"/>
      <c r="OC132" s="1251"/>
      <c r="OD132" s="1251"/>
      <c r="OE132" s="1251"/>
      <c r="OF132" s="1251"/>
      <c r="OG132" s="1251"/>
      <c r="OH132" s="1251"/>
      <c r="OI132" s="1251"/>
      <c r="OJ132" s="1251"/>
      <c r="OK132" s="1251"/>
      <c r="OL132" s="1251"/>
      <c r="OM132" s="1251"/>
      <c r="ON132" s="1251"/>
      <c r="OO132" s="1251"/>
      <c r="OP132" s="1251"/>
      <c r="OQ132" s="1251"/>
      <c r="OR132" s="1251"/>
      <c r="OS132" s="1251"/>
      <c r="OT132" s="1251"/>
      <c r="OU132" s="1251"/>
      <c r="OV132" s="1251"/>
      <c r="OW132" s="1251"/>
      <c r="OX132" s="1251"/>
      <c r="OY132" s="1251"/>
      <c r="OZ132" s="1251"/>
      <c r="PA132" s="1251"/>
      <c r="PB132" s="1251"/>
      <c r="PC132" s="1251"/>
      <c r="PD132" s="1251"/>
      <c r="PE132" s="1251"/>
      <c r="PF132" s="1251"/>
      <c r="PG132" s="1251"/>
      <c r="PH132" s="1251"/>
      <c r="PI132" s="1251"/>
      <c r="PJ132" s="1251"/>
      <c r="PK132" s="1251"/>
      <c r="PL132" s="1251"/>
      <c r="PM132" s="1251"/>
      <c r="PN132" s="1251"/>
      <c r="PO132" s="1251"/>
      <c r="PP132" s="1251"/>
      <c r="PQ132" s="1251"/>
      <c r="PR132" s="1251"/>
      <c r="PS132" s="1251"/>
      <c r="PT132" s="1251"/>
      <c r="PU132" s="1251"/>
      <c r="PV132" s="1251"/>
      <c r="PW132" s="1251"/>
      <c r="PX132" s="1251"/>
      <c r="PY132" s="1251"/>
      <c r="PZ132" s="1251"/>
      <c r="QA132" s="1251"/>
      <c r="QB132" s="1251"/>
      <c r="QC132" s="1251"/>
      <c r="QD132" s="1251"/>
      <c r="QE132" s="1251"/>
      <c r="QF132" s="1251"/>
      <c r="QG132" s="1251"/>
      <c r="QH132" s="1251"/>
      <c r="QI132" s="1251"/>
      <c r="QJ132" s="1251"/>
      <c r="QK132" s="1251"/>
      <c r="QL132" s="1251"/>
      <c r="QM132" s="1251"/>
      <c r="QN132" s="1251"/>
      <c r="QO132" s="1251"/>
      <c r="QP132" s="1251"/>
      <c r="QQ132" s="1251"/>
      <c r="QR132" s="1251"/>
      <c r="QS132" s="1251"/>
      <c r="QT132" s="1251"/>
      <c r="QU132" s="1251"/>
      <c r="QV132" s="1251"/>
      <c r="QW132" s="1251"/>
      <c r="QX132" s="1251"/>
      <c r="QY132" s="1251"/>
      <c r="QZ132" s="1251"/>
      <c r="RA132" s="1251"/>
      <c r="RB132" s="1251"/>
      <c r="RC132" s="1251"/>
      <c r="RD132" s="1251"/>
      <c r="RE132" s="1251"/>
      <c r="RF132" s="1251"/>
      <c r="RG132" s="1251"/>
      <c r="RH132" s="1251"/>
      <c r="RI132" s="1251"/>
      <c r="RJ132" s="1251"/>
      <c r="RK132" s="1251"/>
      <c r="RL132" s="1251"/>
      <c r="RM132" s="1251"/>
      <c r="RN132" s="1251"/>
      <c r="RO132" s="1251"/>
      <c r="RP132" s="1251"/>
      <c r="RQ132" s="1251"/>
      <c r="RR132" s="1251"/>
      <c r="RS132" s="1251"/>
      <c r="RT132" s="1251"/>
      <c r="RU132" s="1251"/>
      <c r="RV132" s="1251"/>
      <c r="RW132" s="1251"/>
      <c r="RX132" s="1251"/>
      <c r="RY132" s="1251"/>
      <c r="RZ132" s="1251"/>
      <c r="SA132" s="1251"/>
      <c r="SB132" s="1251"/>
      <c r="SC132" s="1251"/>
      <c r="SD132" s="1251"/>
      <c r="SE132" s="1251"/>
      <c r="SF132" s="1251"/>
      <c r="SG132" s="1251"/>
      <c r="SH132" s="1251"/>
      <c r="SI132" s="1251"/>
      <c r="SJ132" s="1251"/>
      <c r="SK132" s="1251"/>
      <c r="SL132" s="1251"/>
      <c r="SM132" s="1251"/>
      <c r="SN132" s="1251"/>
      <c r="SO132" s="1251"/>
      <c r="SP132" s="1251"/>
      <c r="SQ132" s="1251"/>
      <c r="SR132" s="1251"/>
      <c r="SS132" s="1251"/>
      <c r="ST132" s="1251"/>
      <c r="SU132" s="1251"/>
      <c r="SV132" s="1251"/>
      <c r="SW132" s="1251"/>
      <c r="SX132" s="1251"/>
      <c r="SY132" s="1251"/>
      <c r="SZ132" s="1251"/>
      <c r="TA132" s="1251"/>
      <c r="TB132" s="1251"/>
      <c r="TC132" s="1251"/>
      <c r="TD132" s="1251"/>
      <c r="TE132" s="1251"/>
      <c r="TF132" s="1251"/>
      <c r="TG132" s="1251"/>
      <c r="TH132" s="1251"/>
      <c r="TI132" s="1251"/>
      <c r="TJ132" s="1251"/>
      <c r="TK132" s="1251"/>
      <c r="TL132" s="1251"/>
      <c r="TM132" s="1251"/>
      <c r="TN132" s="1251"/>
      <c r="TO132" s="1251"/>
      <c r="TP132" s="1251"/>
      <c r="TQ132" s="1251"/>
      <c r="TR132" s="1251"/>
      <c r="TS132" s="1251"/>
      <c r="TT132" s="1251"/>
      <c r="TU132" s="1251"/>
      <c r="TV132" s="1251"/>
      <c r="TW132" s="1251"/>
      <c r="TX132" s="1251"/>
      <c r="TY132" s="1251"/>
      <c r="TZ132" s="1251"/>
      <c r="UA132" s="1251"/>
      <c r="UB132" s="1251"/>
      <c r="UC132" s="1251"/>
      <c r="UD132" s="1251"/>
      <c r="UE132" s="1251"/>
      <c r="UF132" s="1251"/>
      <c r="UG132" s="1251"/>
      <c r="UH132" s="1251"/>
      <c r="UI132" s="1251"/>
      <c r="UJ132" s="1251"/>
      <c r="UK132" s="1251"/>
      <c r="UL132" s="1251"/>
      <c r="UM132" s="1251"/>
      <c r="UN132" s="1251"/>
      <c r="UO132" s="1251"/>
      <c r="UP132" s="1251"/>
      <c r="UQ132" s="1251"/>
      <c r="UR132" s="1251"/>
      <c r="US132" s="1251"/>
      <c r="UT132" s="1251"/>
      <c r="UU132" s="1251"/>
      <c r="UV132" s="1251"/>
      <c r="UW132" s="1251"/>
      <c r="UX132" s="1251"/>
      <c r="UY132" s="1251"/>
      <c r="UZ132" s="1251"/>
      <c r="VA132" s="1251"/>
      <c r="VB132" s="1251"/>
      <c r="VC132" s="1251"/>
      <c r="VD132" s="1251"/>
      <c r="VE132" s="1251"/>
      <c r="VF132" s="1251"/>
      <c r="VG132" s="1251"/>
      <c r="VH132" s="1251"/>
      <c r="VI132" s="1251"/>
      <c r="VJ132" s="1251"/>
      <c r="VK132" s="1251"/>
      <c r="VL132" s="1251"/>
      <c r="VM132" s="1251"/>
      <c r="VN132" s="1251"/>
      <c r="VO132" s="1251"/>
      <c r="VP132" s="1251"/>
      <c r="VQ132" s="1251"/>
      <c r="VR132" s="1251"/>
      <c r="VS132" s="1251"/>
      <c r="VT132" s="1251"/>
      <c r="VU132" s="1251"/>
      <c r="VV132" s="1251"/>
      <c r="VW132" s="1251"/>
      <c r="VX132" s="1251"/>
      <c r="VY132" s="1251"/>
      <c r="VZ132" s="1251"/>
      <c r="WA132" s="1251"/>
      <c r="WB132" s="1251"/>
      <c r="WC132" s="1251"/>
      <c r="WD132" s="1251"/>
      <c r="WE132" s="1251"/>
      <c r="WF132" s="1251"/>
      <c r="WG132" s="1251"/>
      <c r="WH132" s="1251"/>
      <c r="WI132" s="1251"/>
      <c r="WJ132" s="1251"/>
      <c r="WK132" s="1251"/>
      <c r="WL132" s="1251"/>
      <c r="WM132" s="1251"/>
      <c r="WN132" s="1251"/>
      <c r="WO132" s="1251"/>
      <c r="WP132" s="1251"/>
      <c r="WQ132" s="1251"/>
      <c r="WR132" s="1251"/>
      <c r="WS132" s="1251"/>
      <c r="WT132" s="1251"/>
      <c r="WU132" s="1251"/>
      <c r="WV132" s="1251"/>
      <c r="WW132" s="1251"/>
      <c r="WX132" s="1251"/>
      <c r="WY132" s="1251"/>
      <c r="WZ132" s="1251"/>
      <c r="XA132" s="1251"/>
      <c r="XB132" s="1251"/>
      <c r="XC132" s="1251"/>
      <c r="XD132" s="1251"/>
      <c r="XE132" s="1251"/>
      <c r="XF132" s="1251"/>
      <c r="XG132" s="1251"/>
      <c r="XH132" s="1251"/>
      <c r="XI132" s="1251"/>
      <c r="XJ132" s="1251"/>
      <c r="XK132" s="1251"/>
      <c r="XL132" s="1251"/>
      <c r="XM132" s="1251"/>
      <c r="XN132" s="1251"/>
      <c r="XO132" s="1251"/>
      <c r="XP132" s="1251"/>
      <c r="XQ132" s="1251"/>
      <c r="XR132" s="1251"/>
      <c r="XS132" s="1251"/>
      <c r="XT132" s="1251"/>
      <c r="XU132" s="1251"/>
      <c r="XV132" s="1251"/>
      <c r="XW132" s="1251"/>
      <c r="XX132" s="1251"/>
      <c r="XY132" s="1251"/>
      <c r="XZ132" s="1251"/>
      <c r="YA132" s="1251"/>
      <c r="YB132" s="1251"/>
      <c r="YC132" s="1251"/>
      <c r="YD132" s="1251"/>
      <c r="YE132" s="1251"/>
      <c r="YF132" s="1251"/>
      <c r="YG132" s="1251"/>
      <c r="YH132" s="1251"/>
      <c r="YI132" s="1251"/>
      <c r="YJ132" s="1251"/>
      <c r="YK132" s="1251"/>
      <c r="YL132" s="1251"/>
      <c r="YM132" s="1251"/>
      <c r="YN132" s="1251"/>
      <c r="YO132" s="1251"/>
      <c r="YP132" s="1251"/>
      <c r="YQ132" s="1251"/>
      <c r="YR132" s="1251"/>
      <c r="YS132" s="1251"/>
      <c r="YT132" s="1251"/>
      <c r="YU132" s="1251"/>
      <c r="YV132" s="1251"/>
      <c r="YW132" s="1251"/>
      <c r="YX132" s="1251"/>
      <c r="YY132" s="1251"/>
      <c r="YZ132" s="1251"/>
      <c r="ZA132" s="1251"/>
      <c r="ZB132" s="1251"/>
      <c r="ZC132" s="1251"/>
      <c r="ZD132" s="1251"/>
      <c r="ZE132" s="1251"/>
      <c r="ZF132" s="1251"/>
      <c r="ZG132" s="1251"/>
      <c r="ZH132" s="1251"/>
      <c r="ZI132" s="1251"/>
      <c r="ZJ132" s="1251"/>
      <c r="ZK132" s="1251"/>
      <c r="ZL132" s="1251"/>
      <c r="ZM132" s="1251"/>
      <c r="ZN132" s="1251"/>
      <c r="ZO132" s="1251"/>
      <c r="ZP132" s="1251"/>
      <c r="ZQ132" s="1251"/>
      <c r="ZR132" s="1251"/>
      <c r="ZS132" s="1251"/>
      <c r="ZT132" s="1251"/>
      <c r="ZU132" s="1251"/>
      <c r="ZV132" s="1251"/>
      <c r="ZW132" s="1251"/>
      <c r="ZX132" s="1251"/>
      <c r="ZY132" s="1251"/>
      <c r="ZZ132" s="1251"/>
      <c r="AAA132" s="1251"/>
      <c r="AAB132" s="1251"/>
      <c r="AAC132" s="1251"/>
      <c r="AAD132" s="1251"/>
      <c r="AAE132" s="1251"/>
      <c r="AAF132" s="1251"/>
      <c r="AAG132" s="1251"/>
      <c r="AAH132" s="1251"/>
      <c r="AAI132" s="1251"/>
      <c r="AAJ132" s="1251"/>
      <c r="AAK132" s="1251"/>
      <c r="AAL132" s="1251"/>
      <c r="AAM132" s="1251"/>
      <c r="AAN132" s="1251"/>
      <c r="AAO132" s="1251"/>
      <c r="AAP132" s="1251"/>
      <c r="AAQ132" s="1251"/>
      <c r="AAR132" s="1251"/>
      <c r="AAS132" s="1251"/>
      <c r="AAT132" s="1251"/>
      <c r="AAU132" s="1251"/>
      <c r="AAV132" s="1251"/>
      <c r="AAW132" s="1251"/>
      <c r="AAX132" s="1251"/>
      <c r="AAY132" s="1251"/>
      <c r="AAZ132" s="1251"/>
      <c r="ABA132" s="1251"/>
      <c r="ABB132" s="1251"/>
      <c r="ABC132" s="1251"/>
      <c r="ABD132" s="1251"/>
      <c r="ABE132" s="1251"/>
      <c r="ABF132" s="1251"/>
      <c r="ABG132" s="1251"/>
      <c r="ABH132" s="1251"/>
      <c r="ABI132" s="1251"/>
      <c r="ABJ132" s="1251"/>
      <c r="ABK132" s="1251"/>
      <c r="ABL132" s="1251"/>
      <c r="ABM132" s="1251"/>
      <c r="ABN132" s="1251"/>
      <c r="ABO132" s="1251"/>
      <c r="ABP132" s="1251"/>
      <c r="ABQ132" s="1251"/>
      <c r="ABR132" s="1251"/>
      <c r="ABS132" s="1251"/>
      <c r="ABT132" s="1251"/>
      <c r="ABU132" s="1251"/>
      <c r="ABV132" s="1251"/>
      <c r="ABW132" s="1251"/>
      <c r="ABX132" s="1251"/>
      <c r="ABY132" s="1251"/>
      <c r="ABZ132" s="1251"/>
      <c r="ACA132" s="1251"/>
      <c r="ACB132" s="1251"/>
      <c r="ACC132" s="1251"/>
      <c r="ACD132" s="1251"/>
      <c r="ACE132" s="1251"/>
      <c r="ACF132" s="1251"/>
      <c r="ACG132" s="1251"/>
      <c r="ACH132" s="1251"/>
      <c r="ACI132" s="1251"/>
      <c r="ACJ132" s="1251"/>
      <c r="ACK132" s="1251"/>
      <c r="ACL132" s="1251"/>
      <c r="ACM132" s="1251"/>
      <c r="ACN132" s="1251"/>
      <c r="ACO132" s="1251"/>
      <c r="ACP132" s="1251"/>
      <c r="ACQ132" s="1251"/>
      <c r="ACR132" s="1251"/>
      <c r="ACS132" s="1251"/>
      <c r="ACT132" s="1251"/>
      <c r="ACU132" s="1251"/>
      <c r="ACV132" s="1251"/>
      <c r="ACW132" s="1251"/>
      <c r="ACX132" s="1251"/>
      <c r="ACY132" s="1251"/>
      <c r="ACZ132" s="1251"/>
      <c r="ADA132" s="1251"/>
      <c r="ADB132" s="1251"/>
      <c r="ADC132" s="1251"/>
      <c r="ADD132" s="1251"/>
      <c r="ADE132" s="1251"/>
      <c r="ADF132" s="1251"/>
      <c r="ADG132" s="1251"/>
      <c r="ADH132" s="1251"/>
      <c r="ADI132" s="1251"/>
      <c r="ADJ132" s="1251"/>
      <c r="ADK132" s="1251"/>
      <c r="ADL132" s="1251"/>
      <c r="ADM132" s="1251"/>
      <c r="ADN132" s="1251"/>
      <c r="ADO132" s="1251"/>
      <c r="ADP132" s="1251"/>
      <c r="ADQ132" s="1251"/>
      <c r="ADR132" s="1251"/>
      <c r="ADS132" s="1251"/>
      <c r="ADT132" s="1251"/>
      <c r="ADU132" s="1251"/>
      <c r="ADV132" s="1251"/>
      <c r="ADW132" s="1251"/>
      <c r="ADX132" s="1251"/>
      <c r="ADY132" s="1251"/>
      <c r="ADZ132" s="1251"/>
      <c r="AEA132" s="1251"/>
      <c r="AEB132" s="1251"/>
      <c r="AEC132" s="1251"/>
      <c r="AED132" s="1251"/>
      <c r="AEE132" s="1251"/>
      <c r="AEF132" s="1251"/>
      <c r="AEG132" s="1251"/>
      <c r="AEH132" s="1251"/>
      <c r="AEI132" s="1251"/>
      <c r="AEJ132" s="1251"/>
      <c r="AEK132" s="1251"/>
      <c r="AEL132" s="1251"/>
      <c r="AEM132" s="1251"/>
      <c r="AEN132" s="1251"/>
      <c r="AEO132" s="1251"/>
      <c r="AEP132" s="1251"/>
      <c r="AEQ132" s="1251"/>
      <c r="AER132" s="1251"/>
      <c r="AES132" s="1251"/>
      <c r="AET132" s="1251"/>
      <c r="AEU132" s="1251"/>
      <c r="AEV132" s="1251"/>
      <c r="AEW132" s="1251"/>
      <c r="AEX132" s="1251"/>
      <c r="AEY132" s="1251"/>
      <c r="AEZ132" s="1251"/>
      <c r="AFA132" s="1251"/>
      <c r="AFB132" s="1251"/>
      <c r="AFC132" s="1251"/>
      <c r="AFD132" s="1251"/>
      <c r="AFE132" s="1251"/>
      <c r="AFF132" s="1251"/>
      <c r="AFG132" s="1251"/>
      <c r="AFH132" s="1251"/>
      <c r="AFI132" s="1251"/>
      <c r="AFJ132" s="1251"/>
      <c r="AFK132" s="1251"/>
      <c r="AFL132" s="1251"/>
      <c r="AFM132" s="1251"/>
      <c r="AFN132" s="1251"/>
      <c r="AFO132" s="1251"/>
      <c r="AFP132" s="1251"/>
      <c r="AFQ132" s="1251"/>
      <c r="AFR132" s="1251"/>
      <c r="AFS132" s="1251"/>
      <c r="AFT132" s="1251"/>
      <c r="AFU132" s="1251"/>
      <c r="AFV132" s="1251"/>
      <c r="AFW132" s="1251"/>
      <c r="AFX132" s="1251"/>
      <c r="AFY132" s="1251"/>
      <c r="AFZ132" s="1251"/>
      <c r="AGA132" s="1251"/>
      <c r="AGB132" s="1251"/>
      <c r="AGC132" s="1251"/>
      <c r="AGD132" s="1251"/>
      <c r="AGE132" s="1251"/>
      <c r="AGF132" s="1251"/>
      <c r="AGG132" s="1251"/>
      <c r="AGH132" s="1251"/>
      <c r="AGI132" s="1251"/>
      <c r="AGJ132" s="1251"/>
      <c r="AGK132" s="1251"/>
      <c r="AGL132" s="1251"/>
      <c r="AGM132" s="1251"/>
      <c r="AGN132" s="1251"/>
      <c r="AGO132" s="1251"/>
      <c r="AGP132" s="1251"/>
      <c r="AGQ132" s="1251"/>
      <c r="AGR132" s="1251"/>
      <c r="AGS132" s="1251"/>
      <c r="AGT132" s="1251"/>
      <c r="AGU132" s="1251"/>
      <c r="AGV132" s="1251"/>
      <c r="AGW132" s="1251"/>
      <c r="AGX132" s="1251"/>
      <c r="AGY132" s="1251"/>
      <c r="AGZ132" s="1251"/>
      <c r="AHA132" s="1251"/>
      <c r="AHB132" s="1251"/>
      <c r="AHC132" s="1251"/>
      <c r="AHD132" s="1251"/>
      <c r="AHE132" s="1251"/>
      <c r="AHF132" s="1251"/>
      <c r="AHG132" s="1251"/>
      <c r="AHH132" s="1251"/>
      <c r="AHI132" s="1251"/>
      <c r="AHJ132" s="1251"/>
      <c r="AHK132" s="1251"/>
      <c r="AHL132" s="1251"/>
      <c r="AHM132" s="1251"/>
      <c r="AHN132" s="1251"/>
      <c r="AHO132" s="1251"/>
      <c r="AHP132" s="1251"/>
      <c r="AHQ132" s="1251"/>
      <c r="AHR132" s="1251"/>
      <c r="AHS132" s="1251"/>
      <c r="AHT132" s="1251"/>
      <c r="AHU132" s="1251"/>
      <c r="AHV132" s="1251"/>
      <c r="AHW132" s="1251"/>
      <c r="AHX132" s="1251"/>
      <c r="AHY132" s="1251"/>
      <c r="AHZ132" s="1251"/>
      <c r="AIA132" s="1251"/>
      <c r="AIB132" s="1251"/>
      <c r="AIC132" s="1251"/>
      <c r="AID132" s="1251"/>
      <c r="AIE132" s="1251"/>
      <c r="AIF132" s="1251"/>
      <c r="AIG132" s="1251"/>
      <c r="AIH132" s="1251"/>
      <c r="AII132" s="1251"/>
      <c r="AIJ132" s="1251"/>
      <c r="AIK132" s="1251"/>
      <c r="AIL132" s="1251"/>
      <c r="AIM132" s="1251"/>
      <c r="AIN132" s="1251"/>
      <c r="AIO132" s="1251"/>
      <c r="AIP132" s="1251"/>
      <c r="AIQ132" s="1251"/>
      <c r="AIR132" s="1251"/>
      <c r="AIS132" s="1251"/>
      <c r="AIT132" s="1251"/>
      <c r="AIU132" s="1251"/>
      <c r="AIV132" s="1251"/>
      <c r="AIW132" s="1251"/>
      <c r="AIX132" s="1251"/>
      <c r="AIY132" s="1251"/>
      <c r="AIZ132" s="1251"/>
      <c r="AJA132" s="1251"/>
      <c r="AJB132" s="1251"/>
      <c r="AJC132" s="1251"/>
      <c r="AJD132" s="1251"/>
      <c r="AJE132" s="1251"/>
      <c r="AJF132" s="1251"/>
      <c r="AJG132" s="1251"/>
      <c r="AJH132" s="1251"/>
      <c r="AJI132" s="1251"/>
      <c r="AJJ132" s="1251"/>
      <c r="AJK132" s="1251"/>
      <c r="AJL132" s="1251"/>
      <c r="AJM132" s="1251"/>
      <c r="AJN132" s="1251"/>
      <c r="AJO132" s="1251"/>
      <c r="AJP132" s="1251"/>
      <c r="AJQ132" s="1251"/>
      <c r="AJR132" s="1251"/>
      <c r="AJS132" s="1251"/>
      <c r="AJT132" s="1251"/>
      <c r="AJU132" s="1251"/>
      <c r="AJV132" s="1251"/>
      <c r="AJW132" s="1251"/>
      <c r="AJX132" s="1251"/>
      <c r="AJY132" s="1251"/>
      <c r="AJZ132" s="1251"/>
      <c r="AKA132" s="1251"/>
      <c r="AKB132" s="1251"/>
      <c r="AKC132" s="1251"/>
      <c r="AKD132" s="1251"/>
      <c r="AKE132" s="1251"/>
      <c r="AKF132" s="1251"/>
      <c r="AKG132" s="1251"/>
      <c r="AKH132" s="1251"/>
      <c r="AKI132" s="1251"/>
      <c r="AKJ132" s="1251"/>
      <c r="AKK132" s="1251"/>
      <c r="AKL132" s="1251"/>
      <c r="AKM132" s="1251"/>
      <c r="AKN132" s="1251"/>
      <c r="AKO132" s="1251"/>
      <c r="AKP132" s="1251"/>
      <c r="AKQ132" s="1251"/>
      <c r="AKR132" s="1251"/>
      <c r="AKS132" s="1251"/>
      <c r="AKT132" s="1251"/>
      <c r="AKU132" s="1251"/>
      <c r="AKV132" s="1251"/>
      <c r="AKW132" s="1251"/>
      <c r="AKX132" s="1251"/>
      <c r="AKY132" s="1251"/>
      <c r="AKZ132" s="1251"/>
      <c r="ALA132" s="1251"/>
      <c r="ALB132" s="1251"/>
      <c r="ALC132" s="1251"/>
      <c r="ALD132" s="1251"/>
      <c r="ALE132" s="1251"/>
      <c r="ALF132" s="1251"/>
      <c r="ALG132" s="1251"/>
      <c r="ALH132" s="1251"/>
      <c r="ALI132" s="1251"/>
      <c r="ALJ132" s="1251"/>
      <c r="ALK132" s="1251"/>
      <c r="ALL132" s="1251"/>
      <c r="ALM132" s="1251"/>
      <c r="ALN132" s="1251"/>
      <c r="ALO132" s="1251"/>
      <c r="ALP132" s="1251"/>
      <c r="ALQ132" s="1251"/>
      <c r="ALR132" s="1251"/>
      <c r="ALS132" s="1251"/>
      <c r="ALT132" s="1251"/>
      <c r="ALU132" s="1251"/>
      <c r="ALV132" s="1251"/>
      <c r="ALW132" s="1251"/>
      <c r="ALX132" s="1251"/>
      <c r="ALY132" s="1251"/>
      <c r="ALZ132" s="1251"/>
      <c r="AMA132" s="1251"/>
      <c r="AMB132" s="1251"/>
      <c r="AMC132" s="1251"/>
      <c r="AMD132" s="1251"/>
      <c r="AME132" s="1251"/>
      <c r="AMF132" s="1251"/>
      <c r="AMG132" s="1251"/>
      <c r="AMH132" s="1251"/>
      <c r="AMI132" s="1251"/>
      <c r="AMJ132" s="1251"/>
      <c r="AMK132" s="1251"/>
      <c r="AML132" s="1251"/>
      <c r="AMM132" s="1251"/>
      <c r="AMN132" s="1251"/>
      <c r="AMO132" s="1251"/>
      <c r="AMP132" s="1251"/>
      <c r="AMQ132" s="1251"/>
      <c r="AMR132" s="1251"/>
      <c r="AMS132" s="1251"/>
      <c r="AMT132" s="1251"/>
      <c r="AMU132" s="1251"/>
      <c r="AMV132" s="1251"/>
      <c r="AMW132" s="1251"/>
      <c r="AMX132" s="1251"/>
      <c r="AMY132" s="1251"/>
      <c r="AMZ132" s="1251"/>
      <c r="ANA132" s="1251"/>
      <c r="ANB132" s="1251"/>
      <c r="ANC132" s="1251"/>
      <c r="AND132" s="1251"/>
      <c r="ANE132" s="1251"/>
      <c r="ANF132" s="1251"/>
      <c r="ANG132" s="1251"/>
      <c r="ANH132" s="1251"/>
      <c r="ANI132" s="1251"/>
      <c r="ANJ132" s="1251"/>
      <c r="ANK132" s="1251"/>
      <c r="ANL132" s="1251"/>
      <c r="ANM132" s="1251"/>
      <c r="ANN132" s="1251"/>
      <c r="ANO132" s="1251"/>
      <c r="ANP132" s="1251"/>
      <c r="ANQ132" s="1251"/>
      <c r="ANR132" s="1251"/>
      <c r="ANS132" s="1251"/>
      <c r="ANT132" s="1251"/>
      <c r="ANU132" s="1251"/>
      <c r="ANV132" s="1251"/>
      <c r="ANW132" s="1251"/>
      <c r="ANX132" s="1251"/>
      <c r="ANY132" s="1251"/>
      <c r="ANZ132" s="1251"/>
      <c r="AOA132" s="1251"/>
      <c r="AOB132" s="1251"/>
      <c r="AOC132" s="1251"/>
      <c r="AOD132" s="1251"/>
      <c r="AOE132" s="1251"/>
      <c r="AOF132" s="1251"/>
      <c r="AOG132" s="1251"/>
      <c r="AOH132" s="1251"/>
      <c r="AOI132" s="1251"/>
      <c r="AOJ132" s="1251"/>
      <c r="AOK132" s="1251"/>
      <c r="AOL132" s="1251"/>
      <c r="AOM132" s="1251"/>
      <c r="AON132" s="1251"/>
      <c r="AOO132" s="1251"/>
      <c r="AOP132" s="1251"/>
      <c r="AOQ132" s="1251"/>
      <c r="AOR132" s="1251"/>
      <c r="AOS132" s="1251"/>
      <c r="AOT132" s="1251"/>
      <c r="AOU132" s="1251"/>
      <c r="AOV132" s="1251"/>
      <c r="AOW132" s="1251"/>
      <c r="AOX132" s="1251"/>
      <c r="AOY132" s="1251"/>
      <c r="AOZ132" s="1251"/>
      <c r="APA132" s="1251"/>
      <c r="APB132" s="1251"/>
      <c r="APC132" s="1251"/>
      <c r="APD132" s="1251"/>
      <c r="APE132" s="1251"/>
      <c r="APF132" s="1251"/>
      <c r="APG132" s="1251"/>
      <c r="APH132" s="1251"/>
      <c r="API132" s="1251"/>
      <c r="APJ132" s="1251"/>
      <c r="APK132" s="1251"/>
      <c r="APL132" s="1251"/>
      <c r="APM132" s="1251"/>
      <c r="APN132" s="1251"/>
      <c r="APO132" s="1251"/>
      <c r="APP132" s="1251"/>
      <c r="APQ132" s="1251"/>
      <c r="APR132" s="1251"/>
      <c r="APS132" s="1251"/>
      <c r="APT132" s="1251"/>
      <c r="APU132" s="1251"/>
      <c r="APV132" s="1251"/>
      <c r="APW132" s="1251"/>
      <c r="APX132" s="1251"/>
      <c r="APY132" s="1251"/>
      <c r="APZ132" s="1251"/>
      <c r="AQA132" s="1251"/>
      <c r="AQB132" s="1251"/>
      <c r="AQC132" s="1251"/>
      <c r="AQD132" s="1251"/>
      <c r="AQE132" s="1251"/>
      <c r="AQF132" s="1251"/>
      <c r="AQG132" s="1251"/>
      <c r="AQH132" s="1251"/>
      <c r="AQI132" s="1251"/>
      <c r="AQJ132" s="1251"/>
      <c r="AQK132" s="1251"/>
      <c r="AQL132" s="1251"/>
      <c r="AQM132" s="1251"/>
      <c r="AQN132" s="1251"/>
      <c r="AQO132" s="1251"/>
      <c r="AQP132" s="1251"/>
      <c r="AQQ132" s="1251"/>
      <c r="AQR132" s="1251"/>
      <c r="AQS132" s="1251"/>
      <c r="AQT132" s="1251"/>
      <c r="AQU132" s="1251"/>
      <c r="AQV132" s="1251"/>
      <c r="AQW132" s="1251"/>
      <c r="AQX132" s="1251"/>
      <c r="AQY132" s="1251"/>
      <c r="AQZ132" s="1251"/>
      <c r="ARA132" s="1251"/>
      <c r="ARB132" s="1251"/>
      <c r="ARC132" s="1251"/>
      <c r="ARD132" s="1251"/>
      <c r="ARE132" s="1251"/>
      <c r="ARF132" s="1251"/>
      <c r="ARG132" s="1251"/>
      <c r="ARH132" s="1251"/>
      <c r="ARI132" s="1251"/>
      <c r="ARJ132" s="1251"/>
      <c r="ARK132" s="1251"/>
      <c r="ARL132" s="1251"/>
      <c r="ARM132" s="1251"/>
      <c r="ARN132" s="1251"/>
      <c r="ARO132" s="1251"/>
      <c r="ARP132" s="1251"/>
      <c r="ARQ132" s="1251"/>
      <c r="ARR132" s="1251"/>
      <c r="ARS132" s="1251"/>
      <c r="ART132" s="1251"/>
      <c r="ARU132" s="1251"/>
      <c r="ARV132" s="1251"/>
      <c r="ARW132" s="1251"/>
      <c r="ARX132" s="1251"/>
      <c r="ARY132" s="1251"/>
      <c r="ARZ132" s="1251"/>
      <c r="ASA132" s="1251"/>
      <c r="ASB132" s="1251"/>
      <c r="ASC132" s="1251"/>
      <c r="ASD132" s="1251"/>
      <c r="ASE132" s="1251"/>
      <c r="ASF132" s="1251"/>
      <c r="ASG132" s="1251"/>
      <c r="ASH132" s="1251"/>
      <c r="ASI132" s="1251"/>
      <c r="ASJ132" s="1251"/>
      <c r="ASK132" s="1251"/>
      <c r="ASL132" s="1251"/>
      <c r="ASM132" s="1251"/>
      <c r="ASN132" s="1251"/>
      <c r="ASO132" s="1251"/>
      <c r="ASP132" s="1251"/>
      <c r="ASQ132" s="1251"/>
      <c r="ASR132" s="1251"/>
      <c r="ASS132" s="1251"/>
      <c r="AST132" s="1251"/>
      <c r="ASU132" s="1251"/>
      <c r="ASV132" s="1251"/>
      <c r="ASW132" s="1251"/>
      <c r="ASX132" s="1251"/>
      <c r="ASY132" s="1251"/>
      <c r="ASZ132" s="1251"/>
      <c r="ATA132" s="1251"/>
      <c r="ATB132" s="1251"/>
      <c r="ATC132" s="1251"/>
      <c r="ATD132" s="1251"/>
      <c r="ATE132" s="1251"/>
      <c r="ATF132" s="1251"/>
      <c r="ATG132" s="1251"/>
      <c r="ATH132" s="1251"/>
      <c r="ATI132" s="1251"/>
      <c r="ATJ132" s="1251"/>
      <c r="ATK132" s="1251"/>
      <c r="ATL132" s="1251"/>
      <c r="ATM132" s="1251"/>
      <c r="ATN132" s="1251"/>
      <c r="ATO132" s="1251"/>
      <c r="ATP132" s="1251"/>
      <c r="ATQ132" s="1251"/>
      <c r="ATR132" s="1251"/>
      <c r="ATS132" s="1251"/>
      <c r="ATT132" s="1251"/>
      <c r="ATU132" s="1251"/>
      <c r="ATV132" s="1251"/>
      <c r="ATW132" s="1251"/>
      <c r="ATX132" s="1251"/>
      <c r="ATY132" s="1251"/>
      <c r="ATZ132" s="1251"/>
      <c r="AUA132" s="1251"/>
      <c r="AUB132" s="1251"/>
      <c r="AUC132" s="1251"/>
      <c r="AUD132" s="1251"/>
      <c r="AUE132" s="1251"/>
      <c r="AUF132" s="1251"/>
      <c r="AUG132" s="1251"/>
      <c r="AUH132" s="1251"/>
      <c r="AUI132" s="1251"/>
      <c r="AUJ132" s="1251"/>
      <c r="AUK132" s="1251"/>
      <c r="AUL132" s="1251"/>
      <c r="AUM132" s="1251"/>
      <c r="AUN132" s="1251"/>
      <c r="AUO132" s="1251"/>
      <c r="AUP132" s="1251"/>
      <c r="AUQ132" s="1251"/>
      <c r="AUR132" s="1251"/>
      <c r="AUS132" s="1251"/>
      <c r="AUT132" s="1251"/>
      <c r="AUU132" s="1251"/>
      <c r="AUV132" s="1251"/>
      <c r="AUW132" s="1251"/>
      <c r="AUX132" s="1251"/>
      <c r="AUY132" s="1251"/>
      <c r="AUZ132" s="1251"/>
      <c r="AVA132" s="1251"/>
      <c r="AVB132" s="1251"/>
      <c r="AVC132" s="1251"/>
      <c r="AVD132" s="1251"/>
      <c r="AVE132" s="1251"/>
      <c r="AVF132" s="1251"/>
      <c r="AVG132" s="1251"/>
      <c r="AVH132" s="1251"/>
      <c r="AVI132" s="1251"/>
      <c r="AVJ132" s="1251"/>
      <c r="AVK132" s="1251"/>
      <c r="AVL132" s="1251"/>
      <c r="AVM132" s="1251"/>
      <c r="AVN132" s="1251"/>
      <c r="AVO132" s="1251"/>
      <c r="AVP132" s="1251"/>
      <c r="AVQ132" s="1251"/>
      <c r="AVR132" s="1251"/>
      <c r="AVS132" s="1251"/>
      <c r="AVT132" s="1251"/>
      <c r="AVU132" s="1251"/>
      <c r="AVV132" s="1251"/>
      <c r="AVW132" s="1251"/>
      <c r="AVX132" s="1251"/>
      <c r="AVY132" s="1251"/>
      <c r="AVZ132" s="1251"/>
      <c r="AWA132" s="1251"/>
      <c r="AWB132" s="1251"/>
      <c r="AWC132" s="1251"/>
      <c r="AWD132" s="1251"/>
      <c r="AWE132" s="1251"/>
      <c r="AWF132" s="1251"/>
      <c r="AWG132" s="1251"/>
      <c r="AWH132" s="1251"/>
      <c r="AWI132" s="1251"/>
      <c r="AWJ132" s="1251"/>
      <c r="AWK132" s="1251"/>
      <c r="AWL132" s="1251"/>
      <c r="AWM132" s="1251"/>
      <c r="AWN132" s="1251"/>
      <c r="AWO132" s="1251"/>
      <c r="AWP132" s="1251"/>
      <c r="AWQ132" s="1251"/>
      <c r="AWR132" s="1251"/>
      <c r="AWS132" s="1251"/>
      <c r="AWT132" s="1251"/>
      <c r="AWU132" s="1251"/>
      <c r="AWV132" s="1251"/>
      <c r="AWW132" s="1251"/>
      <c r="AWX132" s="1251"/>
      <c r="AWY132" s="1251"/>
      <c r="AWZ132" s="1251"/>
      <c r="AXA132" s="1251"/>
      <c r="AXB132" s="1251"/>
      <c r="AXC132" s="1251"/>
      <c r="AXD132" s="1251"/>
      <c r="AXE132" s="1251"/>
      <c r="AXF132" s="1251"/>
      <c r="AXG132" s="1251"/>
      <c r="AXH132" s="1251"/>
      <c r="AXI132" s="1251"/>
      <c r="AXJ132" s="1251"/>
      <c r="AXK132" s="1251"/>
      <c r="AXL132" s="1251"/>
      <c r="AXM132" s="1251"/>
      <c r="AXN132" s="1251"/>
      <c r="AXO132" s="1251"/>
      <c r="AXP132" s="1251"/>
      <c r="AXQ132" s="1251"/>
      <c r="AXR132" s="1251"/>
      <c r="AXS132" s="1251"/>
      <c r="AXT132" s="1251"/>
      <c r="AXU132" s="1251"/>
      <c r="AXV132" s="1251"/>
      <c r="AXW132" s="1251"/>
      <c r="AXX132" s="1251"/>
      <c r="AXY132" s="1251"/>
      <c r="AXZ132" s="1251"/>
      <c r="AYA132" s="1251"/>
      <c r="AYB132" s="1251"/>
      <c r="AYC132" s="1251"/>
      <c r="AYD132" s="1251"/>
      <c r="AYE132" s="1251"/>
      <c r="AYF132" s="1251"/>
      <c r="AYG132" s="1251"/>
      <c r="AYH132" s="1251"/>
      <c r="AYI132" s="1251"/>
      <c r="AYJ132" s="1251"/>
      <c r="AYK132" s="1251"/>
      <c r="AYL132" s="1251"/>
      <c r="AYM132" s="1251"/>
      <c r="AYN132" s="1251"/>
      <c r="AYO132" s="1251"/>
      <c r="AYP132" s="1251"/>
      <c r="AYQ132" s="1251"/>
      <c r="AYR132" s="1251"/>
      <c r="AYS132" s="1251"/>
      <c r="AYT132" s="1251"/>
      <c r="AYU132" s="1251"/>
      <c r="AYV132" s="1251"/>
      <c r="AYW132" s="1251"/>
      <c r="AYX132" s="1251"/>
      <c r="AYY132" s="1251"/>
      <c r="AYZ132" s="1251"/>
      <c r="AZA132" s="1251"/>
      <c r="AZB132" s="1251"/>
      <c r="AZC132" s="1251"/>
      <c r="AZD132" s="1251"/>
      <c r="AZE132" s="1251"/>
      <c r="AZF132" s="1251"/>
      <c r="AZG132" s="1251"/>
      <c r="AZH132" s="1251"/>
      <c r="AZI132" s="1251"/>
      <c r="AZJ132" s="1251"/>
      <c r="AZK132" s="1251"/>
      <c r="AZL132" s="1251"/>
      <c r="AZM132" s="1251"/>
      <c r="AZN132" s="1251"/>
      <c r="AZO132" s="1251"/>
      <c r="AZP132" s="1251"/>
      <c r="AZQ132" s="1251"/>
      <c r="AZR132" s="1251"/>
      <c r="AZS132" s="1251"/>
      <c r="AZT132" s="1251"/>
      <c r="AZU132" s="1251"/>
      <c r="AZV132" s="1251"/>
      <c r="AZW132" s="1251"/>
      <c r="AZX132" s="1251"/>
      <c r="AZY132" s="1251"/>
      <c r="AZZ132" s="1251"/>
      <c r="BAA132" s="1251"/>
      <c r="BAB132" s="1251"/>
      <c r="BAC132" s="1251"/>
      <c r="BAD132" s="1251"/>
      <c r="BAE132" s="1251"/>
      <c r="BAF132" s="1251"/>
      <c r="BAG132" s="1251"/>
      <c r="BAH132" s="1251"/>
      <c r="BAI132" s="1251"/>
      <c r="BAJ132" s="1251"/>
      <c r="BAK132" s="1251"/>
      <c r="BAL132" s="1251"/>
      <c r="BAM132" s="1251"/>
      <c r="BAN132" s="1251"/>
      <c r="BAO132" s="1251"/>
      <c r="BAP132" s="1251"/>
      <c r="BAQ132" s="1251"/>
      <c r="BAR132" s="1251"/>
      <c r="BAS132" s="1251"/>
      <c r="BAT132" s="1251"/>
      <c r="BAU132" s="1251"/>
      <c r="BAV132" s="1251"/>
      <c r="BAW132" s="1251"/>
      <c r="BAX132" s="1251"/>
      <c r="BAY132" s="1251"/>
      <c r="BAZ132" s="1251"/>
      <c r="BBA132" s="1251"/>
      <c r="BBB132" s="1251"/>
      <c r="BBC132" s="1251"/>
      <c r="BBD132" s="1251"/>
      <c r="BBE132" s="1251"/>
      <c r="BBF132" s="1251"/>
      <c r="BBG132" s="1251"/>
      <c r="BBH132" s="1251"/>
      <c r="BBI132" s="1251"/>
      <c r="BBJ132" s="1251"/>
      <c r="BBK132" s="1251"/>
      <c r="BBL132" s="1251"/>
      <c r="BBM132" s="1251"/>
      <c r="BBN132" s="1251"/>
      <c r="BBO132" s="1251"/>
      <c r="BBP132" s="1251"/>
      <c r="BBQ132" s="1251"/>
      <c r="BBR132" s="1251"/>
      <c r="BBS132" s="1251"/>
      <c r="BBT132" s="1251"/>
      <c r="BBU132" s="1251"/>
      <c r="BBV132" s="1251"/>
      <c r="BBW132" s="1251"/>
      <c r="BBX132" s="1251"/>
      <c r="BBY132" s="1251"/>
      <c r="BBZ132" s="1251"/>
      <c r="BCA132" s="1251"/>
      <c r="BCB132" s="1251"/>
      <c r="BCC132" s="1251"/>
      <c r="BCD132" s="1251"/>
      <c r="BCE132" s="1251"/>
      <c r="BCF132" s="1251"/>
      <c r="BCG132" s="1251"/>
      <c r="BCH132" s="1251"/>
      <c r="BCI132" s="1251"/>
      <c r="BCJ132" s="1251"/>
      <c r="BCK132" s="1251"/>
      <c r="BCL132" s="1251"/>
      <c r="BCM132" s="1251"/>
      <c r="BCN132" s="1251"/>
      <c r="BCO132" s="1251"/>
      <c r="BCP132" s="1251"/>
      <c r="BCQ132" s="1251"/>
      <c r="BCR132" s="1251"/>
      <c r="BCS132" s="1251"/>
      <c r="BCT132" s="1251"/>
      <c r="BCU132" s="1251"/>
      <c r="BCV132" s="1251"/>
      <c r="BCW132" s="1251"/>
      <c r="BCX132" s="1251"/>
      <c r="BCY132" s="1251"/>
      <c r="BCZ132" s="1251"/>
      <c r="BDA132" s="1251"/>
      <c r="BDB132" s="1251"/>
      <c r="BDC132" s="1251"/>
      <c r="BDD132" s="1251"/>
      <c r="BDE132" s="1251"/>
      <c r="BDF132" s="1251"/>
      <c r="BDG132" s="1251"/>
      <c r="BDH132" s="1251"/>
      <c r="BDI132" s="1251"/>
      <c r="BDJ132" s="1251"/>
      <c r="BDK132" s="1251"/>
      <c r="BDL132" s="1251"/>
      <c r="BDM132" s="1251"/>
      <c r="BDN132" s="1251"/>
      <c r="BDO132" s="1251"/>
      <c r="BDP132" s="1251"/>
      <c r="BDQ132" s="1251"/>
      <c r="BDR132" s="1251"/>
      <c r="BDS132" s="1251"/>
      <c r="BDT132" s="1251"/>
      <c r="BDU132" s="1251"/>
      <c r="BDV132" s="1251"/>
      <c r="BDW132" s="1251"/>
      <c r="BDX132" s="1251"/>
      <c r="BDY132" s="1251"/>
      <c r="BDZ132" s="1251"/>
      <c r="BEA132" s="1251"/>
      <c r="BEB132" s="1251"/>
      <c r="BEC132" s="1251"/>
      <c r="BED132" s="1251"/>
      <c r="BEE132" s="1251"/>
      <c r="BEF132" s="1251"/>
      <c r="BEG132" s="1251"/>
      <c r="BEH132" s="1251"/>
      <c r="BEI132" s="1251"/>
      <c r="BEJ132" s="1251"/>
      <c r="BEK132" s="1251"/>
      <c r="BEL132" s="1251"/>
      <c r="BEM132" s="1251"/>
      <c r="BEN132" s="1251"/>
      <c r="BEO132" s="1251"/>
      <c r="BEP132" s="1251"/>
      <c r="BEQ132" s="1251"/>
      <c r="BER132" s="1251"/>
      <c r="BES132" s="1251"/>
      <c r="BET132" s="1251"/>
      <c r="BEU132" s="1251"/>
      <c r="BEV132" s="1251"/>
      <c r="BEW132" s="1251"/>
      <c r="BEX132" s="1251"/>
      <c r="BEY132" s="1251"/>
      <c r="BEZ132" s="1251"/>
      <c r="BFA132" s="1251"/>
      <c r="BFB132" s="1251"/>
      <c r="BFC132" s="1251"/>
      <c r="BFD132" s="1251"/>
      <c r="BFE132" s="1251"/>
      <c r="BFF132" s="1251"/>
      <c r="BFG132" s="1251"/>
      <c r="BFH132" s="1251"/>
      <c r="BFI132" s="1251"/>
      <c r="BFJ132" s="1251"/>
      <c r="BFK132" s="1251"/>
      <c r="BFL132" s="1251"/>
      <c r="BFM132" s="1251"/>
      <c r="BFN132" s="1251"/>
      <c r="BFO132" s="1251"/>
      <c r="BFP132" s="1251"/>
      <c r="BFQ132" s="1251"/>
      <c r="BFR132" s="1251"/>
      <c r="BFS132" s="1251"/>
      <c r="BFT132" s="1251"/>
      <c r="BFU132" s="1251"/>
      <c r="BFV132" s="1251"/>
      <c r="BFW132" s="1251"/>
      <c r="BFX132" s="1251"/>
      <c r="BFY132" s="1251"/>
      <c r="BFZ132" s="1251"/>
      <c r="BGA132" s="1251"/>
      <c r="BGB132" s="1251"/>
      <c r="BGC132" s="1251"/>
      <c r="BGD132" s="1251"/>
      <c r="BGE132" s="1251"/>
      <c r="BGF132" s="1251"/>
      <c r="BGG132" s="1251"/>
      <c r="BGH132" s="1251"/>
      <c r="BGI132" s="1251"/>
      <c r="BGJ132" s="1251"/>
      <c r="BGK132" s="1251"/>
      <c r="BGL132" s="1251"/>
      <c r="BGM132" s="1251"/>
      <c r="BGN132" s="1251"/>
      <c r="BGO132" s="1251"/>
      <c r="BGP132" s="1251"/>
      <c r="BGQ132" s="1251"/>
      <c r="BGR132" s="1251"/>
      <c r="BGS132" s="1251"/>
      <c r="BGT132" s="1251"/>
      <c r="BGU132" s="1251"/>
      <c r="BGV132" s="1251"/>
      <c r="BGW132" s="1251"/>
      <c r="BGX132" s="1251"/>
      <c r="BGY132" s="1251"/>
      <c r="BGZ132" s="1251"/>
      <c r="BHA132" s="1251"/>
      <c r="BHB132" s="1251"/>
      <c r="BHC132" s="1251"/>
      <c r="BHD132" s="1251"/>
      <c r="BHE132" s="1251"/>
      <c r="BHF132" s="1251"/>
      <c r="BHG132" s="1251"/>
      <c r="BHH132" s="1251"/>
      <c r="BHI132" s="1251"/>
      <c r="BHJ132" s="1251"/>
      <c r="BHK132" s="1251"/>
      <c r="BHL132" s="1251"/>
      <c r="BHM132" s="1251"/>
      <c r="BHN132" s="1251"/>
      <c r="BHO132" s="1251"/>
      <c r="BHP132" s="1251"/>
      <c r="BHQ132" s="1251"/>
      <c r="BHR132" s="1251"/>
      <c r="BHS132" s="1251"/>
      <c r="BHT132" s="1251"/>
      <c r="BHU132" s="1251"/>
      <c r="BHV132" s="1251"/>
      <c r="BHW132" s="1251"/>
      <c r="BHX132" s="1251"/>
      <c r="BHY132" s="1251"/>
      <c r="BHZ132" s="1251"/>
      <c r="BIA132" s="1251"/>
      <c r="BIB132" s="1251"/>
      <c r="BIC132" s="1251"/>
      <c r="BID132" s="1251"/>
      <c r="BIE132" s="1251"/>
      <c r="BIF132" s="1251"/>
      <c r="BIG132" s="1251"/>
      <c r="BIH132" s="1251"/>
      <c r="BII132" s="1251"/>
      <c r="BIJ132" s="1251"/>
      <c r="BIK132" s="1251"/>
      <c r="BIL132" s="1251"/>
      <c r="BIM132" s="1251"/>
      <c r="BIN132" s="1251"/>
      <c r="BIO132" s="1251"/>
      <c r="BIP132" s="1251"/>
      <c r="BIQ132" s="1251"/>
      <c r="BIR132" s="1251"/>
      <c r="BIS132" s="1251"/>
      <c r="BIT132" s="1251"/>
      <c r="BIU132" s="1251"/>
      <c r="BIV132" s="1251"/>
      <c r="BIW132" s="1251"/>
      <c r="BIX132" s="1251"/>
      <c r="BIY132" s="1251"/>
      <c r="BIZ132" s="1251"/>
      <c r="BJA132" s="1251"/>
      <c r="BJB132" s="1251"/>
      <c r="BJC132" s="1251"/>
      <c r="BJD132" s="1251"/>
      <c r="BJE132" s="1251"/>
      <c r="BJF132" s="1251"/>
      <c r="BJG132" s="1251"/>
      <c r="BJH132" s="1251"/>
      <c r="BJI132" s="1251"/>
      <c r="BJJ132" s="1251"/>
      <c r="BJK132" s="1251"/>
      <c r="BJL132" s="1251"/>
      <c r="BJM132" s="1251"/>
      <c r="BJN132" s="1251"/>
      <c r="BJO132" s="1251"/>
      <c r="BJP132" s="1251"/>
      <c r="BJQ132" s="1251"/>
      <c r="BJR132" s="1251"/>
      <c r="BJS132" s="1251"/>
      <c r="BJT132" s="1251"/>
      <c r="BJU132" s="1251"/>
      <c r="BJV132" s="1251"/>
      <c r="BJW132" s="1251"/>
      <c r="BJX132" s="1251"/>
      <c r="BJY132" s="1251"/>
      <c r="BJZ132" s="1251"/>
      <c r="BKA132" s="1251"/>
      <c r="BKB132" s="1251"/>
      <c r="BKC132" s="1251"/>
      <c r="BKD132" s="1251"/>
      <c r="BKE132" s="1251"/>
      <c r="BKF132" s="1251"/>
      <c r="BKG132" s="1251"/>
      <c r="BKH132" s="1251"/>
      <c r="BKI132" s="1251"/>
      <c r="BKJ132" s="1251"/>
      <c r="BKK132" s="1251"/>
      <c r="BKL132" s="1251"/>
      <c r="BKM132" s="1251"/>
      <c r="BKN132" s="1251"/>
      <c r="BKO132" s="1251"/>
      <c r="BKP132" s="1251"/>
      <c r="BKQ132" s="1251"/>
      <c r="BKR132" s="1251"/>
      <c r="BKS132" s="1251"/>
      <c r="BKT132" s="1251"/>
      <c r="BKU132" s="1251"/>
      <c r="BKV132" s="1251"/>
      <c r="BKW132" s="1251"/>
      <c r="BKX132" s="1251"/>
      <c r="BKY132" s="1251"/>
      <c r="BKZ132" s="1251"/>
      <c r="BLA132" s="1251"/>
      <c r="BLB132" s="1251"/>
      <c r="BLC132" s="1251"/>
      <c r="BLD132" s="1251"/>
      <c r="BLE132" s="1251"/>
      <c r="BLF132" s="1251"/>
      <c r="BLG132" s="1251"/>
      <c r="BLH132" s="1251"/>
      <c r="BLI132" s="1251"/>
      <c r="BLJ132" s="1251"/>
      <c r="BLK132" s="1251"/>
      <c r="BLL132" s="1251"/>
      <c r="BLM132" s="1251"/>
      <c r="BLN132" s="1251"/>
      <c r="BLO132" s="1251"/>
      <c r="BLP132" s="1251"/>
      <c r="BLQ132" s="1251"/>
      <c r="BLR132" s="1251"/>
      <c r="BLS132" s="1251"/>
      <c r="BLT132" s="1251"/>
      <c r="BLU132" s="1251"/>
      <c r="BLV132" s="1251"/>
      <c r="BLW132" s="1251"/>
      <c r="BLX132" s="1251"/>
      <c r="BLY132" s="1251"/>
      <c r="BLZ132" s="1251"/>
      <c r="BMA132" s="1251"/>
      <c r="BMB132" s="1251"/>
      <c r="BMC132" s="1251"/>
      <c r="BMD132" s="1251"/>
      <c r="BME132" s="1251"/>
      <c r="BMF132" s="1251"/>
      <c r="BMG132" s="1251"/>
      <c r="BMH132" s="1251"/>
      <c r="BMI132" s="1251"/>
      <c r="BMJ132" s="1251"/>
      <c r="BMK132" s="1251"/>
      <c r="BML132" s="1251"/>
      <c r="BMM132" s="1251"/>
      <c r="BMN132" s="1251"/>
      <c r="BMO132" s="1251"/>
      <c r="BMP132" s="1251"/>
      <c r="BMQ132" s="1251"/>
      <c r="BMR132" s="1251"/>
      <c r="BMS132" s="1251"/>
      <c r="BMT132" s="1251"/>
      <c r="BMU132" s="1251"/>
      <c r="BMV132" s="1251"/>
      <c r="BMW132" s="1251"/>
      <c r="BMX132" s="1251"/>
      <c r="BMY132" s="1251"/>
      <c r="BMZ132" s="1251"/>
      <c r="BNA132" s="1251"/>
      <c r="BNB132" s="1251"/>
      <c r="BNC132" s="1251"/>
      <c r="BND132" s="1251"/>
      <c r="BNE132" s="1251"/>
      <c r="BNF132" s="1251"/>
      <c r="BNG132" s="1251"/>
      <c r="BNH132" s="1251"/>
      <c r="BNI132" s="1251"/>
      <c r="BNJ132" s="1251"/>
      <c r="BNK132" s="1251"/>
      <c r="BNL132" s="1251"/>
      <c r="BNM132" s="1251"/>
      <c r="BNN132" s="1251"/>
      <c r="BNO132" s="1251"/>
      <c r="BNP132" s="1251"/>
      <c r="BNQ132" s="1251"/>
      <c r="BNR132" s="1251"/>
      <c r="BNS132" s="1251"/>
      <c r="BNT132" s="1251"/>
      <c r="BNU132" s="1251"/>
      <c r="BNV132" s="1251"/>
      <c r="BNW132" s="1251"/>
      <c r="BNX132" s="1251"/>
      <c r="BNY132" s="1251"/>
      <c r="BNZ132" s="1251"/>
      <c r="BOA132" s="1251"/>
      <c r="BOB132" s="1251"/>
      <c r="BOC132" s="1251"/>
      <c r="BOD132" s="1251"/>
      <c r="BOE132" s="1251"/>
      <c r="BOF132" s="1251"/>
      <c r="BOG132" s="1251"/>
      <c r="BOH132" s="1251"/>
      <c r="BOI132" s="1251"/>
      <c r="BOJ132" s="1251"/>
      <c r="BOK132" s="1251"/>
      <c r="BOL132" s="1251"/>
      <c r="BOM132" s="1251"/>
      <c r="BON132" s="1251"/>
      <c r="BOO132" s="1251"/>
      <c r="BOP132" s="1251"/>
      <c r="BOQ132" s="1251"/>
      <c r="BOR132" s="1251"/>
      <c r="BOS132" s="1251"/>
      <c r="BOT132" s="1251"/>
      <c r="BOU132" s="1251"/>
      <c r="BOV132" s="1251"/>
      <c r="BOW132" s="1251"/>
      <c r="BOX132" s="1251"/>
      <c r="BOY132" s="1251"/>
      <c r="BOZ132" s="1251"/>
      <c r="BPA132" s="1251"/>
      <c r="BPB132" s="1251"/>
      <c r="BPC132" s="1251"/>
      <c r="BPD132" s="1251"/>
      <c r="BPE132" s="1251"/>
      <c r="BPF132" s="1251"/>
      <c r="BPG132" s="1251"/>
      <c r="BPH132" s="1251"/>
      <c r="BPI132" s="1251"/>
      <c r="BPJ132" s="1251"/>
      <c r="BPK132" s="1251"/>
      <c r="BPL132" s="1251"/>
      <c r="BPM132" s="1251"/>
      <c r="BPN132" s="1251"/>
      <c r="BPO132" s="1251"/>
      <c r="BPP132" s="1251"/>
      <c r="BPQ132" s="1251"/>
      <c r="BPR132" s="1251"/>
      <c r="BPS132" s="1251"/>
      <c r="BPT132" s="1251"/>
      <c r="BPU132" s="1251"/>
      <c r="BPV132" s="1251"/>
      <c r="BPW132" s="1251"/>
      <c r="BPX132" s="1251"/>
      <c r="BPY132" s="1251"/>
      <c r="BPZ132" s="1251"/>
      <c r="BQA132" s="1251"/>
      <c r="BQB132" s="1251"/>
      <c r="BQC132" s="1251"/>
      <c r="BQD132" s="1251"/>
      <c r="BQE132" s="1251"/>
      <c r="BQF132" s="1251"/>
      <c r="BQG132" s="1251"/>
      <c r="BQH132" s="1251"/>
      <c r="BQI132" s="1251"/>
      <c r="BQJ132" s="1251"/>
      <c r="BQK132" s="1251"/>
      <c r="BQL132" s="1251"/>
      <c r="BQM132" s="1251"/>
      <c r="BQN132" s="1251"/>
      <c r="BQO132" s="1251"/>
      <c r="BQP132" s="1251"/>
      <c r="BQQ132" s="1251"/>
      <c r="BQR132" s="1251"/>
      <c r="BQS132" s="1251"/>
      <c r="BQT132" s="1251"/>
      <c r="BQU132" s="1251"/>
      <c r="BQV132" s="1251"/>
      <c r="BQW132" s="1251"/>
      <c r="BQX132" s="1251"/>
      <c r="BQY132" s="1251"/>
      <c r="BQZ132" s="1251"/>
      <c r="BRA132" s="1251"/>
      <c r="BRB132" s="1251"/>
      <c r="BRC132" s="1251"/>
      <c r="BRD132" s="1251"/>
      <c r="BRE132" s="1251"/>
      <c r="BRF132" s="1251"/>
      <c r="BRG132" s="1251"/>
      <c r="BRH132" s="1251"/>
      <c r="BRI132" s="1251"/>
      <c r="BRJ132" s="1251"/>
      <c r="BRK132" s="1251"/>
      <c r="BRL132" s="1251"/>
      <c r="BRM132" s="1251"/>
      <c r="BRN132" s="1251"/>
      <c r="BRO132" s="1251"/>
      <c r="BRP132" s="1251"/>
      <c r="BRQ132" s="1251"/>
      <c r="BRR132" s="1251"/>
      <c r="BRS132" s="1251"/>
      <c r="BRT132" s="1251"/>
      <c r="BRU132" s="1251"/>
      <c r="BRV132" s="1251"/>
      <c r="BRW132" s="1251"/>
      <c r="BRX132" s="1251"/>
      <c r="BRY132" s="1251"/>
      <c r="BRZ132" s="1251"/>
      <c r="BSA132" s="1251"/>
      <c r="BSB132" s="1251"/>
      <c r="BSC132" s="1251"/>
      <c r="BSD132" s="1251"/>
      <c r="BSE132" s="1251"/>
      <c r="BSF132" s="1251"/>
      <c r="BSG132" s="1251"/>
      <c r="BSH132" s="1251"/>
      <c r="BSI132" s="1251"/>
      <c r="BSJ132" s="1251"/>
      <c r="BSK132" s="1251"/>
      <c r="BSL132" s="1251"/>
      <c r="BSM132" s="1251"/>
      <c r="BSN132" s="1251"/>
      <c r="BSO132" s="1251"/>
      <c r="BSP132" s="1251"/>
      <c r="BSQ132" s="1251"/>
      <c r="BSR132" s="1251"/>
      <c r="BSS132" s="1251"/>
      <c r="BST132" s="1251"/>
      <c r="BSU132" s="1251"/>
      <c r="BSV132" s="1251"/>
      <c r="BSW132" s="1251"/>
      <c r="BSX132" s="1251"/>
      <c r="BSY132" s="1251"/>
      <c r="BSZ132" s="1251"/>
      <c r="BTA132" s="1251"/>
      <c r="BTB132" s="1251"/>
      <c r="BTC132" s="1251"/>
      <c r="BTD132" s="1251"/>
      <c r="BTE132" s="1251"/>
      <c r="BTF132" s="1251"/>
      <c r="BTG132" s="1251"/>
      <c r="BTH132" s="1251"/>
      <c r="BTI132" s="1251"/>
    </row>
    <row r="133" spans="1:1881" s="1261" customFormat="1" ht="63.75" hidden="1" customHeight="1" thickBot="1" x14ac:dyDescent="0.35">
      <c r="A133" s="1248">
        <v>81</v>
      </c>
      <c r="B133" s="659" t="s">
        <v>62</v>
      </c>
      <c r="C133" s="659" t="s">
        <v>1385</v>
      </c>
      <c r="D133" s="24" t="s">
        <v>1387</v>
      </c>
      <c r="E133" s="1249" t="e">
        <f>HLOOKUP($D$2,'2020 Data(H)'!$C$1:$CZ$426,45,FALSE)</f>
        <v>#N/A</v>
      </c>
      <c r="F133" s="1263">
        <v>0</v>
      </c>
      <c r="G133" s="736"/>
      <c r="H133" s="17"/>
      <c r="I133" s="760"/>
      <c r="J133" s="1251"/>
      <c r="K133" s="1251"/>
      <c r="L133" s="701"/>
      <c r="M133" s="1251"/>
      <c r="N133" s="1253"/>
      <c r="O133" s="1251"/>
      <c r="P133" s="1251"/>
      <c r="Q133" s="1251"/>
      <c r="R133" s="1251"/>
      <c r="S133" s="1251"/>
      <c r="T133" s="1251"/>
      <c r="U133" s="1251"/>
      <c r="V133" s="1251"/>
      <c r="W133" s="1251"/>
      <c r="X133" s="1251"/>
      <c r="Y133" s="1251"/>
      <c r="Z133" s="1248"/>
      <c r="AA133" s="1248"/>
      <c r="AB133" s="1248"/>
      <c r="AC133" s="1248"/>
      <c r="AD133" s="1248"/>
      <c r="AE133" s="1248"/>
      <c r="AF133" s="1248"/>
      <c r="AG133" s="1248"/>
      <c r="AH133" s="1248"/>
      <c r="AI133" s="1248"/>
      <c r="AJ133" s="1248"/>
      <c r="AK133" s="1248"/>
      <c r="AL133" s="1248"/>
      <c r="AM133" s="1248"/>
      <c r="AN133" s="1248"/>
      <c r="AO133" s="1248"/>
      <c r="AP133" s="1248"/>
      <c r="AQ133" s="1248"/>
      <c r="AR133" s="1248"/>
      <c r="AS133" s="1251"/>
      <c r="AT133" s="1251"/>
      <c r="AU133" s="1251"/>
      <c r="AV133" s="1251"/>
      <c r="AW133" s="1251"/>
      <c r="AX133" s="1251"/>
      <c r="AY133" s="1251"/>
      <c r="AZ133" s="1251"/>
      <c r="BA133" s="1251"/>
      <c r="BB133" s="1251"/>
      <c r="BC133" s="1251"/>
      <c r="BD133" s="1251"/>
      <c r="BE133" s="1251"/>
      <c r="BF133" s="1251"/>
      <c r="BG133" s="1251"/>
      <c r="BH133" s="1251"/>
      <c r="BI133" s="1251"/>
      <c r="BJ133" s="1251"/>
      <c r="BK133" s="1251"/>
      <c r="BL133" s="1251"/>
      <c r="BM133" s="1251"/>
      <c r="BN133" s="1251"/>
      <c r="BO133" s="1251"/>
      <c r="BP133" s="1251"/>
      <c r="BQ133" s="1251"/>
      <c r="BR133" s="1251"/>
      <c r="BS133" s="1251"/>
      <c r="BT133" s="1251"/>
      <c r="BU133" s="1251"/>
      <c r="BV133" s="1251"/>
      <c r="BW133" s="1251"/>
      <c r="BX133" s="1251"/>
      <c r="BY133" s="1251"/>
      <c r="BZ133" s="1251"/>
      <c r="CA133" s="1251"/>
      <c r="CB133" s="1251"/>
      <c r="CC133" s="1251"/>
      <c r="CD133" s="1251"/>
      <c r="CE133" s="1251"/>
      <c r="CF133" s="1251"/>
      <c r="CG133" s="1251"/>
      <c r="CH133" s="1251"/>
      <c r="CI133" s="1251"/>
      <c r="CJ133" s="1251"/>
      <c r="CK133" s="1251"/>
      <c r="CL133" s="1251"/>
      <c r="CM133" s="1251"/>
      <c r="CN133" s="1251"/>
      <c r="CO133" s="1251"/>
      <c r="CP133" s="1251"/>
      <c r="CQ133" s="1251"/>
      <c r="CR133" s="1251"/>
      <c r="CS133" s="1251"/>
      <c r="CT133" s="1251"/>
      <c r="CU133" s="1251"/>
      <c r="CV133" s="1251"/>
      <c r="CW133" s="1251"/>
      <c r="CX133" s="1251"/>
      <c r="CY133" s="1251"/>
      <c r="CZ133" s="1251"/>
      <c r="DA133" s="1251"/>
      <c r="DB133" s="1251"/>
      <c r="DC133" s="1251"/>
      <c r="DD133" s="1251"/>
      <c r="DE133" s="1251"/>
      <c r="DF133" s="1251"/>
      <c r="DG133" s="1251"/>
      <c r="DH133" s="1251"/>
      <c r="DI133" s="1251"/>
      <c r="DJ133" s="1251"/>
      <c r="DK133" s="1251"/>
      <c r="DL133" s="1251"/>
      <c r="DM133" s="1251"/>
      <c r="DN133" s="1251"/>
      <c r="DO133" s="1251"/>
      <c r="DP133" s="1251"/>
      <c r="DQ133" s="1251"/>
      <c r="DR133" s="1251"/>
      <c r="DS133" s="1251"/>
      <c r="DT133" s="1251"/>
      <c r="DU133" s="1251"/>
      <c r="DV133" s="1251"/>
      <c r="DW133" s="1251"/>
      <c r="DX133" s="1251"/>
      <c r="DY133" s="1251"/>
      <c r="DZ133" s="1251"/>
      <c r="EA133" s="1251"/>
      <c r="EB133" s="1251"/>
      <c r="EC133" s="1251"/>
      <c r="ED133" s="1251"/>
      <c r="EE133" s="1251"/>
      <c r="EF133" s="1251"/>
      <c r="EG133" s="1251"/>
      <c r="EH133" s="1251"/>
      <c r="EI133" s="1251"/>
      <c r="EJ133" s="1251"/>
      <c r="EK133" s="1251"/>
      <c r="EL133" s="1251"/>
      <c r="EM133" s="1251"/>
      <c r="EN133" s="1251"/>
      <c r="EO133" s="1251"/>
      <c r="EP133" s="1251"/>
      <c r="EQ133" s="1251"/>
      <c r="ER133" s="1251"/>
      <c r="ES133" s="1251"/>
      <c r="ET133" s="1251"/>
      <c r="EU133" s="1251"/>
      <c r="EV133" s="1251"/>
      <c r="EW133" s="1251"/>
      <c r="EX133" s="1251"/>
      <c r="EY133" s="1251"/>
      <c r="EZ133" s="1251"/>
      <c r="FA133" s="1251"/>
      <c r="FB133" s="1251"/>
      <c r="FC133" s="1251"/>
      <c r="FD133" s="1251"/>
      <c r="FE133" s="1251"/>
      <c r="FF133" s="1251"/>
      <c r="FG133" s="1251"/>
      <c r="FH133" s="1251"/>
      <c r="FI133" s="1251"/>
      <c r="FJ133" s="1251"/>
      <c r="FK133" s="1251"/>
      <c r="FL133" s="1251"/>
      <c r="FM133" s="1251"/>
      <c r="FN133" s="1251"/>
      <c r="FO133" s="1251"/>
      <c r="FP133" s="1251"/>
      <c r="FQ133" s="1251"/>
      <c r="FR133" s="1251"/>
      <c r="FS133" s="1251"/>
      <c r="FT133" s="1251"/>
      <c r="FU133" s="1251"/>
      <c r="FV133" s="1251"/>
      <c r="FW133" s="1251"/>
      <c r="FX133" s="1251"/>
      <c r="FY133" s="1251"/>
      <c r="FZ133" s="1251"/>
      <c r="GA133" s="1251"/>
      <c r="GB133" s="1251"/>
      <c r="GC133" s="1251"/>
      <c r="GD133" s="1251"/>
      <c r="GE133" s="1251"/>
      <c r="GF133" s="1251"/>
      <c r="GG133" s="1251"/>
      <c r="GH133" s="1251"/>
      <c r="GI133" s="1251"/>
      <c r="GJ133" s="1251"/>
      <c r="GK133" s="1251"/>
      <c r="GL133" s="1251"/>
      <c r="GM133" s="1251"/>
      <c r="GN133" s="1251"/>
      <c r="GO133" s="1251"/>
      <c r="GP133" s="1251"/>
      <c r="GQ133" s="1251"/>
      <c r="GR133" s="1251"/>
      <c r="GS133" s="1251"/>
      <c r="GT133" s="1251"/>
      <c r="GU133" s="1251"/>
      <c r="GV133" s="1251"/>
      <c r="GW133" s="1251"/>
      <c r="GX133" s="1251"/>
      <c r="GY133" s="1251"/>
      <c r="GZ133" s="1251"/>
      <c r="HA133" s="1251"/>
      <c r="HB133" s="1251"/>
      <c r="HC133" s="1251"/>
      <c r="HD133" s="1251"/>
      <c r="HE133" s="1251"/>
      <c r="HF133" s="1251"/>
      <c r="HG133" s="1251"/>
      <c r="HH133" s="1251"/>
      <c r="HI133" s="1251"/>
      <c r="HJ133" s="1251"/>
      <c r="HK133" s="1251"/>
      <c r="HL133" s="1251"/>
      <c r="HM133" s="1251"/>
      <c r="HN133" s="1251"/>
      <c r="HO133" s="1251"/>
      <c r="HP133" s="1251"/>
      <c r="HQ133" s="1251"/>
      <c r="HR133" s="1251"/>
      <c r="HS133" s="1251"/>
      <c r="HT133" s="1251"/>
      <c r="HU133" s="1251"/>
      <c r="HV133" s="1251"/>
      <c r="HW133" s="1251"/>
      <c r="HX133" s="1251"/>
      <c r="HY133" s="1251"/>
      <c r="HZ133" s="1251"/>
      <c r="IA133" s="1251"/>
      <c r="IB133" s="1251"/>
      <c r="IC133" s="1251"/>
      <c r="ID133" s="1251"/>
      <c r="IE133" s="1251"/>
      <c r="IF133" s="1251"/>
      <c r="IG133" s="1251"/>
      <c r="IH133" s="1251"/>
      <c r="II133" s="1251"/>
      <c r="IJ133" s="1251"/>
      <c r="IK133" s="1251"/>
      <c r="IL133" s="1251"/>
      <c r="IM133" s="1251"/>
      <c r="IN133" s="1251"/>
      <c r="IO133" s="1251"/>
      <c r="IP133" s="1251"/>
      <c r="IQ133" s="1251"/>
      <c r="IR133" s="1251"/>
      <c r="IS133" s="1251"/>
      <c r="IT133" s="1251"/>
      <c r="IU133" s="1251"/>
      <c r="IV133" s="1251"/>
      <c r="IW133" s="1251"/>
      <c r="IX133" s="1251"/>
      <c r="IY133" s="1251"/>
      <c r="IZ133" s="1251"/>
      <c r="JA133" s="1251"/>
      <c r="JB133" s="1251"/>
      <c r="JC133" s="1251"/>
      <c r="JD133" s="1251"/>
      <c r="JE133" s="1251"/>
      <c r="JF133" s="1251"/>
      <c r="JG133" s="1251"/>
      <c r="JH133" s="1251"/>
      <c r="JI133" s="1251"/>
      <c r="JJ133" s="1251"/>
      <c r="JK133" s="1251"/>
      <c r="JL133" s="1251"/>
      <c r="JM133" s="1251"/>
      <c r="JN133" s="1251"/>
      <c r="JO133" s="1251"/>
      <c r="JP133" s="1251"/>
      <c r="JQ133" s="1251"/>
      <c r="JR133" s="1251"/>
      <c r="JS133" s="1251"/>
      <c r="JT133" s="1251"/>
      <c r="JU133" s="1251"/>
      <c r="JV133" s="1251"/>
      <c r="JW133" s="1251"/>
      <c r="JX133" s="1251"/>
      <c r="JY133" s="1251"/>
      <c r="JZ133" s="1251"/>
      <c r="KA133" s="1251"/>
      <c r="KB133" s="1251"/>
      <c r="KC133" s="1251"/>
      <c r="KD133" s="1251"/>
      <c r="KE133" s="1251"/>
      <c r="KF133" s="1251"/>
      <c r="KG133" s="1251"/>
      <c r="KH133" s="1251"/>
      <c r="KI133" s="1251"/>
      <c r="KJ133" s="1251"/>
      <c r="KK133" s="1251"/>
      <c r="KL133" s="1251"/>
      <c r="KM133" s="1251"/>
      <c r="KN133" s="1251"/>
      <c r="KO133" s="1251"/>
      <c r="KP133" s="1251"/>
      <c r="KQ133" s="1251"/>
      <c r="KR133" s="1251"/>
      <c r="KS133" s="1251"/>
      <c r="KT133" s="1251"/>
      <c r="KU133" s="1251"/>
      <c r="KV133" s="1251"/>
      <c r="KW133" s="1251"/>
      <c r="KX133" s="1251"/>
      <c r="KY133" s="1251"/>
      <c r="KZ133" s="1251"/>
      <c r="LA133" s="1251"/>
      <c r="LB133" s="1251"/>
      <c r="LC133" s="1251"/>
      <c r="LD133" s="1251"/>
      <c r="LE133" s="1251"/>
      <c r="LF133" s="1251"/>
      <c r="LG133" s="1251"/>
      <c r="LH133" s="1251"/>
      <c r="LI133" s="1251"/>
      <c r="LJ133" s="1251"/>
      <c r="LK133" s="1251"/>
      <c r="LL133" s="1251"/>
      <c r="LM133" s="1251"/>
      <c r="LN133" s="1251"/>
      <c r="LO133" s="1251"/>
      <c r="LP133" s="1251"/>
      <c r="LQ133" s="1251"/>
      <c r="LR133" s="1251"/>
      <c r="LS133" s="1251"/>
      <c r="LT133" s="1251"/>
      <c r="LU133" s="1251"/>
      <c r="LV133" s="1251"/>
      <c r="LW133" s="1251"/>
      <c r="LX133" s="1251"/>
      <c r="LY133" s="1251"/>
      <c r="LZ133" s="1251"/>
      <c r="MA133" s="1251"/>
      <c r="MB133" s="1251"/>
      <c r="MC133" s="1251"/>
      <c r="MD133" s="1251"/>
      <c r="ME133" s="1251"/>
      <c r="MF133" s="1251"/>
      <c r="MG133" s="1251"/>
      <c r="MH133" s="1251"/>
      <c r="MI133" s="1251"/>
      <c r="MJ133" s="1251"/>
      <c r="MK133" s="1251"/>
      <c r="ML133" s="1251"/>
      <c r="MM133" s="1251"/>
      <c r="MN133" s="1251"/>
      <c r="MO133" s="1251"/>
      <c r="MP133" s="1251"/>
      <c r="MQ133" s="1251"/>
      <c r="MR133" s="1251"/>
      <c r="MS133" s="1251"/>
      <c r="MT133" s="1251"/>
      <c r="MU133" s="1251"/>
      <c r="MV133" s="1251"/>
      <c r="MW133" s="1251"/>
      <c r="MX133" s="1251"/>
      <c r="MY133" s="1251"/>
      <c r="MZ133" s="1251"/>
      <c r="NA133" s="1251"/>
      <c r="NB133" s="1251"/>
      <c r="NC133" s="1251"/>
      <c r="ND133" s="1251"/>
      <c r="NE133" s="1251"/>
      <c r="NF133" s="1251"/>
      <c r="NG133" s="1251"/>
      <c r="NH133" s="1251"/>
      <c r="NI133" s="1251"/>
      <c r="NJ133" s="1251"/>
      <c r="NK133" s="1251"/>
      <c r="NL133" s="1251"/>
      <c r="NM133" s="1251"/>
      <c r="NN133" s="1251"/>
      <c r="NO133" s="1251"/>
      <c r="NP133" s="1251"/>
      <c r="NQ133" s="1251"/>
      <c r="NR133" s="1251"/>
      <c r="NS133" s="1251"/>
      <c r="NT133" s="1251"/>
      <c r="NU133" s="1251"/>
      <c r="NV133" s="1251"/>
      <c r="NW133" s="1251"/>
      <c r="NX133" s="1251"/>
      <c r="NY133" s="1251"/>
      <c r="NZ133" s="1251"/>
      <c r="OA133" s="1251"/>
      <c r="OB133" s="1251"/>
      <c r="OC133" s="1251"/>
      <c r="OD133" s="1251"/>
      <c r="OE133" s="1251"/>
      <c r="OF133" s="1251"/>
      <c r="OG133" s="1251"/>
      <c r="OH133" s="1251"/>
      <c r="OI133" s="1251"/>
      <c r="OJ133" s="1251"/>
      <c r="OK133" s="1251"/>
      <c r="OL133" s="1251"/>
      <c r="OM133" s="1251"/>
      <c r="ON133" s="1251"/>
      <c r="OO133" s="1251"/>
      <c r="OP133" s="1251"/>
      <c r="OQ133" s="1251"/>
      <c r="OR133" s="1251"/>
      <c r="OS133" s="1251"/>
      <c r="OT133" s="1251"/>
      <c r="OU133" s="1251"/>
      <c r="OV133" s="1251"/>
      <c r="OW133" s="1251"/>
      <c r="OX133" s="1251"/>
      <c r="OY133" s="1251"/>
      <c r="OZ133" s="1251"/>
      <c r="PA133" s="1251"/>
      <c r="PB133" s="1251"/>
      <c r="PC133" s="1251"/>
      <c r="PD133" s="1251"/>
      <c r="PE133" s="1251"/>
      <c r="PF133" s="1251"/>
      <c r="PG133" s="1251"/>
      <c r="PH133" s="1251"/>
      <c r="PI133" s="1251"/>
      <c r="PJ133" s="1251"/>
      <c r="PK133" s="1251"/>
      <c r="PL133" s="1251"/>
      <c r="PM133" s="1251"/>
      <c r="PN133" s="1251"/>
      <c r="PO133" s="1251"/>
      <c r="PP133" s="1251"/>
      <c r="PQ133" s="1251"/>
      <c r="PR133" s="1251"/>
      <c r="PS133" s="1251"/>
      <c r="PT133" s="1251"/>
      <c r="PU133" s="1251"/>
      <c r="PV133" s="1251"/>
      <c r="PW133" s="1251"/>
      <c r="PX133" s="1251"/>
      <c r="PY133" s="1251"/>
      <c r="PZ133" s="1251"/>
      <c r="QA133" s="1251"/>
      <c r="QB133" s="1251"/>
      <c r="QC133" s="1251"/>
      <c r="QD133" s="1251"/>
      <c r="QE133" s="1251"/>
      <c r="QF133" s="1251"/>
      <c r="QG133" s="1251"/>
      <c r="QH133" s="1251"/>
      <c r="QI133" s="1251"/>
      <c r="QJ133" s="1251"/>
      <c r="QK133" s="1251"/>
      <c r="QL133" s="1251"/>
      <c r="QM133" s="1251"/>
      <c r="QN133" s="1251"/>
      <c r="QO133" s="1251"/>
      <c r="QP133" s="1251"/>
      <c r="QQ133" s="1251"/>
      <c r="QR133" s="1251"/>
      <c r="QS133" s="1251"/>
      <c r="QT133" s="1251"/>
      <c r="QU133" s="1251"/>
      <c r="QV133" s="1251"/>
      <c r="QW133" s="1251"/>
      <c r="QX133" s="1251"/>
      <c r="QY133" s="1251"/>
      <c r="QZ133" s="1251"/>
      <c r="RA133" s="1251"/>
      <c r="RB133" s="1251"/>
      <c r="RC133" s="1251"/>
      <c r="RD133" s="1251"/>
      <c r="RE133" s="1251"/>
      <c r="RF133" s="1251"/>
      <c r="RG133" s="1251"/>
      <c r="RH133" s="1251"/>
      <c r="RI133" s="1251"/>
      <c r="RJ133" s="1251"/>
      <c r="RK133" s="1251"/>
      <c r="RL133" s="1251"/>
      <c r="RM133" s="1251"/>
      <c r="RN133" s="1251"/>
      <c r="RO133" s="1251"/>
      <c r="RP133" s="1251"/>
      <c r="RQ133" s="1251"/>
      <c r="RR133" s="1251"/>
      <c r="RS133" s="1251"/>
      <c r="RT133" s="1251"/>
      <c r="RU133" s="1251"/>
      <c r="RV133" s="1251"/>
      <c r="RW133" s="1251"/>
      <c r="RX133" s="1251"/>
      <c r="RY133" s="1251"/>
      <c r="RZ133" s="1251"/>
      <c r="SA133" s="1251"/>
      <c r="SB133" s="1251"/>
      <c r="SC133" s="1251"/>
      <c r="SD133" s="1251"/>
      <c r="SE133" s="1251"/>
      <c r="SF133" s="1251"/>
      <c r="SG133" s="1251"/>
      <c r="SH133" s="1251"/>
      <c r="SI133" s="1251"/>
      <c r="SJ133" s="1251"/>
      <c r="SK133" s="1251"/>
      <c r="SL133" s="1251"/>
      <c r="SM133" s="1251"/>
      <c r="SN133" s="1251"/>
      <c r="SO133" s="1251"/>
      <c r="SP133" s="1251"/>
      <c r="SQ133" s="1251"/>
      <c r="SR133" s="1251"/>
      <c r="SS133" s="1251"/>
      <c r="ST133" s="1251"/>
      <c r="SU133" s="1251"/>
      <c r="SV133" s="1251"/>
      <c r="SW133" s="1251"/>
      <c r="SX133" s="1251"/>
      <c r="SY133" s="1251"/>
      <c r="SZ133" s="1251"/>
      <c r="TA133" s="1251"/>
      <c r="TB133" s="1251"/>
      <c r="TC133" s="1251"/>
      <c r="TD133" s="1251"/>
      <c r="TE133" s="1251"/>
      <c r="TF133" s="1251"/>
      <c r="TG133" s="1251"/>
      <c r="TH133" s="1251"/>
      <c r="TI133" s="1251"/>
      <c r="TJ133" s="1251"/>
      <c r="TK133" s="1251"/>
      <c r="TL133" s="1251"/>
      <c r="TM133" s="1251"/>
      <c r="TN133" s="1251"/>
      <c r="TO133" s="1251"/>
      <c r="TP133" s="1251"/>
      <c r="TQ133" s="1251"/>
      <c r="TR133" s="1251"/>
      <c r="TS133" s="1251"/>
      <c r="TT133" s="1251"/>
      <c r="TU133" s="1251"/>
      <c r="TV133" s="1251"/>
      <c r="TW133" s="1251"/>
      <c r="TX133" s="1251"/>
      <c r="TY133" s="1251"/>
      <c r="TZ133" s="1251"/>
      <c r="UA133" s="1251"/>
      <c r="UB133" s="1251"/>
      <c r="UC133" s="1251"/>
      <c r="UD133" s="1251"/>
      <c r="UE133" s="1251"/>
      <c r="UF133" s="1251"/>
      <c r="UG133" s="1251"/>
      <c r="UH133" s="1251"/>
      <c r="UI133" s="1251"/>
      <c r="UJ133" s="1251"/>
      <c r="UK133" s="1251"/>
      <c r="UL133" s="1251"/>
      <c r="UM133" s="1251"/>
      <c r="UN133" s="1251"/>
      <c r="UO133" s="1251"/>
      <c r="UP133" s="1251"/>
      <c r="UQ133" s="1251"/>
      <c r="UR133" s="1251"/>
      <c r="US133" s="1251"/>
      <c r="UT133" s="1251"/>
      <c r="UU133" s="1251"/>
      <c r="UV133" s="1251"/>
      <c r="UW133" s="1251"/>
      <c r="UX133" s="1251"/>
      <c r="UY133" s="1251"/>
      <c r="UZ133" s="1251"/>
      <c r="VA133" s="1251"/>
      <c r="VB133" s="1251"/>
      <c r="VC133" s="1251"/>
      <c r="VD133" s="1251"/>
      <c r="VE133" s="1251"/>
      <c r="VF133" s="1251"/>
      <c r="VG133" s="1251"/>
      <c r="VH133" s="1251"/>
      <c r="VI133" s="1251"/>
      <c r="VJ133" s="1251"/>
      <c r="VK133" s="1251"/>
      <c r="VL133" s="1251"/>
      <c r="VM133" s="1251"/>
      <c r="VN133" s="1251"/>
      <c r="VO133" s="1251"/>
      <c r="VP133" s="1251"/>
      <c r="VQ133" s="1251"/>
      <c r="VR133" s="1251"/>
      <c r="VS133" s="1251"/>
      <c r="VT133" s="1251"/>
      <c r="VU133" s="1251"/>
      <c r="VV133" s="1251"/>
      <c r="VW133" s="1251"/>
      <c r="VX133" s="1251"/>
      <c r="VY133" s="1251"/>
      <c r="VZ133" s="1251"/>
      <c r="WA133" s="1251"/>
      <c r="WB133" s="1251"/>
      <c r="WC133" s="1251"/>
      <c r="WD133" s="1251"/>
      <c r="WE133" s="1251"/>
      <c r="WF133" s="1251"/>
      <c r="WG133" s="1251"/>
      <c r="WH133" s="1251"/>
      <c r="WI133" s="1251"/>
      <c r="WJ133" s="1251"/>
      <c r="WK133" s="1251"/>
      <c r="WL133" s="1251"/>
      <c r="WM133" s="1251"/>
      <c r="WN133" s="1251"/>
      <c r="WO133" s="1251"/>
      <c r="WP133" s="1251"/>
      <c r="WQ133" s="1251"/>
      <c r="WR133" s="1251"/>
      <c r="WS133" s="1251"/>
      <c r="WT133" s="1251"/>
      <c r="WU133" s="1251"/>
      <c r="WV133" s="1251"/>
      <c r="WW133" s="1251"/>
      <c r="WX133" s="1251"/>
      <c r="WY133" s="1251"/>
      <c r="WZ133" s="1251"/>
      <c r="XA133" s="1251"/>
      <c r="XB133" s="1251"/>
      <c r="XC133" s="1251"/>
      <c r="XD133" s="1251"/>
      <c r="XE133" s="1251"/>
      <c r="XF133" s="1251"/>
      <c r="XG133" s="1251"/>
      <c r="XH133" s="1251"/>
      <c r="XI133" s="1251"/>
      <c r="XJ133" s="1251"/>
      <c r="XK133" s="1251"/>
      <c r="XL133" s="1251"/>
      <c r="XM133" s="1251"/>
      <c r="XN133" s="1251"/>
      <c r="XO133" s="1251"/>
      <c r="XP133" s="1251"/>
      <c r="XQ133" s="1251"/>
      <c r="XR133" s="1251"/>
      <c r="XS133" s="1251"/>
      <c r="XT133" s="1251"/>
      <c r="XU133" s="1251"/>
      <c r="XV133" s="1251"/>
      <c r="XW133" s="1251"/>
      <c r="XX133" s="1251"/>
      <c r="XY133" s="1251"/>
      <c r="XZ133" s="1251"/>
      <c r="YA133" s="1251"/>
      <c r="YB133" s="1251"/>
      <c r="YC133" s="1251"/>
      <c r="YD133" s="1251"/>
      <c r="YE133" s="1251"/>
      <c r="YF133" s="1251"/>
      <c r="YG133" s="1251"/>
      <c r="YH133" s="1251"/>
      <c r="YI133" s="1251"/>
      <c r="YJ133" s="1251"/>
      <c r="YK133" s="1251"/>
      <c r="YL133" s="1251"/>
      <c r="YM133" s="1251"/>
      <c r="YN133" s="1251"/>
      <c r="YO133" s="1251"/>
      <c r="YP133" s="1251"/>
      <c r="YQ133" s="1251"/>
      <c r="YR133" s="1251"/>
      <c r="YS133" s="1251"/>
      <c r="YT133" s="1251"/>
      <c r="YU133" s="1251"/>
      <c r="YV133" s="1251"/>
      <c r="YW133" s="1251"/>
      <c r="YX133" s="1251"/>
      <c r="YY133" s="1251"/>
      <c r="YZ133" s="1251"/>
      <c r="ZA133" s="1251"/>
      <c r="ZB133" s="1251"/>
      <c r="ZC133" s="1251"/>
      <c r="ZD133" s="1251"/>
      <c r="ZE133" s="1251"/>
      <c r="ZF133" s="1251"/>
      <c r="ZG133" s="1251"/>
      <c r="ZH133" s="1251"/>
      <c r="ZI133" s="1251"/>
      <c r="ZJ133" s="1251"/>
      <c r="ZK133" s="1251"/>
      <c r="ZL133" s="1251"/>
      <c r="ZM133" s="1251"/>
      <c r="ZN133" s="1251"/>
      <c r="ZO133" s="1251"/>
      <c r="ZP133" s="1251"/>
      <c r="ZQ133" s="1251"/>
      <c r="ZR133" s="1251"/>
      <c r="ZS133" s="1251"/>
      <c r="ZT133" s="1251"/>
      <c r="ZU133" s="1251"/>
      <c r="ZV133" s="1251"/>
      <c r="ZW133" s="1251"/>
      <c r="ZX133" s="1251"/>
      <c r="ZY133" s="1251"/>
      <c r="ZZ133" s="1251"/>
      <c r="AAA133" s="1251"/>
      <c r="AAB133" s="1251"/>
      <c r="AAC133" s="1251"/>
      <c r="AAD133" s="1251"/>
      <c r="AAE133" s="1251"/>
      <c r="AAF133" s="1251"/>
      <c r="AAG133" s="1251"/>
      <c r="AAH133" s="1251"/>
      <c r="AAI133" s="1251"/>
      <c r="AAJ133" s="1251"/>
      <c r="AAK133" s="1251"/>
      <c r="AAL133" s="1251"/>
      <c r="AAM133" s="1251"/>
      <c r="AAN133" s="1251"/>
      <c r="AAO133" s="1251"/>
      <c r="AAP133" s="1251"/>
      <c r="AAQ133" s="1251"/>
      <c r="AAR133" s="1251"/>
      <c r="AAS133" s="1251"/>
      <c r="AAT133" s="1251"/>
      <c r="AAU133" s="1251"/>
      <c r="AAV133" s="1251"/>
      <c r="AAW133" s="1251"/>
      <c r="AAX133" s="1251"/>
      <c r="AAY133" s="1251"/>
      <c r="AAZ133" s="1251"/>
      <c r="ABA133" s="1251"/>
      <c r="ABB133" s="1251"/>
      <c r="ABC133" s="1251"/>
      <c r="ABD133" s="1251"/>
      <c r="ABE133" s="1251"/>
      <c r="ABF133" s="1251"/>
      <c r="ABG133" s="1251"/>
      <c r="ABH133" s="1251"/>
      <c r="ABI133" s="1251"/>
      <c r="ABJ133" s="1251"/>
      <c r="ABK133" s="1251"/>
      <c r="ABL133" s="1251"/>
      <c r="ABM133" s="1251"/>
      <c r="ABN133" s="1251"/>
      <c r="ABO133" s="1251"/>
      <c r="ABP133" s="1251"/>
      <c r="ABQ133" s="1251"/>
      <c r="ABR133" s="1251"/>
      <c r="ABS133" s="1251"/>
      <c r="ABT133" s="1251"/>
      <c r="ABU133" s="1251"/>
      <c r="ABV133" s="1251"/>
      <c r="ABW133" s="1251"/>
      <c r="ABX133" s="1251"/>
      <c r="ABY133" s="1251"/>
      <c r="ABZ133" s="1251"/>
      <c r="ACA133" s="1251"/>
      <c r="ACB133" s="1251"/>
      <c r="ACC133" s="1251"/>
      <c r="ACD133" s="1251"/>
      <c r="ACE133" s="1251"/>
      <c r="ACF133" s="1251"/>
      <c r="ACG133" s="1251"/>
      <c r="ACH133" s="1251"/>
      <c r="ACI133" s="1251"/>
      <c r="ACJ133" s="1251"/>
      <c r="ACK133" s="1251"/>
      <c r="ACL133" s="1251"/>
      <c r="ACM133" s="1251"/>
      <c r="ACN133" s="1251"/>
      <c r="ACO133" s="1251"/>
      <c r="ACP133" s="1251"/>
      <c r="ACQ133" s="1251"/>
      <c r="ACR133" s="1251"/>
      <c r="ACS133" s="1251"/>
      <c r="ACT133" s="1251"/>
      <c r="ACU133" s="1251"/>
      <c r="ACV133" s="1251"/>
      <c r="ACW133" s="1251"/>
      <c r="ACX133" s="1251"/>
      <c r="ACY133" s="1251"/>
      <c r="ACZ133" s="1251"/>
      <c r="ADA133" s="1251"/>
      <c r="ADB133" s="1251"/>
      <c r="ADC133" s="1251"/>
      <c r="ADD133" s="1251"/>
      <c r="ADE133" s="1251"/>
      <c r="ADF133" s="1251"/>
      <c r="ADG133" s="1251"/>
      <c r="ADH133" s="1251"/>
      <c r="ADI133" s="1251"/>
      <c r="ADJ133" s="1251"/>
      <c r="ADK133" s="1251"/>
      <c r="ADL133" s="1251"/>
      <c r="ADM133" s="1251"/>
      <c r="ADN133" s="1251"/>
      <c r="ADO133" s="1251"/>
      <c r="ADP133" s="1251"/>
      <c r="ADQ133" s="1251"/>
      <c r="ADR133" s="1251"/>
      <c r="ADS133" s="1251"/>
      <c r="ADT133" s="1251"/>
      <c r="ADU133" s="1251"/>
      <c r="ADV133" s="1251"/>
      <c r="ADW133" s="1251"/>
      <c r="ADX133" s="1251"/>
      <c r="ADY133" s="1251"/>
      <c r="ADZ133" s="1251"/>
      <c r="AEA133" s="1251"/>
      <c r="AEB133" s="1251"/>
      <c r="AEC133" s="1251"/>
      <c r="AED133" s="1251"/>
      <c r="AEE133" s="1251"/>
      <c r="AEF133" s="1251"/>
      <c r="AEG133" s="1251"/>
      <c r="AEH133" s="1251"/>
      <c r="AEI133" s="1251"/>
      <c r="AEJ133" s="1251"/>
      <c r="AEK133" s="1251"/>
      <c r="AEL133" s="1251"/>
      <c r="AEM133" s="1251"/>
      <c r="AEN133" s="1251"/>
      <c r="AEO133" s="1251"/>
      <c r="AEP133" s="1251"/>
      <c r="AEQ133" s="1251"/>
      <c r="AER133" s="1251"/>
      <c r="AES133" s="1251"/>
      <c r="AET133" s="1251"/>
      <c r="AEU133" s="1251"/>
      <c r="AEV133" s="1251"/>
      <c r="AEW133" s="1251"/>
      <c r="AEX133" s="1251"/>
      <c r="AEY133" s="1251"/>
      <c r="AEZ133" s="1251"/>
      <c r="AFA133" s="1251"/>
      <c r="AFB133" s="1251"/>
      <c r="AFC133" s="1251"/>
      <c r="AFD133" s="1251"/>
      <c r="AFE133" s="1251"/>
      <c r="AFF133" s="1251"/>
      <c r="AFG133" s="1251"/>
      <c r="AFH133" s="1251"/>
      <c r="AFI133" s="1251"/>
      <c r="AFJ133" s="1251"/>
      <c r="AFK133" s="1251"/>
      <c r="AFL133" s="1251"/>
      <c r="AFM133" s="1251"/>
      <c r="AFN133" s="1251"/>
      <c r="AFO133" s="1251"/>
      <c r="AFP133" s="1251"/>
      <c r="AFQ133" s="1251"/>
      <c r="AFR133" s="1251"/>
      <c r="AFS133" s="1251"/>
      <c r="AFT133" s="1251"/>
      <c r="AFU133" s="1251"/>
      <c r="AFV133" s="1251"/>
      <c r="AFW133" s="1251"/>
      <c r="AFX133" s="1251"/>
      <c r="AFY133" s="1251"/>
      <c r="AFZ133" s="1251"/>
      <c r="AGA133" s="1251"/>
      <c r="AGB133" s="1251"/>
      <c r="AGC133" s="1251"/>
      <c r="AGD133" s="1251"/>
      <c r="AGE133" s="1251"/>
      <c r="AGF133" s="1251"/>
      <c r="AGG133" s="1251"/>
      <c r="AGH133" s="1251"/>
      <c r="AGI133" s="1251"/>
      <c r="AGJ133" s="1251"/>
      <c r="AGK133" s="1251"/>
      <c r="AGL133" s="1251"/>
      <c r="AGM133" s="1251"/>
      <c r="AGN133" s="1251"/>
      <c r="AGO133" s="1251"/>
      <c r="AGP133" s="1251"/>
      <c r="AGQ133" s="1251"/>
      <c r="AGR133" s="1251"/>
      <c r="AGS133" s="1251"/>
      <c r="AGT133" s="1251"/>
      <c r="AGU133" s="1251"/>
      <c r="AGV133" s="1251"/>
      <c r="AGW133" s="1251"/>
      <c r="AGX133" s="1251"/>
      <c r="AGY133" s="1251"/>
      <c r="AGZ133" s="1251"/>
      <c r="AHA133" s="1251"/>
      <c r="AHB133" s="1251"/>
      <c r="AHC133" s="1251"/>
      <c r="AHD133" s="1251"/>
      <c r="AHE133" s="1251"/>
      <c r="AHF133" s="1251"/>
      <c r="AHG133" s="1251"/>
      <c r="AHH133" s="1251"/>
      <c r="AHI133" s="1251"/>
      <c r="AHJ133" s="1251"/>
      <c r="AHK133" s="1251"/>
      <c r="AHL133" s="1251"/>
      <c r="AHM133" s="1251"/>
      <c r="AHN133" s="1251"/>
      <c r="AHO133" s="1251"/>
      <c r="AHP133" s="1251"/>
      <c r="AHQ133" s="1251"/>
      <c r="AHR133" s="1251"/>
      <c r="AHS133" s="1251"/>
      <c r="AHT133" s="1251"/>
      <c r="AHU133" s="1251"/>
      <c r="AHV133" s="1251"/>
      <c r="AHW133" s="1251"/>
      <c r="AHX133" s="1251"/>
      <c r="AHY133" s="1251"/>
      <c r="AHZ133" s="1251"/>
      <c r="AIA133" s="1251"/>
      <c r="AIB133" s="1251"/>
      <c r="AIC133" s="1251"/>
      <c r="AID133" s="1251"/>
      <c r="AIE133" s="1251"/>
      <c r="AIF133" s="1251"/>
      <c r="AIG133" s="1251"/>
      <c r="AIH133" s="1251"/>
      <c r="AII133" s="1251"/>
      <c r="AIJ133" s="1251"/>
      <c r="AIK133" s="1251"/>
      <c r="AIL133" s="1251"/>
      <c r="AIM133" s="1251"/>
      <c r="AIN133" s="1251"/>
      <c r="AIO133" s="1251"/>
      <c r="AIP133" s="1251"/>
      <c r="AIQ133" s="1251"/>
      <c r="AIR133" s="1251"/>
      <c r="AIS133" s="1251"/>
      <c r="AIT133" s="1251"/>
      <c r="AIU133" s="1251"/>
      <c r="AIV133" s="1251"/>
      <c r="AIW133" s="1251"/>
      <c r="AIX133" s="1251"/>
      <c r="AIY133" s="1251"/>
      <c r="AIZ133" s="1251"/>
      <c r="AJA133" s="1251"/>
      <c r="AJB133" s="1251"/>
      <c r="AJC133" s="1251"/>
      <c r="AJD133" s="1251"/>
      <c r="AJE133" s="1251"/>
      <c r="AJF133" s="1251"/>
      <c r="AJG133" s="1251"/>
      <c r="AJH133" s="1251"/>
      <c r="AJI133" s="1251"/>
      <c r="AJJ133" s="1251"/>
      <c r="AJK133" s="1251"/>
      <c r="AJL133" s="1251"/>
      <c r="AJM133" s="1251"/>
      <c r="AJN133" s="1251"/>
      <c r="AJO133" s="1251"/>
      <c r="AJP133" s="1251"/>
      <c r="AJQ133" s="1251"/>
      <c r="AJR133" s="1251"/>
      <c r="AJS133" s="1251"/>
      <c r="AJT133" s="1251"/>
      <c r="AJU133" s="1251"/>
      <c r="AJV133" s="1251"/>
      <c r="AJW133" s="1251"/>
      <c r="AJX133" s="1251"/>
      <c r="AJY133" s="1251"/>
      <c r="AJZ133" s="1251"/>
      <c r="AKA133" s="1251"/>
      <c r="AKB133" s="1251"/>
      <c r="AKC133" s="1251"/>
      <c r="AKD133" s="1251"/>
      <c r="AKE133" s="1251"/>
      <c r="AKF133" s="1251"/>
      <c r="AKG133" s="1251"/>
      <c r="AKH133" s="1251"/>
      <c r="AKI133" s="1251"/>
      <c r="AKJ133" s="1251"/>
      <c r="AKK133" s="1251"/>
      <c r="AKL133" s="1251"/>
      <c r="AKM133" s="1251"/>
      <c r="AKN133" s="1251"/>
      <c r="AKO133" s="1251"/>
      <c r="AKP133" s="1251"/>
      <c r="AKQ133" s="1251"/>
      <c r="AKR133" s="1251"/>
      <c r="AKS133" s="1251"/>
      <c r="AKT133" s="1251"/>
      <c r="AKU133" s="1251"/>
      <c r="AKV133" s="1251"/>
      <c r="AKW133" s="1251"/>
      <c r="AKX133" s="1251"/>
      <c r="AKY133" s="1251"/>
      <c r="AKZ133" s="1251"/>
      <c r="ALA133" s="1251"/>
      <c r="ALB133" s="1251"/>
      <c r="ALC133" s="1251"/>
      <c r="ALD133" s="1251"/>
      <c r="ALE133" s="1251"/>
      <c r="ALF133" s="1251"/>
      <c r="ALG133" s="1251"/>
      <c r="ALH133" s="1251"/>
      <c r="ALI133" s="1251"/>
      <c r="ALJ133" s="1251"/>
      <c r="ALK133" s="1251"/>
      <c r="ALL133" s="1251"/>
      <c r="ALM133" s="1251"/>
      <c r="ALN133" s="1251"/>
      <c r="ALO133" s="1251"/>
      <c r="ALP133" s="1251"/>
      <c r="ALQ133" s="1251"/>
      <c r="ALR133" s="1251"/>
      <c r="ALS133" s="1251"/>
      <c r="ALT133" s="1251"/>
      <c r="ALU133" s="1251"/>
      <c r="ALV133" s="1251"/>
      <c r="ALW133" s="1251"/>
      <c r="ALX133" s="1251"/>
      <c r="ALY133" s="1251"/>
      <c r="ALZ133" s="1251"/>
      <c r="AMA133" s="1251"/>
      <c r="AMB133" s="1251"/>
      <c r="AMC133" s="1251"/>
      <c r="AMD133" s="1251"/>
      <c r="AME133" s="1251"/>
      <c r="AMF133" s="1251"/>
      <c r="AMG133" s="1251"/>
      <c r="AMH133" s="1251"/>
      <c r="AMI133" s="1251"/>
      <c r="AMJ133" s="1251"/>
      <c r="AMK133" s="1251"/>
      <c r="AML133" s="1251"/>
      <c r="AMM133" s="1251"/>
      <c r="AMN133" s="1251"/>
      <c r="AMO133" s="1251"/>
      <c r="AMP133" s="1251"/>
      <c r="AMQ133" s="1251"/>
      <c r="AMR133" s="1251"/>
      <c r="AMS133" s="1251"/>
      <c r="AMT133" s="1251"/>
      <c r="AMU133" s="1251"/>
      <c r="AMV133" s="1251"/>
      <c r="AMW133" s="1251"/>
      <c r="AMX133" s="1251"/>
      <c r="AMY133" s="1251"/>
      <c r="AMZ133" s="1251"/>
      <c r="ANA133" s="1251"/>
      <c r="ANB133" s="1251"/>
      <c r="ANC133" s="1251"/>
      <c r="AND133" s="1251"/>
      <c r="ANE133" s="1251"/>
      <c r="ANF133" s="1251"/>
      <c r="ANG133" s="1251"/>
      <c r="ANH133" s="1251"/>
      <c r="ANI133" s="1251"/>
      <c r="ANJ133" s="1251"/>
      <c r="ANK133" s="1251"/>
      <c r="ANL133" s="1251"/>
      <c r="ANM133" s="1251"/>
      <c r="ANN133" s="1251"/>
      <c r="ANO133" s="1251"/>
      <c r="ANP133" s="1251"/>
      <c r="ANQ133" s="1251"/>
      <c r="ANR133" s="1251"/>
      <c r="ANS133" s="1251"/>
      <c r="ANT133" s="1251"/>
      <c r="ANU133" s="1251"/>
      <c r="ANV133" s="1251"/>
      <c r="ANW133" s="1251"/>
      <c r="ANX133" s="1251"/>
      <c r="ANY133" s="1251"/>
      <c r="ANZ133" s="1251"/>
      <c r="AOA133" s="1251"/>
      <c r="AOB133" s="1251"/>
      <c r="AOC133" s="1251"/>
      <c r="AOD133" s="1251"/>
      <c r="AOE133" s="1251"/>
      <c r="AOF133" s="1251"/>
      <c r="AOG133" s="1251"/>
      <c r="AOH133" s="1251"/>
      <c r="AOI133" s="1251"/>
      <c r="AOJ133" s="1251"/>
      <c r="AOK133" s="1251"/>
      <c r="AOL133" s="1251"/>
      <c r="AOM133" s="1251"/>
      <c r="AON133" s="1251"/>
      <c r="AOO133" s="1251"/>
      <c r="AOP133" s="1251"/>
      <c r="AOQ133" s="1251"/>
      <c r="AOR133" s="1251"/>
      <c r="AOS133" s="1251"/>
      <c r="AOT133" s="1251"/>
      <c r="AOU133" s="1251"/>
      <c r="AOV133" s="1251"/>
      <c r="AOW133" s="1251"/>
      <c r="AOX133" s="1251"/>
      <c r="AOY133" s="1251"/>
      <c r="AOZ133" s="1251"/>
      <c r="APA133" s="1251"/>
      <c r="APB133" s="1251"/>
      <c r="APC133" s="1251"/>
      <c r="APD133" s="1251"/>
      <c r="APE133" s="1251"/>
      <c r="APF133" s="1251"/>
      <c r="APG133" s="1251"/>
      <c r="APH133" s="1251"/>
      <c r="API133" s="1251"/>
      <c r="APJ133" s="1251"/>
      <c r="APK133" s="1251"/>
      <c r="APL133" s="1251"/>
      <c r="APM133" s="1251"/>
      <c r="APN133" s="1251"/>
      <c r="APO133" s="1251"/>
      <c r="APP133" s="1251"/>
      <c r="APQ133" s="1251"/>
      <c r="APR133" s="1251"/>
      <c r="APS133" s="1251"/>
      <c r="APT133" s="1251"/>
      <c r="APU133" s="1251"/>
      <c r="APV133" s="1251"/>
      <c r="APW133" s="1251"/>
      <c r="APX133" s="1251"/>
      <c r="APY133" s="1251"/>
      <c r="APZ133" s="1251"/>
      <c r="AQA133" s="1251"/>
      <c r="AQB133" s="1251"/>
      <c r="AQC133" s="1251"/>
      <c r="AQD133" s="1251"/>
      <c r="AQE133" s="1251"/>
      <c r="AQF133" s="1251"/>
      <c r="AQG133" s="1251"/>
      <c r="AQH133" s="1251"/>
      <c r="AQI133" s="1251"/>
      <c r="AQJ133" s="1251"/>
      <c r="AQK133" s="1251"/>
      <c r="AQL133" s="1251"/>
      <c r="AQM133" s="1251"/>
      <c r="AQN133" s="1251"/>
      <c r="AQO133" s="1251"/>
      <c r="AQP133" s="1251"/>
      <c r="AQQ133" s="1251"/>
      <c r="AQR133" s="1251"/>
      <c r="AQS133" s="1251"/>
      <c r="AQT133" s="1251"/>
      <c r="AQU133" s="1251"/>
      <c r="AQV133" s="1251"/>
      <c r="AQW133" s="1251"/>
      <c r="AQX133" s="1251"/>
      <c r="AQY133" s="1251"/>
      <c r="AQZ133" s="1251"/>
      <c r="ARA133" s="1251"/>
      <c r="ARB133" s="1251"/>
      <c r="ARC133" s="1251"/>
      <c r="ARD133" s="1251"/>
      <c r="ARE133" s="1251"/>
      <c r="ARF133" s="1251"/>
      <c r="ARG133" s="1251"/>
      <c r="ARH133" s="1251"/>
      <c r="ARI133" s="1251"/>
      <c r="ARJ133" s="1251"/>
      <c r="ARK133" s="1251"/>
      <c r="ARL133" s="1251"/>
      <c r="ARM133" s="1251"/>
      <c r="ARN133" s="1251"/>
      <c r="ARO133" s="1251"/>
      <c r="ARP133" s="1251"/>
      <c r="ARQ133" s="1251"/>
      <c r="ARR133" s="1251"/>
      <c r="ARS133" s="1251"/>
      <c r="ART133" s="1251"/>
      <c r="ARU133" s="1251"/>
      <c r="ARV133" s="1251"/>
      <c r="ARW133" s="1251"/>
      <c r="ARX133" s="1251"/>
      <c r="ARY133" s="1251"/>
      <c r="ARZ133" s="1251"/>
      <c r="ASA133" s="1251"/>
      <c r="ASB133" s="1251"/>
      <c r="ASC133" s="1251"/>
      <c r="ASD133" s="1251"/>
      <c r="ASE133" s="1251"/>
      <c r="ASF133" s="1251"/>
      <c r="ASG133" s="1251"/>
      <c r="ASH133" s="1251"/>
      <c r="ASI133" s="1251"/>
      <c r="ASJ133" s="1251"/>
      <c r="ASK133" s="1251"/>
      <c r="ASL133" s="1251"/>
      <c r="ASM133" s="1251"/>
      <c r="ASN133" s="1251"/>
      <c r="ASO133" s="1251"/>
      <c r="ASP133" s="1251"/>
      <c r="ASQ133" s="1251"/>
      <c r="ASR133" s="1251"/>
      <c r="ASS133" s="1251"/>
      <c r="AST133" s="1251"/>
      <c r="ASU133" s="1251"/>
      <c r="ASV133" s="1251"/>
      <c r="ASW133" s="1251"/>
      <c r="ASX133" s="1251"/>
      <c r="ASY133" s="1251"/>
      <c r="ASZ133" s="1251"/>
      <c r="ATA133" s="1251"/>
      <c r="ATB133" s="1251"/>
      <c r="ATC133" s="1251"/>
      <c r="ATD133" s="1251"/>
      <c r="ATE133" s="1251"/>
      <c r="ATF133" s="1251"/>
      <c r="ATG133" s="1251"/>
      <c r="ATH133" s="1251"/>
      <c r="ATI133" s="1251"/>
      <c r="ATJ133" s="1251"/>
      <c r="ATK133" s="1251"/>
      <c r="ATL133" s="1251"/>
      <c r="ATM133" s="1251"/>
      <c r="ATN133" s="1251"/>
      <c r="ATO133" s="1251"/>
      <c r="ATP133" s="1251"/>
      <c r="ATQ133" s="1251"/>
      <c r="ATR133" s="1251"/>
      <c r="ATS133" s="1251"/>
      <c r="ATT133" s="1251"/>
      <c r="ATU133" s="1251"/>
      <c r="ATV133" s="1251"/>
      <c r="ATW133" s="1251"/>
      <c r="ATX133" s="1251"/>
      <c r="ATY133" s="1251"/>
      <c r="ATZ133" s="1251"/>
      <c r="AUA133" s="1251"/>
      <c r="AUB133" s="1251"/>
      <c r="AUC133" s="1251"/>
      <c r="AUD133" s="1251"/>
      <c r="AUE133" s="1251"/>
      <c r="AUF133" s="1251"/>
      <c r="AUG133" s="1251"/>
      <c r="AUH133" s="1251"/>
      <c r="AUI133" s="1251"/>
      <c r="AUJ133" s="1251"/>
      <c r="AUK133" s="1251"/>
      <c r="AUL133" s="1251"/>
      <c r="AUM133" s="1251"/>
      <c r="AUN133" s="1251"/>
      <c r="AUO133" s="1251"/>
      <c r="AUP133" s="1251"/>
      <c r="AUQ133" s="1251"/>
      <c r="AUR133" s="1251"/>
      <c r="AUS133" s="1251"/>
      <c r="AUT133" s="1251"/>
      <c r="AUU133" s="1251"/>
      <c r="AUV133" s="1251"/>
      <c r="AUW133" s="1251"/>
      <c r="AUX133" s="1251"/>
      <c r="AUY133" s="1251"/>
      <c r="AUZ133" s="1251"/>
      <c r="AVA133" s="1251"/>
      <c r="AVB133" s="1251"/>
      <c r="AVC133" s="1251"/>
      <c r="AVD133" s="1251"/>
      <c r="AVE133" s="1251"/>
      <c r="AVF133" s="1251"/>
      <c r="AVG133" s="1251"/>
      <c r="AVH133" s="1251"/>
      <c r="AVI133" s="1251"/>
      <c r="AVJ133" s="1251"/>
      <c r="AVK133" s="1251"/>
      <c r="AVL133" s="1251"/>
      <c r="AVM133" s="1251"/>
      <c r="AVN133" s="1251"/>
      <c r="AVO133" s="1251"/>
      <c r="AVP133" s="1251"/>
      <c r="AVQ133" s="1251"/>
      <c r="AVR133" s="1251"/>
      <c r="AVS133" s="1251"/>
      <c r="AVT133" s="1251"/>
      <c r="AVU133" s="1251"/>
      <c r="AVV133" s="1251"/>
      <c r="AVW133" s="1251"/>
      <c r="AVX133" s="1251"/>
      <c r="AVY133" s="1251"/>
      <c r="AVZ133" s="1251"/>
      <c r="AWA133" s="1251"/>
      <c r="AWB133" s="1251"/>
      <c r="AWC133" s="1251"/>
      <c r="AWD133" s="1251"/>
      <c r="AWE133" s="1251"/>
      <c r="AWF133" s="1251"/>
      <c r="AWG133" s="1251"/>
      <c r="AWH133" s="1251"/>
      <c r="AWI133" s="1251"/>
      <c r="AWJ133" s="1251"/>
      <c r="AWK133" s="1251"/>
      <c r="AWL133" s="1251"/>
      <c r="AWM133" s="1251"/>
      <c r="AWN133" s="1251"/>
      <c r="AWO133" s="1251"/>
      <c r="AWP133" s="1251"/>
      <c r="AWQ133" s="1251"/>
      <c r="AWR133" s="1251"/>
      <c r="AWS133" s="1251"/>
      <c r="AWT133" s="1251"/>
      <c r="AWU133" s="1251"/>
      <c r="AWV133" s="1251"/>
      <c r="AWW133" s="1251"/>
      <c r="AWX133" s="1251"/>
      <c r="AWY133" s="1251"/>
      <c r="AWZ133" s="1251"/>
      <c r="AXA133" s="1251"/>
      <c r="AXB133" s="1251"/>
      <c r="AXC133" s="1251"/>
      <c r="AXD133" s="1251"/>
      <c r="AXE133" s="1251"/>
      <c r="AXF133" s="1251"/>
      <c r="AXG133" s="1251"/>
      <c r="AXH133" s="1251"/>
      <c r="AXI133" s="1251"/>
      <c r="AXJ133" s="1251"/>
      <c r="AXK133" s="1251"/>
      <c r="AXL133" s="1251"/>
      <c r="AXM133" s="1251"/>
      <c r="AXN133" s="1251"/>
      <c r="AXO133" s="1251"/>
      <c r="AXP133" s="1251"/>
      <c r="AXQ133" s="1251"/>
      <c r="AXR133" s="1251"/>
      <c r="AXS133" s="1251"/>
      <c r="AXT133" s="1251"/>
      <c r="AXU133" s="1251"/>
      <c r="AXV133" s="1251"/>
      <c r="AXW133" s="1251"/>
      <c r="AXX133" s="1251"/>
      <c r="AXY133" s="1251"/>
      <c r="AXZ133" s="1251"/>
      <c r="AYA133" s="1251"/>
      <c r="AYB133" s="1251"/>
      <c r="AYC133" s="1251"/>
      <c r="AYD133" s="1251"/>
      <c r="AYE133" s="1251"/>
      <c r="AYF133" s="1251"/>
      <c r="AYG133" s="1251"/>
      <c r="AYH133" s="1251"/>
      <c r="AYI133" s="1251"/>
      <c r="AYJ133" s="1251"/>
      <c r="AYK133" s="1251"/>
      <c r="AYL133" s="1251"/>
      <c r="AYM133" s="1251"/>
      <c r="AYN133" s="1251"/>
      <c r="AYO133" s="1251"/>
      <c r="AYP133" s="1251"/>
      <c r="AYQ133" s="1251"/>
      <c r="AYR133" s="1251"/>
      <c r="AYS133" s="1251"/>
      <c r="AYT133" s="1251"/>
      <c r="AYU133" s="1251"/>
      <c r="AYV133" s="1251"/>
      <c r="AYW133" s="1251"/>
      <c r="AYX133" s="1251"/>
      <c r="AYY133" s="1251"/>
      <c r="AYZ133" s="1251"/>
      <c r="AZA133" s="1251"/>
      <c r="AZB133" s="1251"/>
      <c r="AZC133" s="1251"/>
      <c r="AZD133" s="1251"/>
      <c r="AZE133" s="1251"/>
      <c r="AZF133" s="1251"/>
      <c r="AZG133" s="1251"/>
      <c r="AZH133" s="1251"/>
      <c r="AZI133" s="1251"/>
      <c r="AZJ133" s="1251"/>
      <c r="AZK133" s="1251"/>
      <c r="AZL133" s="1251"/>
      <c r="AZM133" s="1251"/>
      <c r="AZN133" s="1251"/>
      <c r="AZO133" s="1251"/>
      <c r="AZP133" s="1251"/>
      <c r="AZQ133" s="1251"/>
      <c r="AZR133" s="1251"/>
      <c r="AZS133" s="1251"/>
      <c r="AZT133" s="1251"/>
      <c r="AZU133" s="1251"/>
      <c r="AZV133" s="1251"/>
      <c r="AZW133" s="1251"/>
      <c r="AZX133" s="1251"/>
      <c r="AZY133" s="1251"/>
      <c r="AZZ133" s="1251"/>
      <c r="BAA133" s="1251"/>
      <c r="BAB133" s="1251"/>
      <c r="BAC133" s="1251"/>
      <c r="BAD133" s="1251"/>
      <c r="BAE133" s="1251"/>
      <c r="BAF133" s="1251"/>
      <c r="BAG133" s="1251"/>
      <c r="BAH133" s="1251"/>
      <c r="BAI133" s="1251"/>
      <c r="BAJ133" s="1251"/>
      <c r="BAK133" s="1251"/>
      <c r="BAL133" s="1251"/>
      <c r="BAM133" s="1251"/>
      <c r="BAN133" s="1251"/>
      <c r="BAO133" s="1251"/>
      <c r="BAP133" s="1251"/>
      <c r="BAQ133" s="1251"/>
      <c r="BAR133" s="1251"/>
      <c r="BAS133" s="1251"/>
      <c r="BAT133" s="1251"/>
      <c r="BAU133" s="1251"/>
      <c r="BAV133" s="1251"/>
      <c r="BAW133" s="1251"/>
      <c r="BAX133" s="1251"/>
      <c r="BAY133" s="1251"/>
      <c r="BAZ133" s="1251"/>
      <c r="BBA133" s="1251"/>
      <c r="BBB133" s="1251"/>
      <c r="BBC133" s="1251"/>
      <c r="BBD133" s="1251"/>
      <c r="BBE133" s="1251"/>
      <c r="BBF133" s="1251"/>
      <c r="BBG133" s="1251"/>
      <c r="BBH133" s="1251"/>
      <c r="BBI133" s="1251"/>
      <c r="BBJ133" s="1251"/>
      <c r="BBK133" s="1251"/>
      <c r="BBL133" s="1251"/>
      <c r="BBM133" s="1251"/>
      <c r="BBN133" s="1251"/>
      <c r="BBO133" s="1251"/>
      <c r="BBP133" s="1251"/>
      <c r="BBQ133" s="1251"/>
      <c r="BBR133" s="1251"/>
      <c r="BBS133" s="1251"/>
      <c r="BBT133" s="1251"/>
      <c r="BBU133" s="1251"/>
      <c r="BBV133" s="1251"/>
      <c r="BBW133" s="1251"/>
      <c r="BBX133" s="1251"/>
      <c r="BBY133" s="1251"/>
      <c r="BBZ133" s="1251"/>
      <c r="BCA133" s="1251"/>
      <c r="BCB133" s="1251"/>
      <c r="BCC133" s="1251"/>
      <c r="BCD133" s="1251"/>
      <c r="BCE133" s="1251"/>
      <c r="BCF133" s="1251"/>
      <c r="BCG133" s="1251"/>
      <c r="BCH133" s="1251"/>
      <c r="BCI133" s="1251"/>
      <c r="BCJ133" s="1251"/>
      <c r="BCK133" s="1251"/>
      <c r="BCL133" s="1251"/>
      <c r="BCM133" s="1251"/>
      <c r="BCN133" s="1251"/>
      <c r="BCO133" s="1251"/>
      <c r="BCP133" s="1251"/>
      <c r="BCQ133" s="1251"/>
      <c r="BCR133" s="1251"/>
      <c r="BCS133" s="1251"/>
      <c r="BCT133" s="1251"/>
      <c r="BCU133" s="1251"/>
      <c r="BCV133" s="1251"/>
      <c r="BCW133" s="1251"/>
      <c r="BCX133" s="1251"/>
      <c r="BCY133" s="1251"/>
      <c r="BCZ133" s="1251"/>
      <c r="BDA133" s="1251"/>
      <c r="BDB133" s="1251"/>
      <c r="BDC133" s="1251"/>
      <c r="BDD133" s="1251"/>
      <c r="BDE133" s="1251"/>
      <c r="BDF133" s="1251"/>
      <c r="BDG133" s="1251"/>
      <c r="BDH133" s="1251"/>
      <c r="BDI133" s="1251"/>
      <c r="BDJ133" s="1251"/>
      <c r="BDK133" s="1251"/>
      <c r="BDL133" s="1251"/>
      <c r="BDM133" s="1251"/>
      <c r="BDN133" s="1251"/>
      <c r="BDO133" s="1251"/>
      <c r="BDP133" s="1251"/>
      <c r="BDQ133" s="1251"/>
      <c r="BDR133" s="1251"/>
      <c r="BDS133" s="1251"/>
      <c r="BDT133" s="1251"/>
      <c r="BDU133" s="1251"/>
      <c r="BDV133" s="1251"/>
      <c r="BDW133" s="1251"/>
      <c r="BDX133" s="1251"/>
      <c r="BDY133" s="1251"/>
      <c r="BDZ133" s="1251"/>
      <c r="BEA133" s="1251"/>
      <c r="BEB133" s="1251"/>
      <c r="BEC133" s="1251"/>
      <c r="BED133" s="1251"/>
      <c r="BEE133" s="1251"/>
      <c r="BEF133" s="1251"/>
      <c r="BEG133" s="1251"/>
      <c r="BEH133" s="1251"/>
      <c r="BEI133" s="1251"/>
      <c r="BEJ133" s="1251"/>
      <c r="BEK133" s="1251"/>
      <c r="BEL133" s="1251"/>
      <c r="BEM133" s="1251"/>
      <c r="BEN133" s="1251"/>
      <c r="BEO133" s="1251"/>
      <c r="BEP133" s="1251"/>
      <c r="BEQ133" s="1251"/>
      <c r="BER133" s="1251"/>
      <c r="BES133" s="1251"/>
      <c r="BET133" s="1251"/>
      <c r="BEU133" s="1251"/>
      <c r="BEV133" s="1251"/>
      <c r="BEW133" s="1251"/>
      <c r="BEX133" s="1251"/>
      <c r="BEY133" s="1251"/>
      <c r="BEZ133" s="1251"/>
      <c r="BFA133" s="1251"/>
      <c r="BFB133" s="1251"/>
      <c r="BFC133" s="1251"/>
      <c r="BFD133" s="1251"/>
      <c r="BFE133" s="1251"/>
      <c r="BFF133" s="1251"/>
      <c r="BFG133" s="1251"/>
      <c r="BFH133" s="1251"/>
      <c r="BFI133" s="1251"/>
      <c r="BFJ133" s="1251"/>
      <c r="BFK133" s="1251"/>
      <c r="BFL133" s="1251"/>
      <c r="BFM133" s="1251"/>
      <c r="BFN133" s="1251"/>
      <c r="BFO133" s="1251"/>
      <c r="BFP133" s="1251"/>
      <c r="BFQ133" s="1251"/>
      <c r="BFR133" s="1251"/>
      <c r="BFS133" s="1251"/>
      <c r="BFT133" s="1251"/>
      <c r="BFU133" s="1251"/>
      <c r="BFV133" s="1251"/>
      <c r="BFW133" s="1251"/>
      <c r="BFX133" s="1251"/>
      <c r="BFY133" s="1251"/>
      <c r="BFZ133" s="1251"/>
      <c r="BGA133" s="1251"/>
      <c r="BGB133" s="1251"/>
      <c r="BGC133" s="1251"/>
      <c r="BGD133" s="1251"/>
      <c r="BGE133" s="1251"/>
      <c r="BGF133" s="1251"/>
      <c r="BGG133" s="1251"/>
      <c r="BGH133" s="1251"/>
      <c r="BGI133" s="1251"/>
      <c r="BGJ133" s="1251"/>
      <c r="BGK133" s="1251"/>
      <c r="BGL133" s="1251"/>
      <c r="BGM133" s="1251"/>
      <c r="BGN133" s="1251"/>
      <c r="BGO133" s="1251"/>
      <c r="BGP133" s="1251"/>
      <c r="BGQ133" s="1251"/>
      <c r="BGR133" s="1251"/>
      <c r="BGS133" s="1251"/>
      <c r="BGT133" s="1251"/>
      <c r="BGU133" s="1251"/>
      <c r="BGV133" s="1251"/>
      <c r="BGW133" s="1251"/>
      <c r="BGX133" s="1251"/>
      <c r="BGY133" s="1251"/>
      <c r="BGZ133" s="1251"/>
      <c r="BHA133" s="1251"/>
      <c r="BHB133" s="1251"/>
      <c r="BHC133" s="1251"/>
      <c r="BHD133" s="1251"/>
      <c r="BHE133" s="1251"/>
      <c r="BHF133" s="1251"/>
      <c r="BHG133" s="1251"/>
      <c r="BHH133" s="1251"/>
      <c r="BHI133" s="1251"/>
      <c r="BHJ133" s="1251"/>
      <c r="BHK133" s="1251"/>
      <c r="BHL133" s="1251"/>
      <c r="BHM133" s="1251"/>
      <c r="BHN133" s="1251"/>
      <c r="BHO133" s="1251"/>
      <c r="BHP133" s="1251"/>
      <c r="BHQ133" s="1251"/>
      <c r="BHR133" s="1251"/>
      <c r="BHS133" s="1251"/>
      <c r="BHT133" s="1251"/>
      <c r="BHU133" s="1251"/>
      <c r="BHV133" s="1251"/>
      <c r="BHW133" s="1251"/>
      <c r="BHX133" s="1251"/>
      <c r="BHY133" s="1251"/>
      <c r="BHZ133" s="1251"/>
      <c r="BIA133" s="1251"/>
      <c r="BIB133" s="1251"/>
      <c r="BIC133" s="1251"/>
      <c r="BID133" s="1251"/>
      <c r="BIE133" s="1251"/>
      <c r="BIF133" s="1251"/>
      <c r="BIG133" s="1251"/>
      <c r="BIH133" s="1251"/>
      <c r="BII133" s="1251"/>
      <c r="BIJ133" s="1251"/>
      <c r="BIK133" s="1251"/>
      <c r="BIL133" s="1251"/>
      <c r="BIM133" s="1251"/>
      <c r="BIN133" s="1251"/>
      <c r="BIO133" s="1251"/>
      <c r="BIP133" s="1251"/>
      <c r="BIQ133" s="1251"/>
      <c r="BIR133" s="1251"/>
      <c r="BIS133" s="1251"/>
      <c r="BIT133" s="1251"/>
      <c r="BIU133" s="1251"/>
      <c r="BIV133" s="1251"/>
      <c r="BIW133" s="1251"/>
      <c r="BIX133" s="1251"/>
      <c r="BIY133" s="1251"/>
      <c r="BIZ133" s="1251"/>
      <c r="BJA133" s="1251"/>
      <c r="BJB133" s="1251"/>
      <c r="BJC133" s="1251"/>
      <c r="BJD133" s="1251"/>
      <c r="BJE133" s="1251"/>
      <c r="BJF133" s="1251"/>
      <c r="BJG133" s="1251"/>
      <c r="BJH133" s="1251"/>
      <c r="BJI133" s="1251"/>
      <c r="BJJ133" s="1251"/>
      <c r="BJK133" s="1251"/>
      <c r="BJL133" s="1251"/>
      <c r="BJM133" s="1251"/>
      <c r="BJN133" s="1251"/>
      <c r="BJO133" s="1251"/>
      <c r="BJP133" s="1251"/>
      <c r="BJQ133" s="1251"/>
      <c r="BJR133" s="1251"/>
      <c r="BJS133" s="1251"/>
      <c r="BJT133" s="1251"/>
      <c r="BJU133" s="1251"/>
      <c r="BJV133" s="1251"/>
      <c r="BJW133" s="1251"/>
      <c r="BJX133" s="1251"/>
      <c r="BJY133" s="1251"/>
      <c r="BJZ133" s="1251"/>
      <c r="BKA133" s="1251"/>
      <c r="BKB133" s="1251"/>
      <c r="BKC133" s="1251"/>
      <c r="BKD133" s="1251"/>
      <c r="BKE133" s="1251"/>
      <c r="BKF133" s="1251"/>
      <c r="BKG133" s="1251"/>
      <c r="BKH133" s="1251"/>
      <c r="BKI133" s="1251"/>
      <c r="BKJ133" s="1251"/>
      <c r="BKK133" s="1251"/>
      <c r="BKL133" s="1251"/>
      <c r="BKM133" s="1251"/>
      <c r="BKN133" s="1251"/>
      <c r="BKO133" s="1251"/>
      <c r="BKP133" s="1251"/>
      <c r="BKQ133" s="1251"/>
      <c r="BKR133" s="1251"/>
      <c r="BKS133" s="1251"/>
      <c r="BKT133" s="1251"/>
      <c r="BKU133" s="1251"/>
      <c r="BKV133" s="1251"/>
      <c r="BKW133" s="1251"/>
      <c r="BKX133" s="1251"/>
      <c r="BKY133" s="1251"/>
      <c r="BKZ133" s="1251"/>
      <c r="BLA133" s="1251"/>
      <c r="BLB133" s="1251"/>
      <c r="BLC133" s="1251"/>
      <c r="BLD133" s="1251"/>
      <c r="BLE133" s="1251"/>
      <c r="BLF133" s="1251"/>
      <c r="BLG133" s="1251"/>
      <c r="BLH133" s="1251"/>
      <c r="BLI133" s="1251"/>
      <c r="BLJ133" s="1251"/>
      <c r="BLK133" s="1251"/>
      <c r="BLL133" s="1251"/>
      <c r="BLM133" s="1251"/>
      <c r="BLN133" s="1251"/>
      <c r="BLO133" s="1251"/>
      <c r="BLP133" s="1251"/>
      <c r="BLQ133" s="1251"/>
      <c r="BLR133" s="1251"/>
      <c r="BLS133" s="1251"/>
      <c r="BLT133" s="1251"/>
      <c r="BLU133" s="1251"/>
      <c r="BLV133" s="1251"/>
      <c r="BLW133" s="1251"/>
      <c r="BLX133" s="1251"/>
      <c r="BLY133" s="1251"/>
      <c r="BLZ133" s="1251"/>
      <c r="BMA133" s="1251"/>
      <c r="BMB133" s="1251"/>
      <c r="BMC133" s="1251"/>
      <c r="BMD133" s="1251"/>
      <c r="BME133" s="1251"/>
      <c r="BMF133" s="1251"/>
      <c r="BMG133" s="1251"/>
      <c r="BMH133" s="1251"/>
      <c r="BMI133" s="1251"/>
      <c r="BMJ133" s="1251"/>
      <c r="BMK133" s="1251"/>
      <c r="BML133" s="1251"/>
      <c r="BMM133" s="1251"/>
      <c r="BMN133" s="1251"/>
      <c r="BMO133" s="1251"/>
      <c r="BMP133" s="1251"/>
      <c r="BMQ133" s="1251"/>
      <c r="BMR133" s="1251"/>
      <c r="BMS133" s="1251"/>
      <c r="BMT133" s="1251"/>
      <c r="BMU133" s="1251"/>
      <c r="BMV133" s="1251"/>
      <c r="BMW133" s="1251"/>
      <c r="BMX133" s="1251"/>
      <c r="BMY133" s="1251"/>
      <c r="BMZ133" s="1251"/>
      <c r="BNA133" s="1251"/>
      <c r="BNB133" s="1251"/>
      <c r="BNC133" s="1251"/>
      <c r="BND133" s="1251"/>
      <c r="BNE133" s="1251"/>
      <c r="BNF133" s="1251"/>
      <c r="BNG133" s="1251"/>
      <c r="BNH133" s="1251"/>
      <c r="BNI133" s="1251"/>
      <c r="BNJ133" s="1251"/>
      <c r="BNK133" s="1251"/>
      <c r="BNL133" s="1251"/>
      <c r="BNM133" s="1251"/>
      <c r="BNN133" s="1251"/>
      <c r="BNO133" s="1251"/>
      <c r="BNP133" s="1251"/>
      <c r="BNQ133" s="1251"/>
      <c r="BNR133" s="1251"/>
      <c r="BNS133" s="1251"/>
      <c r="BNT133" s="1251"/>
      <c r="BNU133" s="1251"/>
      <c r="BNV133" s="1251"/>
      <c r="BNW133" s="1251"/>
      <c r="BNX133" s="1251"/>
      <c r="BNY133" s="1251"/>
      <c r="BNZ133" s="1251"/>
      <c r="BOA133" s="1251"/>
      <c r="BOB133" s="1251"/>
      <c r="BOC133" s="1251"/>
      <c r="BOD133" s="1251"/>
      <c r="BOE133" s="1251"/>
      <c r="BOF133" s="1251"/>
      <c r="BOG133" s="1251"/>
      <c r="BOH133" s="1251"/>
      <c r="BOI133" s="1251"/>
      <c r="BOJ133" s="1251"/>
      <c r="BOK133" s="1251"/>
      <c r="BOL133" s="1251"/>
      <c r="BOM133" s="1251"/>
      <c r="BON133" s="1251"/>
      <c r="BOO133" s="1251"/>
      <c r="BOP133" s="1251"/>
      <c r="BOQ133" s="1251"/>
      <c r="BOR133" s="1251"/>
      <c r="BOS133" s="1251"/>
      <c r="BOT133" s="1251"/>
      <c r="BOU133" s="1251"/>
      <c r="BOV133" s="1251"/>
      <c r="BOW133" s="1251"/>
      <c r="BOX133" s="1251"/>
      <c r="BOY133" s="1251"/>
      <c r="BOZ133" s="1251"/>
      <c r="BPA133" s="1251"/>
      <c r="BPB133" s="1251"/>
      <c r="BPC133" s="1251"/>
      <c r="BPD133" s="1251"/>
      <c r="BPE133" s="1251"/>
      <c r="BPF133" s="1251"/>
      <c r="BPG133" s="1251"/>
      <c r="BPH133" s="1251"/>
      <c r="BPI133" s="1251"/>
      <c r="BPJ133" s="1251"/>
      <c r="BPK133" s="1251"/>
      <c r="BPL133" s="1251"/>
      <c r="BPM133" s="1251"/>
      <c r="BPN133" s="1251"/>
      <c r="BPO133" s="1251"/>
      <c r="BPP133" s="1251"/>
      <c r="BPQ133" s="1251"/>
      <c r="BPR133" s="1251"/>
      <c r="BPS133" s="1251"/>
      <c r="BPT133" s="1251"/>
      <c r="BPU133" s="1251"/>
      <c r="BPV133" s="1251"/>
      <c r="BPW133" s="1251"/>
      <c r="BPX133" s="1251"/>
      <c r="BPY133" s="1251"/>
      <c r="BPZ133" s="1251"/>
      <c r="BQA133" s="1251"/>
      <c r="BQB133" s="1251"/>
      <c r="BQC133" s="1251"/>
      <c r="BQD133" s="1251"/>
      <c r="BQE133" s="1251"/>
      <c r="BQF133" s="1251"/>
      <c r="BQG133" s="1251"/>
      <c r="BQH133" s="1251"/>
      <c r="BQI133" s="1251"/>
      <c r="BQJ133" s="1251"/>
      <c r="BQK133" s="1251"/>
      <c r="BQL133" s="1251"/>
      <c r="BQM133" s="1251"/>
      <c r="BQN133" s="1251"/>
      <c r="BQO133" s="1251"/>
      <c r="BQP133" s="1251"/>
      <c r="BQQ133" s="1251"/>
      <c r="BQR133" s="1251"/>
      <c r="BQS133" s="1251"/>
      <c r="BQT133" s="1251"/>
      <c r="BQU133" s="1251"/>
      <c r="BQV133" s="1251"/>
      <c r="BQW133" s="1251"/>
      <c r="BQX133" s="1251"/>
      <c r="BQY133" s="1251"/>
      <c r="BQZ133" s="1251"/>
      <c r="BRA133" s="1251"/>
      <c r="BRB133" s="1251"/>
      <c r="BRC133" s="1251"/>
      <c r="BRD133" s="1251"/>
      <c r="BRE133" s="1251"/>
      <c r="BRF133" s="1251"/>
      <c r="BRG133" s="1251"/>
      <c r="BRH133" s="1251"/>
      <c r="BRI133" s="1251"/>
      <c r="BRJ133" s="1251"/>
      <c r="BRK133" s="1251"/>
      <c r="BRL133" s="1251"/>
      <c r="BRM133" s="1251"/>
      <c r="BRN133" s="1251"/>
      <c r="BRO133" s="1251"/>
      <c r="BRP133" s="1251"/>
      <c r="BRQ133" s="1251"/>
      <c r="BRR133" s="1251"/>
      <c r="BRS133" s="1251"/>
      <c r="BRT133" s="1251"/>
      <c r="BRU133" s="1251"/>
      <c r="BRV133" s="1251"/>
      <c r="BRW133" s="1251"/>
      <c r="BRX133" s="1251"/>
      <c r="BRY133" s="1251"/>
      <c r="BRZ133" s="1251"/>
      <c r="BSA133" s="1251"/>
      <c r="BSB133" s="1251"/>
      <c r="BSC133" s="1251"/>
      <c r="BSD133" s="1251"/>
      <c r="BSE133" s="1251"/>
      <c r="BSF133" s="1251"/>
      <c r="BSG133" s="1251"/>
      <c r="BSH133" s="1251"/>
      <c r="BSI133" s="1251"/>
      <c r="BSJ133" s="1251"/>
      <c r="BSK133" s="1251"/>
      <c r="BSL133" s="1251"/>
      <c r="BSM133" s="1251"/>
      <c r="BSN133" s="1251"/>
      <c r="BSO133" s="1251"/>
      <c r="BSP133" s="1251"/>
      <c r="BSQ133" s="1251"/>
      <c r="BSR133" s="1251"/>
      <c r="BSS133" s="1251"/>
      <c r="BST133" s="1251"/>
      <c r="BSU133" s="1251"/>
      <c r="BSV133" s="1251"/>
      <c r="BSW133" s="1251"/>
      <c r="BSX133" s="1251"/>
      <c r="BSY133" s="1251"/>
      <c r="BSZ133" s="1251"/>
      <c r="BTA133" s="1251"/>
      <c r="BTB133" s="1251"/>
      <c r="BTC133" s="1251"/>
      <c r="BTD133" s="1251"/>
      <c r="BTE133" s="1251"/>
      <c r="BTF133" s="1251"/>
      <c r="BTG133" s="1251"/>
      <c r="BTH133" s="1251"/>
      <c r="BTI133" s="1251"/>
    </row>
    <row r="134" spans="1:1881" s="1261" customFormat="1" ht="84" hidden="1" customHeight="1" thickBot="1" x14ac:dyDescent="0.35">
      <c r="A134" s="1248">
        <v>579</v>
      </c>
      <c r="B134" s="1280" t="s">
        <v>553</v>
      </c>
      <c r="C134" s="668" t="s">
        <v>1385</v>
      </c>
      <c r="D134" s="810" t="s">
        <v>1388</v>
      </c>
      <c r="E134" s="1249" t="e">
        <f>HLOOKUP($D$2,'2020 Data(H)'!$C$1:$CZ$426,229,FALSE)</f>
        <v>#N/A</v>
      </c>
      <c r="F134" s="1263">
        <v>0</v>
      </c>
      <c r="G134" s="727"/>
      <c r="H134" s="17"/>
      <c r="I134" s="728"/>
      <c r="J134" s="1251"/>
      <c r="K134" s="1251"/>
      <c r="L134" s="701"/>
      <c r="M134" s="1251"/>
      <c r="N134" s="1253"/>
      <c r="O134" s="1251"/>
      <c r="P134" s="1251"/>
      <c r="Q134" s="1251"/>
      <c r="R134" s="1251"/>
      <c r="S134" s="1251"/>
      <c r="T134" s="1251"/>
      <c r="U134" s="1251"/>
      <c r="V134" s="1251"/>
      <c r="W134" s="1251"/>
      <c r="X134" s="1251"/>
      <c r="Y134" s="1251"/>
      <c r="Z134" s="1248"/>
      <c r="AA134" s="1248"/>
      <c r="AB134" s="1248"/>
      <c r="AC134" s="1248"/>
      <c r="AD134" s="1248"/>
      <c r="AE134" s="1248"/>
      <c r="AF134" s="1248"/>
      <c r="AG134" s="1248"/>
      <c r="AH134" s="1248"/>
      <c r="AI134" s="1248"/>
      <c r="AJ134" s="1248"/>
      <c r="AK134" s="1248"/>
      <c r="AL134" s="1248"/>
      <c r="AM134" s="1248"/>
      <c r="AN134" s="1248"/>
      <c r="AO134" s="1248"/>
      <c r="AP134" s="1248"/>
      <c r="AQ134" s="1248"/>
      <c r="AR134" s="1248"/>
      <c r="AS134" s="1251"/>
      <c r="AT134" s="1251"/>
      <c r="AU134" s="1251"/>
      <c r="AV134" s="1251"/>
      <c r="AW134" s="1251"/>
      <c r="AX134" s="1251"/>
      <c r="AY134" s="1251"/>
      <c r="AZ134" s="1251"/>
      <c r="BA134" s="1251"/>
      <c r="BB134" s="1251"/>
      <c r="BC134" s="1251"/>
      <c r="BD134" s="1251"/>
      <c r="BE134" s="1251"/>
      <c r="BF134" s="1251"/>
      <c r="BG134" s="1251"/>
      <c r="BH134" s="1251"/>
      <c r="BI134" s="1251"/>
      <c r="BJ134" s="1251"/>
      <c r="BK134" s="1251"/>
      <c r="BL134" s="1251"/>
      <c r="BM134" s="1251"/>
      <c r="BN134" s="1251"/>
      <c r="BO134" s="1251"/>
      <c r="BP134" s="1251"/>
      <c r="BQ134" s="1251"/>
      <c r="BR134" s="1251"/>
      <c r="BS134" s="1251"/>
      <c r="BT134" s="1251"/>
      <c r="BU134" s="1251"/>
      <c r="BV134" s="1251"/>
      <c r="BW134" s="1251"/>
      <c r="BX134" s="1251"/>
      <c r="BY134" s="1251"/>
      <c r="BZ134" s="1251"/>
      <c r="CA134" s="1251"/>
      <c r="CB134" s="1251"/>
      <c r="CC134" s="1251"/>
      <c r="CD134" s="1251"/>
      <c r="CE134" s="1251"/>
      <c r="CF134" s="1251"/>
      <c r="CG134" s="1251"/>
      <c r="CH134" s="1251"/>
      <c r="CI134" s="1251"/>
      <c r="CJ134" s="1251"/>
      <c r="CK134" s="1251"/>
      <c r="CL134" s="1251"/>
      <c r="CM134" s="1251"/>
      <c r="CN134" s="1251"/>
      <c r="CO134" s="1251"/>
      <c r="CP134" s="1251"/>
      <c r="CQ134" s="1251"/>
      <c r="CR134" s="1251"/>
      <c r="CS134" s="1251"/>
      <c r="CT134" s="1251"/>
      <c r="CU134" s="1251"/>
      <c r="CV134" s="1251"/>
      <c r="CW134" s="1251"/>
      <c r="CX134" s="1251"/>
      <c r="CY134" s="1251"/>
      <c r="CZ134" s="1251"/>
      <c r="DA134" s="1251"/>
      <c r="DB134" s="1251"/>
      <c r="DC134" s="1251"/>
      <c r="DD134" s="1251"/>
      <c r="DE134" s="1251"/>
      <c r="DF134" s="1251"/>
      <c r="DG134" s="1251"/>
      <c r="DH134" s="1251"/>
      <c r="DI134" s="1251"/>
      <c r="DJ134" s="1251"/>
      <c r="DK134" s="1251"/>
      <c r="DL134" s="1251"/>
      <c r="DM134" s="1251"/>
      <c r="DN134" s="1251"/>
      <c r="DO134" s="1251"/>
      <c r="DP134" s="1251"/>
      <c r="DQ134" s="1251"/>
      <c r="DR134" s="1251"/>
      <c r="DS134" s="1251"/>
      <c r="DT134" s="1251"/>
      <c r="DU134" s="1251"/>
      <c r="DV134" s="1251"/>
      <c r="DW134" s="1251"/>
      <c r="DX134" s="1251"/>
      <c r="DY134" s="1251"/>
      <c r="DZ134" s="1251"/>
      <c r="EA134" s="1251"/>
      <c r="EB134" s="1251"/>
      <c r="EC134" s="1251"/>
      <c r="ED134" s="1251"/>
      <c r="EE134" s="1251"/>
      <c r="EF134" s="1251"/>
      <c r="EG134" s="1251"/>
      <c r="EH134" s="1251"/>
      <c r="EI134" s="1251"/>
      <c r="EJ134" s="1251"/>
      <c r="EK134" s="1251"/>
      <c r="EL134" s="1251"/>
      <c r="EM134" s="1251"/>
      <c r="EN134" s="1251"/>
      <c r="EO134" s="1251"/>
      <c r="EP134" s="1251"/>
      <c r="EQ134" s="1251"/>
      <c r="ER134" s="1251"/>
      <c r="ES134" s="1251"/>
      <c r="ET134" s="1251"/>
      <c r="EU134" s="1251"/>
      <c r="EV134" s="1251"/>
      <c r="EW134" s="1251"/>
      <c r="EX134" s="1251"/>
      <c r="EY134" s="1251"/>
      <c r="EZ134" s="1251"/>
      <c r="FA134" s="1251"/>
      <c r="FB134" s="1251"/>
      <c r="FC134" s="1251"/>
      <c r="FD134" s="1251"/>
      <c r="FE134" s="1251"/>
      <c r="FF134" s="1251"/>
      <c r="FG134" s="1251"/>
      <c r="FH134" s="1251"/>
      <c r="FI134" s="1251"/>
      <c r="FJ134" s="1251"/>
      <c r="FK134" s="1251"/>
      <c r="FL134" s="1251"/>
      <c r="FM134" s="1251"/>
      <c r="FN134" s="1251"/>
      <c r="FO134" s="1251"/>
      <c r="FP134" s="1251"/>
      <c r="FQ134" s="1251"/>
      <c r="FR134" s="1251"/>
      <c r="FS134" s="1251"/>
      <c r="FT134" s="1251"/>
      <c r="FU134" s="1251"/>
      <c r="FV134" s="1251"/>
      <c r="FW134" s="1251"/>
      <c r="FX134" s="1251"/>
      <c r="FY134" s="1251"/>
      <c r="FZ134" s="1251"/>
      <c r="GA134" s="1251"/>
      <c r="GB134" s="1251"/>
      <c r="GC134" s="1251"/>
      <c r="GD134" s="1251"/>
      <c r="GE134" s="1251"/>
      <c r="GF134" s="1251"/>
      <c r="GG134" s="1251"/>
      <c r="GH134" s="1251"/>
      <c r="GI134" s="1251"/>
      <c r="GJ134" s="1251"/>
      <c r="GK134" s="1251"/>
      <c r="GL134" s="1251"/>
      <c r="GM134" s="1251"/>
      <c r="GN134" s="1251"/>
      <c r="GO134" s="1251"/>
      <c r="GP134" s="1251"/>
      <c r="GQ134" s="1251"/>
      <c r="GR134" s="1251"/>
      <c r="GS134" s="1251"/>
      <c r="GT134" s="1251"/>
      <c r="GU134" s="1251"/>
      <c r="GV134" s="1251"/>
      <c r="GW134" s="1251"/>
      <c r="GX134" s="1251"/>
      <c r="GY134" s="1251"/>
      <c r="GZ134" s="1251"/>
      <c r="HA134" s="1251"/>
      <c r="HB134" s="1251"/>
      <c r="HC134" s="1251"/>
      <c r="HD134" s="1251"/>
      <c r="HE134" s="1251"/>
      <c r="HF134" s="1251"/>
      <c r="HG134" s="1251"/>
      <c r="HH134" s="1251"/>
      <c r="HI134" s="1251"/>
      <c r="HJ134" s="1251"/>
      <c r="HK134" s="1251"/>
      <c r="HL134" s="1251"/>
      <c r="HM134" s="1251"/>
      <c r="HN134" s="1251"/>
      <c r="HO134" s="1251"/>
      <c r="HP134" s="1251"/>
      <c r="HQ134" s="1251"/>
      <c r="HR134" s="1251"/>
      <c r="HS134" s="1251"/>
      <c r="HT134" s="1251"/>
      <c r="HU134" s="1251"/>
      <c r="HV134" s="1251"/>
      <c r="HW134" s="1251"/>
      <c r="HX134" s="1251"/>
      <c r="HY134" s="1251"/>
      <c r="HZ134" s="1251"/>
      <c r="IA134" s="1251"/>
      <c r="IB134" s="1251"/>
      <c r="IC134" s="1251"/>
      <c r="ID134" s="1251"/>
      <c r="IE134" s="1251"/>
      <c r="IF134" s="1251"/>
      <c r="IG134" s="1251"/>
      <c r="IH134" s="1251"/>
      <c r="II134" s="1251"/>
      <c r="IJ134" s="1251"/>
      <c r="IK134" s="1251"/>
      <c r="IL134" s="1251"/>
      <c r="IM134" s="1251"/>
      <c r="IN134" s="1251"/>
      <c r="IO134" s="1251"/>
      <c r="IP134" s="1251"/>
      <c r="IQ134" s="1251"/>
      <c r="IR134" s="1251"/>
      <c r="IS134" s="1251"/>
      <c r="IT134" s="1251"/>
      <c r="IU134" s="1251"/>
      <c r="IV134" s="1251"/>
      <c r="IW134" s="1251"/>
      <c r="IX134" s="1251"/>
      <c r="IY134" s="1251"/>
      <c r="IZ134" s="1251"/>
      <c r="JA134" s="1251"/>
      <c r="JB134" s="1251"/>
      <c r="JC134" s="1251"/>
      <c r="JD134" s="1251"/>
      <c r="JE134" s="1251"/>
      <c r="JF134" s="1251"/>
      <c r="JG134" s="1251"/>
      <c r="JH134" s="1251"/>
      <c r="JI134" s="1251"/>
      <c r="JJ134" s="1251"/>
      <c r="JK134" s="1251"/>
      <c r="JL134" s="1251"/>
      <c r="JM134" s="1251"/>
      <c r="JN134" s="1251"/>
      <c r="JO134" s="1251"/>
      <c r="JP134" s="1251"/>
      <c r="JQ134" s="1251"/>
      <c r="JR134" s="1251"/>
      <c r="JS134" s="1251"/>
      <c r="JT134" s="1251"/>
      <c r="JU134" s="1251"/>
      <c r="JV134" s="1251"/>
      <c r="JW134" s="1251"/>
      <c r="JX134" s="1251"/>
      <c r="JY134" s="1251"/>
      <c r="JZ134" s="1251"/>
      <c r="KA134" s="1251"/>
      <c r="KB134" s="1251"/>
      <c r="KC134" s="1251"/>
      <c r="KD134" s="1251"/>
      <c r="KE134" s="1251"/>
      <c r="KF134" s="1251"/>
      <c r="KG134" s="1251"/>
      <c r="KH134" s="1251"/>
      <c r="KI134" s="1251"/>
      <c r="KJ134" s="1251"/>
      <c r="KK134" s="1251"/>
      <c r="KL134" s="1251"/>
      <c r="KM134" s="1251"/>
      <c r="KN134" s="1251"/>
      <c r="KO134" s="1251"/>
      <c r="KP134" s="1251"/>
      <c r="KQ134" s="1251"/>
      <c r="KR134" s="1251"/>
      <c r="KS134" s="1251"/>
      <c r="KT134" s="1251"/>
      <c r="KU134" s="1251"/>
      <c r="KV134" s="1251"/>
      <c r="KW134" s="1251"/>
      <c r="KX134" s="1251"/>
      <c r="KY134" s="1251"/>
      <c r="KZ134" s="1251"/>
      <c r="LA134" s="1251"/>
      <c r="LB134" s="1251"/>
      <c r="LC134" s="1251"/>
      <c r="LD134" s="1251"/>
      <c r="LE134" s="1251"/>
      <c r="LF134" s="1251"/>
      <c r="LG134" s="1251"/>
      <c r="LH134" s="1251"/>
      <c r="LI134" s="1251"/>
      <c r="LJ134" s="1251"/>
      <c r="LK134" s="1251"/>
      <c r="LL134" s="1251"/>
      <c r="LM134" s="1251"/>
      <c r="LN134" s="1251"/>
      <c r="LO134" s="1251"/>
      <c r="LP134" s="1251"/>
      <c r="LQ134" s="1251"/>
      <c r="LR134" s="1251"/>
      <c r="LS134" s="1251"/>
      <c r="LT134" s="1251"/>
      <c r="LU134" s="1251"/>
      <c r="LV134" s="1251"/>
      <c r="LW134" s="1251"/>
      <c r="LX134" s="1251"/>
      <c r="LY134" s="1251"/>
      <c r="LZ134" s="1251"/>
      <c r="MA134" s="1251"/>
      <c r="MB134" s="1251"/>
      <c r="MC134" s="1251"/>
      <c r="MD134" s="1251"/>
      <c r="ME134" s="1251"/>
      <c r="MF134" s="1251"/>
      <c r="MG134" s="1251"/>
      <c r="MH134" s="1251"/>
      <c r="MI134" s="1251"/>
      <c r="MJ134" s="1251"/>
      <c r="MK134" s="1251"/>
      <c r="ML134" s="1251"/>
      <c r="MM134" s="1251"/>
      <c r="MN134" s="1251"/>
      <c r="MO134" s="1251"/>
      <c r="MP134" s="1251"/>
      <c r="MQ134" s="1251"/>
      <c r="MR134" s="1251"/>
      <c r="MS134" s="1251"/>
      <c r="MT134" s="1251"/>
      <c r="MU134" s="1251"/>
      <c r="MV134" s="1251"/>
      <c r="MW134" s="1251"/>
      <c r="MX134" s="1251"/>
      <c r="MY134" s="1251"/>
      <c r="MZ134" s="1251"/>
      <c r="NA134" s="1251"/>
      <c r="NB134" s="1251"/>
      <c r="NC134" s="1251"/>
      <c r="ND134" s="1251"/>
      <c r="NE134" s="1251"/>
      <c r="NF134" s="1251"/>
      <c r="NG134" s="1251"/>
      <c r="NH134" s="1251"/>
      <c r="NI134" s="1251"/>
      <c r="NJ134" s="1251"/>
      <c r="NK134" s="1251"/>
      <c r="NL134" s="1251"/>
      <c r="NM134" s="1251"/>
      <c r="NN134" s="1251"/>
      <c r="NO134" s="1251"/>
      <c r="NP134" s="1251"/>
      <c r="NQ134" s="1251"/>
      <c r="NR134" s="1251"/>
      <c r="NS134" s="1251"/>
      <c r="NT134" s="1251"/>
      <c r="NU134" s="1251"/>
      <c r="NV134" s="1251"/>
      <c r="NW134" s="1251"/>
      <c r="NX134" s="1251"/>
      <c r="NY134" s="1251"/>
      <c r="NZ134" s="1251"/>
      <c r="OA134" s="1251"/>
      <c r="OB134" s="1251"/>
      <c r="OC134" s="1251"/>
      <c r="OD134" s="1251"/>
      <c r="OE134" s="1251"/>
      <c r="OF134" s="1251"/>
      <c r="OG134" s="1251"/>
      <c r="OH134" s="1251"/>
      <c r="OI134" s="1251"/>
      <c r="OJ134" s="1251"/>
      <c r="OK134" s="1251"/>
      <c r="OL134" s="1251"/>
      <c r="OM134" s="1251"/>
      <c r="ON134" s="1251"/>
      <c r="OO134" s="1251"/>
      <c r="OP134" s="1251"/>
      <c r="OQ134" s="1251"/>
      <c r="OR134" s="1251"/>
      <c r="OS134" s="1251"/>
      <c r="OT134" s="1251"/>
      <c r="OU134" s="1251"/>
      <c r="OV134" s="1251"/>
      <c r="OW134" s="1251"/>
      <c r="OX134" s="1251"/>
      <c r="OY134" s="1251"/>
      <c r="OZ134" s="1251"/>
      <c r="PA134" s="1251"/>
      <c r="PB134" s="1251"/>
      <c r="PC134" s="1251"/>
      <c r="PD134" s="1251"/>
      <c r="PE134" s="1251"/>
      <c r="PF134" s="1251"/>
      <c r="PG134" s="1251"/>
      <c r="PH134" s="1251"/>
      <c r="PI134" s="1251"/>
      <c r="PJ134" s="1251"/>
      <c r="PK134" s="1251"/>
      <c r="PL134" s="1251"/>
      <c r="PM134" s="1251"/>
      <c r="PN134" s="1251"/>
      <c r="PO134" s="1251"/>
      <c r="PP134" s="1251"/>
      <c r="PQ134" s="1251"/>
      <c r="PR134" s="1251"/>
      <c r="PS134" s="1251"/>
      <c r="PT134" s="1251"/>
      <c r="PU134" s="1251"/>
      <c r="PV134" s="1251"/>
      <c r="PW134" s="1251"/>
      <c r="PX134" s="1251"/>
      <c r="PY134" s="1251"/>
      <c r="PZ134" s="1251"/>
      <c r="QA134" s="1251"/>
      <c r="QB134" s="1251"/>
      <c r="QC134" s="1251"/>
      <c r="QD134" s="1251"/>
      <c r="QE134" s="1251"/>
      <c r="QF134" s="1251"/>
      <c r="QG134" s="1251"/>
      <c r="QH134" s="1251"/>
      <c r="QI134" s="1251"/>
      <c r="QJ134" s="1251"/>
      <c r="QK134" s="1251"/>
      <c r="QL134" s="1251"/>
      <c r="QM134" s="1251"/>
      <c r="QN134" s="1251"/>
      <c r="QO134" s="1251"/>
      <c r="QP134" s="1251"/>
      <c r="QQ134" s="1251"/>
      <c r="QR134" s="1251"/>
      <c r="QS134" s="1251"/>
      <c r="QT134" s="1251"/>
      <c r="QU134" s="1251"/>
      <c r="QV134" s="1251"/>
      <c r="QW134" s="1251"/>
      <c r="QX134" s="1251"/>
      <c r="QY134" s="1251"/>
      <c r="QZ134" s="1251"/>
      <c r="RA134" s="1251"/>
      <c r="RB134" s="1251"/>
      <c r="RC134" s="1251"/>
      <c r="RD134" s="1251"/>
      <c r="RE134" s="1251"/>
      <c r="RF134" s="1251"/>
      <c r="RG134" s="1251"/>
      <c r="RH134" s="1251"/>
      <c r="RI134" s="1251"/>
      <c r="RJ134" s="1251"/>
      <c r="RK134" s="1251"/>
      <c r="RL134" s="1251"/>
      <c r="RM134" s="1251"/>
      <c r="RN134" s="1251"/>
      <c r="RO134" s="1251"/>
      <c r="RP134" s="1251"/>
      <c r="RQ134" s="1251"/>
      <c r="RR134" s="1251"/>
      <c r="RS134" s="1251"/>
      <c r="RT134" s="1251"/>
      <c r="RU134" s="1251"/>
      <c r="RV134" s="1251"/>
      <c r="RW134" s="1251"/>
      <c r="RX134" s="1251"/>
      <c r="RY134" s="1251"/>
      <c r="RZ134" s="1251"/>
      <c r="SA134" s="1251"/>
      <c r="SB134" s="1251"/>
      <c r="SC134" s="1251"/>
      <c r="SD134" s="1251"/>
      <c r="SE134" s="1251"/>
      <c r="SF134" s="1251"/>
      <c r="SG134" s="1251"/>
      <c r="SH134" s="1251"/>
      <c r="SI134" s="1251"/>
      <c r="SJ134" s="1251"/>
      <c r="SK134" s="1251"/>
      <c r="SL134" s="1251"/>
      <c r="SM134" s="1251"/>
      <c r="SN134" s="1251"/>
      <c r="SO134" s="1251"/>
      <c r="SP134" s="1251"/>
      <c r="SQ134" s="1251"/>
      <c r="SR134" s="1251"/>
      <c r="SS134" s="1251"/>
      <c r="ST134" s="1251"/>
      <c r="SU134" s="1251"/>
      <c r="SV134" s="1251"/>
      <c r="SW134" s="1251"/>
      <c r="SX134" s="1251"/>
      <c r="SY134" s="1251"/>
      <c r="SZ134" s="1251"/>
      <c r="TA134" s="1251"/>
      <c r="TB134" s="1251"/>
      <c r="TC134" s="1251"/>
      <c r="TD134" s="1251"/>
      <c r="TE134" s="1251"/>
      <c r="TF134" s="1251"/>
      <c r="TG134" s="1251"/>
      <c r="TH134" s="1251"/>
      <c r="TI134" s="1251"/>
      <c r="TJ134" s="1251"/>
      <c r="TK134" s="1251"/>
      <c r="TL134" s="1251"/>
      <c r="TM134" s="1251"/>
      <c r="TN134" s="1251"/>
      <c r="TO134" s="1251"/>
      <c r="TP134" s="1251"/>
      <c r="TQ134" s="1251"/>
      <c r="TR134" s="1251"/>
      <c r="TS134" s="1251"/>
      <c r="TT134" s="1251"/>
      <c r="TU134" s="1251"/>
      <c r="TV134" s="1251"/>
      <c r="TW134" s="1251"/>
      <c r="TX134" s="1251"/>
      <c r="TY134" s="1251"/>
      <c r="TZ134" s="1251"/>
      <c r="UA134" s="1251"/>
      <c r="UB134" s="1251"/>
      <c r="UC134" s="1251"/>
      <c r="UD134" s="1251"/>
      <c r="UE134" s="1251"/>
      <c r="UF134" s="1251"/>
      <c r="UG134" s="1251"/>
      <c r="UH134" s="1251"/>
      <c r="UI134" s="1251"/>
      <c r="UJ134" s="1251"/>
      <c r="UK134" s="1251"/>
      <c r="UL134" s="1251"/>
      <c r="UM134" s="1251"/>
      <c r="UN134" s="1251"/>
      <c r="UO134" s="1251"/>
      <c r="UP134" s="1251"/>
      <c r="UQ134" s="1251"/>
      <c r="UR134" s="1251"/>
      <c r="US134" s="1251"/>
      <c r="UT134" s="1251"/>
      <c r="UU134" s="1251"/>
      <c r="UV134" s="1251"/>
      <c r="UW134" s="1251"/>
      <c r="UX134" s="1251"/>
      <c r="UY134" s="1251"/>
      <c r="UZ134" s="1251"/>
      <c r="VA134" s="1251"/>
      <c r="VB134" s="1251"/>
      <c r="VC134" s="1251"/>
      <c r="VD134" s="1251"/>
      <c r="VE134" s="1251"/>
      <c r="VF134" s="1251"/>
      <c r="VG134" s="1251"/>
      <c r="VH134" s="1251"/>
      <c r="VI134" s="1251"/>
      <c r="VJ134" s="1251"/>
      <c r="VK134" s="1251"/>
      <c r="VL134" s="1251"/>
      <c r="VM134" s="1251"/>
      <c r="VN134" s="1251"/>
      <c r="VO134" s="1251"/>
      <c r="VP134" s="1251"/>
      <c r="VQ134" s="1251"/>
      <c r="VR134" s="1251"/>
      <c r="VS134" s="1251"/>
      <c r="VT134" s="1251"/>
      <c r="VU134" s="1251"/>
      <c r="VV134" s="1251"/>
      <c r="VW134" s="1251"/>
      <c r="VX134" s="1251"/>
      <c r="VY134" s="1251"/>
      <c r="VZ134" s="1251"/>
      <c r="WA134" s="1251"/>
      <c r="WB134" s="1251"/>
      <c r="WC134" s="1251"/>
      <c r="WD134" s="1251"/>
      <c r="WE134" s="1251"/>
      <c r="WF134" s="1251"/>
      <c r="WG134" s="1251"/>
      <c r="WH134" s="1251"/>
      <c r="WI134" s="1251"/>
      <c r="WJ134" s="1251"/>
      <c r="WK134" s="1251"/>
      <c r="WL134" s="1251"/>
      <c r="WM134" s="1251"/>
      <c r="WN134" s="1251"/>
      <c r="WO134" s="1251"/>
      <c r="WP134" s="1251"/>
      <c r="WQ134" s="1251"/>
      <c r="WR134" s="1251"/>
      <c r="WS134" s="1251"/>
      <c r="WT134" s="1251"/>
      <c r="WU134" s="1251"/>
      <c r="WV134" s="1251"/>
      <c r="WW134" s="1251"/>
      <c r="WX134" s="1251"/>
      <c r="WY134" s="1251"/>
      <c r="WZ134" s="1251"/>
      <c r="XA134" s="1251"/>
      <c r="XB134" s="1251"/>
      <c r="XC134" s="1251"/>
      <c r="XD134" s="1251"/>
      <c r="XE134" s="1251"/>
      <c r="XF134" s="1251"/>
      <c r="XG134" s="1251"/>
      <c r="XH134" s="1251"/>
      <c r="XI134" s="1251"/>
      <c r="XJ134" s="1251"/>
      <c r="XK134" s="1251"/>
      <c r="XL134" s="1251"/>
      <c r="XM134" s="1251"/>
      <c r="XN134" s="1251"/>
      <c r="XO134" s="1251"/>
      <c r="XP134" s="1251"/>
      <c r="XQ134" s="1251"/>
      <c r="XR134" s="1251"/>
      <c r="XS134" s="1251"/>
      <c r="XT134" s="1251"/>
      <c r="XU134" s="1251"/>
      <c r="XV134" s="1251"/>
      <c r="XW134" s="1251"/>
      <c r="XX134" s="1251"/>
      <c r="XY134" s="1251"/>
      <c r="XZ134" s="1251"/>
      <c r="YA134" s="1251"/>
      <c r="YB134" s="1251"/>
      <c r="YC134" s="1251"/>
      <c r="YD134" s="1251"/>
      <c r="YE134" s="1251"/>
      <c r="YF134" s="1251"/>
      <c r="YG134" s="1251"/>
      <c r="YH134" s="1251"/>
      <c r="YI134" s="1251"/>
      <c r="YJ134" s="1251"/>
      <c r="YK134" s="1251"/>
      <c r="YL134" s="1251"/>
      <c r="YM134" s="1251"/>
      <c r="YN134" s="1251"/>
      <c r="YO134" s="1251"/>
      <c r="YP134" s="1251"/>
      <c r="YQ134" s="1251"/>
      <c r="YR134" s="1251"/>
      <c r="YS134" s="1251"/>
      <c r="YT134" s="1251"/>
      <c r="YU134" s="1251"/>
      <c r="YV134" s="1251"/>
      <c r="YW134" s="1251"/>
      <c r="YX134" s="1251"/>
      <c r="YY134" s="1251"/>
      <c r="YZ134" s="1251"/>
      <c r="ZA134" s="1251"/>
      <c r="ZB134" s="1251"/>
      <c r="ZC134" s="1251"/>
      <c r="ZD134" s="1251"/>
      <c r="ZE134" s="1251"/>
      <c r="ZF134" s="1251"/>
      <c r="ZG134" s="1251"/>
      <c r="ZH134" s="1251"/>
      <c r="ZI134" s="1251"/>
      <c r="ZJ134" s="1251"/>
      <c r="ZK134" s="1251"/>
      <c r="ZL134" s="1251"/>
      <c r="ZM134" s="1251"/>
      <c r="ZN134" s="1251"/>
      <c r="ZO134" s="1251"/>
      <c r="ZP134" s="1251"/>
      <c r="ZQ134" s="1251"/>
      <c r="ZR134" s="1251"/>
      <c r="ZS134" s="1251"/>
      <c r="ZT134" s="1251"/>
      <c r="ZU134" s="1251"/>
      <c r="ZV134" s="1251"/>
      <c r="ZW134" s="1251"/>
      <c r="ZX134" s="1251"/>
      <c r="ZY134" s="1251"/>
      <c r="ZZ134" s="1251"/>
      <c r="AAA134" s="1251"/>
      <c r="AAB134" s="1251"/>
      <c r="AAC134" s="1251"/>
      <c r="AAD134" s="1251"/>
      <c r="AAE134" s="1251"/>
      <c r="AAF134" s="1251"/>
      <c r="AAG134" s="1251"/>
      <c r="AAH134" s="1251"/>
      <c r="AAI134" s="1251"/>
      <c r="AAJ134" s="1251"/>
      <c r="AAK134" s="1251"/>
      <c r="AAL134" s="1251"/>
      <c r="AAM134" s="1251"/>
      <c r="AAN134" s="1251"/>
      <c r="AAO134" s="1251"/>
      <c r="AAP134" s="1251"/>
      <c r="AAQ134" s="1251"/>
      <c r="AAR134" s="1251"/>
      <c r="AAS134" s="1251"/>
      <c r="AAT134" s="1251"/>
      <c r="AAU134" s="1251"/>
      <c r="AAV134" s="1251"/>
      <c r="AAW134" s="1251"/>
      <c r="AAX134" s="1251"/>
      <c r="AAY134" s="1251"/>
      <c r="AAZ134" s="1251"/>
      <c r="ABA134" s="1251"/>
      <c r="ABB134" s="1251"/>
      <c r="ABC134" s="1251"/>
      <c r="ABD134" s="1251"/>
      <c r="ABE134" s="1251"/>
      <c r="ABF134" s="1251"/>
      <c r="ABG134" s="1251"/>
      <c r="ABH134" s="1251"/>
      <c r="ABI134" s="1251"/>
      <c r="ABJ134" s="1251"/>
      <c r="ABK134" s="1251"/>
      <c r="ABL134" s="1251"/>
      <c r="ABM134" s="1251"/>
      <c r="ABN134" s="1251"/>
      <c r="ABO134" s="1251"/>
      <c r="ABP134" s="1251"/>
      <c r="ABQ134" s="1251"/>
      <c r="ABR134" s="1251"/>
      <c r="ABS134" s="1251"/>
      <c r="ABT134" s="1251"/>
      <c r="ABU134" s="1251"/>
      <c r="ABV134" s="1251"/>
      <c r="ABW134" s="1251"/>
      <c r="ABX134" s="1251"/>
      <c r="ABY134" s="1251"/>
      <c r="ABZ134" s="1251"/>
      <c r="ACA134" s="1251"/>
      <c r="ACB134" s="1251"/>
      <c r="ACC134" s="1251"/>
      <c r="ACD134" s="1251"/>
      <c r="ACE134" s="1251"/>
      <c r="ACF134" s="1251"/>
      <c r="ACG134" s="1251"/>
      <c r="ACH134" s="1251"/>
      <c r="ACI134" s="1251"/>
      <c r="ACJ134" s="1251"/>
      <c r="ACK134" s="1251"/>
      <c r="ACL134" s="1251"/>
      <c r="ACM134" s="1251"/>
      <c r="ACN134" s="1251"/>
      <c r="ACO134" s="1251"/>
      <c r="ACP134" s="1251"/>
      <c r="ACQ134" s="1251"/>
      <c r="ACR134" s="1251"/>
      <c r="ACS134" s="1251"/>
      <c r="ACT134" s="1251"/>
      <c r="ACU134" s="1251"/>
      <c r="ACV134" s="1251"/>
      <c r="ACW134" s="1251"/>
      <c r="ACX134" s="1251"/>
      <c r="ACY134" s="1251"/>
      <c r="ACZ134" s="1251"/>
      <c r="ADA134" s="1251"/>
      <c r="ADB134" s="1251"/>
      <c r="ADC134" s="1251"/>
      <c r="ADD134" s="1251"/>
      <c r="ADE134" s="1251"/>
      <c r="ADF134" s="1251"/>
      <c r="ADG134" s="1251"/>
      <c r="ADH134" s="1251"/>
      <c r="ADI134" s="1251"/>
      <c r="ADJ134" s="1251"/>
      <c r="ADK134" s="1251"/>
      <c r="ADL134" s="1251"/>
      <c r="ADM134" s="1251"/>
      <c r="ADN134" s="1251"/>
      <c r="ADO134" s="1251"/>
      <c r="ADP134" s="1251"/>
      <c r="ADQ134" s="1251"/>
      <c r="ADR134" s="1251"/>
      <c r="ADS134" s="1251"/>
      <c r="ADT134" s="1251"/>
      <c r="ADU134" s="1251"/>
      <c r="ADV134" s="1251"/>
      <c r="ADW134" s="1251"/>
      <c r="ADX134" s="1251"/>
      <c r="ADY134" s="1251"/>
      <c r="ADZ134" s="1251"/>
      <c r="AEA134" s="1251"/>
      <c r="AEB134" s="1251"/>
      <c r="AEC134" s="1251"/>
      <c r="AED134" s="1251"/>
      <c r="AEE134" s="1251"/>
      <c r="AEF134" s="1251"/>
      <c r="AEG134" s="1251"/>
      <c r="AEH134" s="1251"/>
      <c r="AEI134" s="1251"/>
      <c r="AEJ134" s="1251"/>
      <c r="AEK134" s="1251"/>
      <c r="AEL134" s="1251"/>
      <c r="AEM134" s="1251"/>
      <c r="AEN134" s="1251"/>
      <c r="AEO134" s="1251"/>
      <c r="AEP134" s="1251"/>
      <c r="AEQ134" s="1251"/>
      <c r="AER134" s="1251"/>
      <c r="AES134" s="1251"/>
      <c r="AET134" s="1251"/>
      <c r="AEU134" s="1251"/>
      <c r="AEV134" s="1251"/>
      <c r="AEW134" s="1251"/>
      <c r="AEX134" s="1251"/>
      <c r="AEY134" s="1251"/>
      <c r="AEZ134" s="1251"/>
      <c r="AFA134" s="1251"/>
      <c r="AFB134" s="1251"/>
      <c r="AFC134" s="1251"/>
      <c r="AFD134" s="1251"/>
      <c r="AFE134" s="1251"/>
      <c r="AFF134" s="1251"/>
      <c r="AFG134" s="1251"/>
      <c r="AFH134" s="1251"/>
      <c r="AFI134" s="1251"/>
      <c r="AFJ134" s="1251"/>
      <c r="AFK134" s="1251"/>
      <c r="AFL134" s="1251"/>
      <c r="AFM134" s="1251"/>
      <c r="AFN134" s="1251"/>
      <c r="AFO134" s="1251"/>
      <c r="AFP134" s="1251"/>
      <c r="AFQ134" s="1251"/>
      <c r="AFR134" s="1251"/>
      <c r="AFS134" s="1251"/>
      <c r="AFT134" s="1251"/>
      <c r="AFU134" s="1251"/>
      <c r="AFV134" s="1251"/>
      <c r="AFW134" s="1251"/>
      <c r="AFX134" s="1251"/>
      <c r="AFY134" s="1251"/>
      <c r="AFZ134" s="1251"/>
      <c r="AGA134" s="1251"/>
      <c r="AGB134" s="1251"/>
      <c r="AGC134" s="1251"/>
      <c r="AGD134" s="1251"/>
      <c r="AGE134" s="1251"/>
      <c r="AGF134" s="1251"/>
      <c r="AGG134" s="1251"/>
      <c r="AGH134" s="1251"/>
      <c r="AGI134" s="1251"/>
      <c r="AGJ134" s="1251"/>
      <c r="AGK134" s="1251"/>
      <c r="AGL134" s="1251"/>
      <c r="AGM134" s="1251"/>
      <c r="AGN134" s="1251"/>
      <c r="AGO134" s="1251"/>
      <c r="AGP134" s="1251"/>
      <c r="AGQ134" s="1251"/>
      <c r="AGR134" s="1251"/>
      <c r="AGS134" s="1251"/>
      <c r="AGT134" s="1251"/>
      <c r="AGU134" s="1251"/>
      <c r="AGV134" s="1251"/>
      <c r="AGW134" s="1251"/>
      <c r="AGX134" s="1251"/>
      <c r="AGY134" s="1251"/>
      <c r="AGZ134" s="1251"/>
      <c r="AHA134" s="1251"/>
      <c r="AHB134" s="1251"/>
      <c r="AHC134" s="1251"/>
      <c r="AHD134" s="1251"/>
      <c r="AHE134" s="1251"/>
      <c r="AHF134" s="1251"/>
      <c r="AHG134" s="1251"/>
      <c r="AHH134" s="1251"/>
      <c r="AHI134" s="1251"/>
      <c r="AHJ134" s="1251"/>
      <c r="AHK134" s="1251"/>
      <c r="AHL134" s="1251"/>
      <c r="AHM134" s="1251"/>
      <c r="AHN134" s="1251"/>
      <c r="AHO134" s="1251"/>
      <c r="AHP134" s="1251"/>
      <c r="AHQ134" s="1251"/>
      <c r="AHR134" s="1251"/>
      <c r="AHS134" s="1251"/>
      <c r="AHT134" s="1251"/>
      <c r="AHU134" s="1251"/>
      <c r="AHV134" s="1251"/>
      <c r="AHW134" s="1251"/>
      <c r="AHX134" s="1251"/>
      <c r="AHY134" s="1251"/>
      <c r="AHZ134" s="1251"/>
      <c r="AIA134" s="1251"/>
      <c r="AIB134" s="1251"/>
      <c r="AIC134" s="1251"/>
      <c r="AID134" s="1251"/>
      <c r="AIE134" s="1251"/>
      <c r="AIF134" s="1251"/>
      <c r="AIG134" s="1251"/>
      <c r="AIH134" s="1251"/>
      <c r="AII134" s="1251"/>
      <c r="AIJ134" s="1251"/>
      <c r="AIK134" s="1251"/>
      <c r="AIL134" s="1251"/>
      <c r="AIM134" s="1251"/>
      <c r="AIN134" s="1251"/>
      <c r="AIO134" s="1251"/>
      <c r="AIP134" s="1251"/>
      <c r="AIQ134" s="1251"/>
      <c r="AIR134" s="1251"/>
      <c r="AIS134" s="1251"/>
      <c r="AIT134" s="1251"/>
      <c r="AIU134" s="1251"/>
      <c r="AIV134" s="1251"/>
      <c r="AIW134" s="1251"/>
      <c r="AIX134" s="1251"/>
      <c r="AIY134" s="1251"/>
      <c r="AIZ134" s="1251"/>
      <c r="AJA134" s="1251"/>
      <c r="AJB134" s="1251"/>
      <c r="AJC134" s="1251"/>
      <c r="AJD134" s="1251"/>
      <c r="AJE134" s="1251"/>
      <c r="AJF134" s="1251"/>
      <c r="AJG134" s="1251"/>
      <c r="AJH134" s="1251"/>
      <c r="AJI134" s="1251"/>
      <c r="AJJ134" s="1251"/>
      <c r="AJK134" s="1251"/>
      <c r="AJL134" s="1251"/>
      <c r="AJM134" s="1251"/>
      <c r="AJN134" s="1251"/>
      <c r="AJO134" s="1251"/>
      <c r="AJP134" s="1251"/>
      <c r="AJQ134" s="1251"/>
      <c r="AJR134" s="1251"/>
      <c r="AJS134" s="1251"/>
      <c r="AJT134" s="1251"/>
      <c r="AJU134" s="1251"/>
      <c r="AJV134" s="1251"/>
      <c r="AJW134" s="1251"/>
      <c r="AJX134" s="1251"/>
      <c r="AJY134" s="1251"/>
      <c r="AJZ134" s="1251"/>
      <c r="AKA134" s="1251"/>
      <c r="AKB134" s="1251"/>
      <c r="AKC134" s="1251"/>
      <c r="AKD134" s="1251"/>
      <c r="AKE134" s="1251"/>
      <c r="AKF134" s="1251"/>
      <c r="AKG134" s="1251"/>
      <c r="AKH134" s="1251"/>
      <c r="AKI134" s="1251"/>
      <c r="AKJ134" s="1251"/>
      <c r="AKK134" s="1251"/>
      <c r="AKL134" s="1251"/>
      <c r="AKM134" s="1251"/>
      <c r="AKN134" s="1251"/>
      <c r="AKO134" s="1251"/>
      <c r="AKP134" s="1251"/>
      <c r="AKQ134" s="1251"/>
      <c r="AKR134" s="1251"/>
      <c r="AKS134" s="1251"/>
      <c r="AKT134" s="1251"/>
      <c r="AKU134" s="1251"/>
      <c r="AKV134" s="1251"/>
      <c r="AKW134" s="1251"/>
      <c r="AKX134" s="1251"/>
      <c r="AKY134" s="1251"/>
      <c r="AKZ134" s="1251"/>
      <c r="ALA134" s="1251"/>
      <c r="ALB134" s="1251"/>
      <c r="ALC134" s="1251"/>
      <c r="ALD134" s="1251"/>
      <c r="ALE134" s="1251"/>
      <c r="ALF134" s="1251"/>
      <c r="ALG134" s="1251"/>
      <c r="ALH134" s="1251"/>
      <c r="ALI134" s="1251"/>
      <c r="ALJ134" s="1251"/>
      <c r="ALK134" s="1251"/>
      <c r="ALL134" s="1251"/>
      <c r="ALM134" s="1251"/>
      <c r="ALN134" s="1251"/>
      <c r="ALO134" s="1251"/>
      <c r="ALP134" s="1251"/>
      <c r="ALQ134" s="1251"/>
      <c r="ALR134" s="1251"/>
      <c r="ALS134" s="1251"/>
      <c r="ALT134" s="1251"/>
      <c r="ALU134" s="1251"/>
      <c r="ALV134" s="1251"/>
      <c r="ALW134" s="1251"/>
      <c r="ALX134" s="1251"/>
      <c r="ALY134" s="1251"/>
      <c r="ALZ134" s="1251"/>
      <c r="AMA134" s="1251"/>
      <c r="AMB134" s="1251"/>
      <c r="AMC134" s="1251"/>
      <c r="AMD134" s="1251"/>
      <c r="AME134" s="1251"/>
      <c r="AMF134" s="1251"/>
      <c r="AMG134" s="1251"/>
      <c r="AMH134" s="1251"/>
      <c r="AMI134" s="1251"/>
      <c r="AMJ134" s="1251"/>
      <c r="AMK134" s="1251"/>
      <c r="AML134" s="1251"/>
      <c r="AMM134" s="1251"/>
      <c r="AMN134" s="1251"/>
      <c r="AMO134" s="1251"/>
      <c r="AMP134" s="1251"/>
      <c r="AMQ134" s="1251"/>
      <c r="AMR134" s="1251"/>
      <c r="AMS134" s="1251"/>
      <c r="AMT134" s="1251"/>
      <c r="AMU134" s="1251"/>
      <c r="AMV134" s="1251"/>
      <c r="AMW134" s="1251"/>
      <c r="AMX134" s="1251"/>
      <c r="AMY134" s="1251"/>
      <c r="AMZ134" s="1251"/>
      <c r="ANA134" s="1251"/>
      <c r="ANB134" s="1251"/>
      <c r="ANC134" s="1251"/>
      <c r="AND134" s="1251"/>
      <c r="ANE134" s="1251"/>
      <c r="ANF134" s="1251"/>
      <c r="ANG134" s="1251"/>
      <c r="ANH134" s="1251"/>
      <c r="ANI134" s="1251"/>
      <c r="ANJ134" s="1251"/>
      <c r="ANK134" s="1251"/>
      <c r="ANL134" s="1251"/>
      <c r="ANM134" s="1251"/>
      <c r="ANN134" s="1251"/>
      <c r="ANO134" s="1251"/>
      <c r="ANP134" s="1251"/>
      <c r="ANQ134" s="1251"/>
      <c r="ANR134" s="1251"/>
      <c r="ANS134" s="1251"/>
      <c r="ANT134" s="1251"/>
      <c r="ANU134" s="1251"/>
      <c r="ANV134" s="1251"/>
      <c r="ANW134" s="1251"/>
      <c r="ANX134" s="1251"/>
      <c r="ANY134" s="1251"/>
      <c r="ANZ134" s="1251"/>
      <c r="AOA134" s="1251"/>
      <c r="AOB134" s="1251"/>
      <c r="AOC134" s="1251"/>
      <c r="AOD134" s="1251"/>
      <c r="AOE134" s="1251"/>
      <c r="AOF134" s="1251"/>
      <c r="AOG134" s="1251"/>
      <c r="AOH134" s="1251"/>
      <c r="AOI134" s="1251"/>
      <c r="AOJ134" s="1251"/>
      <c r="AOK134" s="1251"/>
      <c r="AOL134" s="1251"/>
      <c r="AOM134" s="1251"/>
      <c r="AON134" s="1251"/>
      <c r="AOO134" s="1251"/>
      <c r="AOP134" s="1251"/>
      <c r="AOQ134" s="1251"/>
      <c r="AOR134" s="1251"/>
      <c r="AOS134" s="1251"/>
      <c r="AOT134" s="1251"/>
      <c r="AOU134" s="1251"/>
      <c r="AOV134" s="1251"/>
      <c r="AOW134" s="1251"/>
      <c r="AOX134" s="1251"/>
      <c r="AOY134" s="1251"/>
      <c r="AOZ134" s="1251"/>
      <c r="APA134" s="1251"/>
      <c r="APB134" s="1251"/>
      <c r="APC134" s="1251"/>
      <c r="APD134" s="1251"/>
      <c r="APE134" s="1251"/>
      <c r="APF134" s="1251"/>
      <c r="APG134" s="1251"/>
      <c r="APH134" s="1251"/>
      <c r="API134" s="1251"/>
      <c r="APJ134" s="1251"/>
      <c r="APK134" s="1251"/>
      <c r="APL134" s="1251"/>
      <c r="APM134" s="1251"/>
      <c r="APN134" s="1251"/>
      <c r="APO134" s="1251"/>
      <c r="APP134" s="1251"/>
      <c r="APQ134" s="1251"/>
      <c r="APR134" s="1251"/>
      <c r="APS134" s="1251"/>
      <c r="APT134" s="1251"/>
      <c r="APU134" s="1251"/>
      <c r="APV134" s="1251"/>
      <c r="APW134" s="1251"/>
      <c r="APX134" s="1251"/>
      <c r="APY134" s="1251"/>
      <c r="APZ134" s="1251"/>
      <c r="AQA134" s="1251"/>
      <c r="AQB134" s="1251"/>
      <c r="AQC134" s="1251"/>
      <c r="AQD134" s="1251"/>
      <c r="AQE134" s="1251"/>
      <c r="AQF134" s="1251"/>
      <c r="AQG134" s="1251"/>
      <c r="AQH134" s="1251"/>
      <c r="AQI134" s="1251"/>
      <c r="AQJ134" s="1251"/>
      <c r="AQK134" s="1251"/>
      <c r="AQL134" s="1251"/>
      <c r="AQM134" s="1251"/>
      <c r="AQN134" s="1251"/>
      <c r="AQO134" s="1251"/>
      <c r="AQP134" s="1251"/>
      <c r="AQQ134" s="1251"/>
      <c r="AQR134" s="1251"/>
      <c r="AQS134" s="1251"/>
      <c r="AQT134" s="1251"/>
      <c r="AQU134" s="1251"/>
      <c r="AQV134" s="1251"/>
      <c r="AQW134" s="1251"/>
      <c r="AQX134" s="1251"/>
      <c r="AQY134" s="1251"/>
      <c r="AQZ134" s="1251"/>
      <c r="ARA134" s="1251"/>
      <c r="ARB134" s="1251"/>
      <c r="ARC134" s="1251"/>
      <c r="ARD134" s="1251"/>
      <c r="ARE134" s="1251"/>
      <c r="ARF134" s="1251"/>
      <c r="ARG134" s="1251"/>
      <c r="ARH134" s="1251"/>
      <c r="ARI134" s="1251"/>
      <c r="ARJ134" s="1251"/>
      <c r="ARK134" s="1251"/>
      <c r="ARL134" s="1251"/>
      <c r="ARM134" s="1251"/>
      <c r="ARN134" s="1251"/>
      <c r="ARO134" s="1251"/>
      <c r="ARP134" s="1251"/>
      <c r="ARQ134" s="1251"/>
      <c r="ARR134" s="1251"/>
      <c r="ARS134" s="1251"/>
      <c r="ART134" s="1251"/>
      <c r="ARU134" s="1251"/>
      <c r="ARV134" s="1251"/>
      <c r="ARW134" s="1251"/>
      <c r="ARX134" s="1251"/>
      <c r="ARY134" s="1251"/>
      <c r="ARZ134" s="1251"/>
      <c r="ASA134" s="1251"/>
      <c r="ASB134" s="1251"/>
      <c r="ASC134" s="1251"/>
      <c r="ASD134" s="1251"/>
      <c r="ASE134" s="1251"/>
      <c r="ASF134" s="1251"/>
      <c r="ASG134" s="1251"/>
      <c r="ASH134" s="1251"/>
      <c r="ASI134" s="1251"/>
      <c r="ASJ134" s="1251"/>
      <c r="ASK134" s="1251"/>
      <c r="ASL134" s="1251"/>
      <c r="ASM134" s="1251"/>
      <c r="ASN134" s="1251"/>
      <c r="ASO134" s="1251"/>
      <c r="ASP134" s="1251"/>
      <c r="ASQ134" s="1251"/>
      <c r="ASR134" s="1251"/>
      <c r="ASS134" s="1251"/>
      <c r="AST134" s="1251"/>
      <c r="ASU134" s="1251"/>
      <c r="ASV134" s="1251"/>
      <c r="ASW134" s="1251"/>
      <c r="ASX134" s="1251"/>
      <c r="ASY134" s="1251"/>
      <c r="ASZ134" s="1251"/>
      <c r="ATA134" s="1251"/>
      <c r="ATB134" s="1251"/>
      <c r="ATC134" s="1251"/>
      <c r="ATD134" s="1251"/>
      <c r="ATE134" s="1251"/>
      <c r="ATF134" s="1251"/>
      <c r="ATG134" s="1251"/>
      <c r="ATH134" s="1251"/>
      <c r="ATI134" s="1251"/>
      <c r="ATJ134" s="1251"/>
      <c r="ATK134" s="1251"/>
      <c r="ATL134" s="1251"/>
      <c r="ATM134" s="1251"/>
      <c r="ATN134" s="1251"/>
      <c r="ATO134" s="1251"/>
      <c r="ATP134" s="1251"/>
      <c r="ATQ134" s="1251"/>
      <c r="ATR134" s="1251"/>
      <c r="ATS134" s="1251"/>
      <c r="ATT134" s="1251"/>
      <c r="ATU134" s="1251"/>
      <c r="ATV134" s="1251"/>
      <c r="ATW134" s="1251"/>
      <c r="ATX134" s="1251"/>
      <c r="ATY134" s="1251"/>
      <c r="ATZ134" s="1251"/>
      <c r="AUA134" s="1251"/>
      <c r="AUB134" s="1251"/>
      <c r="AUC134" s="1251"/>
      <c r="AUD134" s="1251"/>
      <c r="AUE134" s="1251"/>
      <c r="AUF134" s="1251"/>
      <c r="AUG134" s="1251"/>
      <c r="AUH134" s="1251"/>
      <c r="AUI134" s="1251"/>
      <c r="AUJ134" s="1251"/>
      <c r="AUK134" s="1251"/>
      <c r="AUL134" s="1251"/>
      <c r="AUM134" s="1251"/>
      <c r="AUN134" s="1251"/>
      <c r="AUO134" s="1251"/>
      <c r="AUP134" s="1251"/>
      <c r="AUQ134" s="1251"/>
      <c r="AUR134" s="1251"/>
      <c r="AUS134" s="1251"/>
      <c r="AUT134" s="1251"/>
      <c r="AUU134" s="1251"/>
      <c r="AUV134" s="1251"/>
      <c r="AUW134" s="1251"/>
      <c r="AUX134" s="1251"/>
      <c r="AUY134" s="1251"/>
      <c r="AUZ134" s="1251"/>
      <c r="AVA134" s="1251"/>
      <c r="AVB134" s="1251"/>
      <c r="AVC134" s="1251"/>
      <c r="AVD134" s="1251"/>
      <c r="AVE134" s="1251"/>
      <c r="AVF134" s="1251"/>
      <c r="AVG134" s="1251"/>
      <c r="AVH134" s="1251"/>
      <c r="AVI134" s="1251"/>
      <c r="AVJ134" s="1251"/>
      <c r="AVK134" s="1251"/>
      <c r="AVL134" s="1251"/>
      <c r="AVM134" s="1251"/>
      <c r="AVN134" s="1251"/>
      <c r="AVO134" s="1251"/>
      <c r="AVP134" s="1251"/>
      <c r="AVQ134" s="1251"/>
      <c r="AVR134" s="1251"/>
      <c r="AVS134" s="1251"/>
      <c r="AVT134" s="1251"/>
      <c r="AVU134" s="1251"/>
      <c r="AVV134" s="1251"/>
      <c r="AVW134" s="1251"/>
      <c r="AVX134" s="1251"/>
      <c r="AVY134" s="1251"/>
      <c r="AVZ134" s="1251"/>
      <c r="AWA134" s="1251"/>
      <c r="AWB134" s="1251"/>
      <c r="AWC134" s="1251"/>
      <c r="AWD134" s="1251"/>
      <c r="AWE134" s="1251"/>
      <c r="AWF134" s="1251"/>
      <c r="AWG134" s="1251"/>
      <c r="AWH134" s="1251"/>
      <c r="AWI134" s="1251"/>
      <c r="AWJ134" s="1251"/>
      <c r="AWK134" s="1251"/>
      <c r="AWL134" s="1251"/>
      <c r="AWM134" s="1251"/>
      <c r="AWN134" s="1251"/>
      <c r="AWO134" s="1251"/>
      <c r="AWP134" s="1251"/>
      <c r="AWQ134" s="1251"/>
      <c r="AWR134" s="1251"/>
      <c r="AWS134" s="1251"/>
      <c r="AWT134" s="1251"/>
      <c r="AWU134" s="1251"/>
      <c r="AWV134" s="1251"/>
      <c r="AWW134" s="1251"/>
      <c r="AWX134" s="1251"/>
      <c r="AWY134" s="1251"/>
      <c r="AWZ134" s="1251"/>
      <c r="AXA134" s="1251"/>
      <c r="AXB134" s="1251"/>
      <c r="AXC134" s="1251"/>
      <c r="AXD134" s="1251"/>
      <c r="AXE134" s="1251"/>
      <c r="AXF134" s="1251"/>
      <c r="AXG134" s="1251"/>
      <c r="AXH134" s="1251"/>
      <c r="AXI134" s="1251"/>
      <c r="AXJ134" s="1251"/>
      <c r="AXK134" s="1251"/>
      <c r="AXL134" s="1251"/>
      <c r="AXM134" s="1251"/>
      <c r="AXN134" s="1251"/>
      <c r="AXO134" s="1251"/>
      <c r="AXP134" s="1251"/>
      <c r="AXQ134" s="1251"/>
      <c r="AXR134" s="1251"/>
      <c r="AXS134" s="1251"/>
      <c r="AXT134" s="1251"/>
      <c r="AXU134" s="1251"/>
      <c r="AXV134" s="1251"/>
      <c r="AXW134" s="1251"/>
      <c r="AXX134" s="1251"/>
      <c r="AXY134" s="1251"/>
      <c r="AXZ134" s="1251"/>
      <c r="AYA134" s="1251"/>
      <c r="AYB134" s="1251"/>
      <c r="AYC134" s="1251"/>
      <c r="AYD134" s="1251"/>
      <c r="AYE134" s="1251"/>
      <c r="AYF134" s="1251"/>
      <c r="AYG134" s="1251"/>
      <c r="AYH134" s="1251"/>
      <c r="AYI134" s="1251"/>
      <c r="AYJ134" s="1251"/>
      <c r="AYK134" s="1251"/>
      <c r="AYL134" s="1251"/>
      <c r="AYM134" s="1251"/>
      <c r="AYN134" s="1251"/>
      <c r="AYO134" s="1251"/>
      <c r="AYP134" s="1251"/>
      <c r="AYQ134" s="1251"/>
      <c r="AYR134" s="1251"/>
      <c r="AYS134" s="1251"/>
      <c r="AYT134" s="1251"/>
      <c r="AYU134" s="1251"/>
      <c r="AYV134" s="1251"/>
      <c r="AYW134" s="1251"/>
      <c r="AYX134" s="1251"/>
      <c r="AYY134" s="1251"/>
      <c r="AYZ134" s="1251"/>
      <c r="AZA134" s="1251"/>
      <c r="AZB134" s="1251"/>
      <c r="AZC134" s="1251"/>
      <c r="AZD134" s="1251"/>
      <c r="AZE134" s="1251"/>
      <c r="AZF134" s="1251"/>
      <c r="AZG134" s="1251"/>
      <c r="AZH134" s="1251"/>
      <c r="AZI134" s="1251"/>
      <c r="AZJ134" s="1251"/>
      <c r="AZK134" s="1251"/>
      <c r="AZL134" s="1251"/>
      <c r="AZM134" s="1251"/>
      <c r="AZN134" s="1251"/>
      <c r="AZO134" s="1251"/>
      <c r="AZP134" s="1251"/>
      <c r="AZQ134" s="1251"/>
      <c r="AZR134" s="1251"/>
      <c r="AZS134" s="1251"/>
      <c r="AZT134" s="1251"/>
      <c r="AZU134" s="1251"/>
      <c r="AZV134" s="1251"/>
      <c r="AZW134" s="1251"/>
      <c r="AZX134" s="1251"/>
      <c r="AZY134" s="1251"/>
      <c r="AZZ134" s="1251"/>
      <c r="BAA134" s="1251"/>
      <c r="BAB134" s="1251"/>
      <c r="BAC134" s="1251"/>
      <c r="BAD134" s="1251"/>
      <c r="BAE134" s="1251"/>
      <c r="BAF134" s="1251"/>
      <c r="BAG134" s="1251"/>
      <c r="BAH134" s="1251"/>
      <c r="BAI134" s="1251"/>
      <c r="BAJ134" s="1251"/>
      <c r="BAK134" s="1251"/>
      <c r="BAL134" s="1251"/>
      <c r="BAM134" s="1251"/>
      <c r="BAN134" s="1251"/>
      <c r="BAO134" s="1251"/>
      <c r="BAP134" s="1251"/>
      <c r="BAQ134" s="1251"/>
      <c r="BAR134" s="1251"/>
      <c r="BAS134" s="1251"/>
      <c r="BAT134" s="1251"/>
      <c r="BAU134" s="1251"/>
      <c r="BAV134" s="1251"/>
      <c r="BAW134" s="1251"/>
      <c r="BAX134" s="1251"/>
      <c r="BAY134" s="1251"/>
      <c r="BAZ134" s="1251"/>
      <c r="BBA134" s="1251"/>
      <c r="BBB134" s="1251"/>
      <c r="BBC134" s="1251"/>
      <c r="BBD134" s="1251"/>
      <c r="BBE134" s="1251"/>
      <c r="BBF134" s="1251"/>
      <c r="BBG134" s="1251"/>
      <c r="BBH134" s="1251"/>
      <c r="BBI134" s="1251"/>
      <c r="BBJ134" s="1251"/>
      <c r="BBK134" s="1251"/>
      <c r="BBL134" s="1251"/>
      <c r="BBM134" s="1251"/>
      <c r="BBN134" s="1251"/>
      <c r="BBO134" s="1251"/>
      <c r="BBP134" s="1251"/>
      <c r="BBQ134" s="1251"/>
      <c r="BBR134" s="1251"/>
      <c r="BBS134" s="1251"/>
      <c r="BBT134" s="1251"/>
      <c r="BBU134" s="1251"/>
      <c r="BBV134" s="1251"/>
      <c r="BBW134" s="1251"/>
      <c r="BBX134" s="1251"/>
      <c r="BBY134" s="1251"/>
      <c r="BBZ134" s="1251"/>
      <c r="BCA134" s="1251"/>
      <c r="BCB134" s="1251"/>
      <c r="BCC134" s="1251"/>
      <c r="BCD134" s="1251"/>
      <c r="BCE134" s="1251"/>
      <c r="BCF134" s="1251"/>
      <c r="BCG134" s="1251"/>
      <c r="BCH134" s="1251"/>
      <c r="BCI134" s="1251"/>
      <c r="BCJ134" s="1251"/>
      <c r="BCK134" s="1251"/>
      <c r="BCL134" s="1251"/>
      <c r="BCM134" s="1251"/>
      <c r="BCN134" s="1251"/>
      <c r="BCO134" s="1251"/>
      <c r="BCP134" s="1251"/>
      <c r="BCQ134" s="1251"/>
      <c r="BCR134" s="1251"/>
      <c r="BCS134" s="1251"/>
      <c r="BCT134" s="1251"/>
      <c r="BCU134" s="1251"/>
      <c r="BCV134" s="1251"/>
      <c r="BCW134" s="1251"/>
      <c r="BCX134" s="1251"/>
      <c r="BCY134" s="1251"/>
      <c r="BCZ134" s="1251"/>
      <c r="BDA134" s="1251"/>
      <c r="BDB134" s="1251"/>
      <c r="BDC134" s="1251"/>
      <c r="BDD134" s="1251"/>
      <c r="BDE134" s="1251"/>
      <c r="BDF134" s="1251"/>
      <c r="BDG134" s="1251"/>
      <c r="BDH134" s="1251"/>
      <c r="BDI134" s="1251"/>
      <c r="BDJ134" s="1251"/>
      <c r="BDK134" s="1251"/>
      <c r="BDL134" s="1251"/>
      <c r="BDM134" s="1251"/>
      <c r="BDN134" s="1251"/>
      <c r="BDO134" s="1251"/>
      <c r="BDP134" s="1251"/>
      <c r="BDQ134" s="1251"/>
      <c r="BDR134" s="1251"/>
      <c r="BDS134" s="1251"/>
      <c r="BDT134" s="1251"/>
      <c r="BDU134" s="1251"/>
      <c r="BDV134" s="1251"/>
      <c r="BDW134" s="1251"/>
      <c r="BDX134" s="1251"/>
      <c r="BDY134" s="1251"/>
      <c r="BDZ134" s="1251"/>
      <c r="BEA134" s="1251"/>
      <c r="BEB134" s="1251"/>
      <c r="BEC134" s="1251"/>
      <c r="BED134" s="1251"/>
      <c r="BEE134" s="1251"/>
      <c r="BEF134" s="1251"/>
      <c r="BEG134" s="1251"/>
      <c r="BEH134" s="1251"/>
      <c r="BEI134" s="1251"/>
      <c r="BEJ134" s="1251"/>
      <c r="BEK134" s="1251"/>
      <c r="BEL134" s="1251"/>
      <c r="BEM134" s="1251"/>
      <c r="BEN134" s="1251"/>
      <c r="BEO134" s="1251"/>
      <c r="BEP134" s="1251"/>
      <c r="BEQ134" s="1251"/>
      <c r="BER134" s="1251"/>
      <c r="BES134" s="1251"/>
      <c r="BET134" s="1251"/>
      <c r="BEU134" s="1251"/>
      <c r="BEV134" s="1251"/>
      <c r="BEW134" s="1251"/>
      <c r="BEX134" s="1251"/>
      <c r="BEY134" s="1251"/>
      <c r="BEZ134" s="1251"/>
      <c r="BFA134" s="1251"/>
      <c r="BFB134" s="1251"/>
      <c r="BFC134" s="1251"/>
      <c r="BFD134" s="1251"/>
      <c r="BFE134" s="1251"/>
      <c r="BFF134" s="1251"/>
      <c r="BFG134" s="1251"/>
      <c r="BFH134" s="1251"/>
      <c r="BFI134" s="1251"/>
      <c r="BFJ134" s="1251"/>
      <c r="BFK134" s="1251"/>
      <c r="BFL134" s="1251"/>
      <c r="BFM134" s="1251"/>
      <c r="BFN134" s="1251"/>
      <c r="BFO134" s="1251"/>
      <c r="BFP134" s="1251"/>
      <c r="BFQ134" s="1251"/>
      <c r="BFR134" s="1251"/>
      <c r="BFS134" s="1251"/>
      <c r="BFT134" s="1251"/>
      <c r="BFU134" s="1251"/>
      <c r="BFV134" s="1251"/>
      <c r="BFW134" s="1251"/>
      <c r="BFX134" s="1251"/>
      <c r="BFY134" s="1251"/>
      <c r="BFZ134" s="1251"/>
      <c r="BGA134" s="1251"/>
      <c r="BGB134" s="1251"/>
      <c r="BGC134" s="1251"/>
      <c r="BGD134" s="1251"/>
      <c r="BGE134" s="1251"/>
      <c r="BGF134" s="1251"/>
      <c r="BGG134" s="1251"/>
      <c r="BGH134" s="1251"/>
      <c r="BGI134" s="1251"/>
      <c r="BGJ134" s="1251"/>
      <c r="BGK134" s="1251"/>
      <c r="BGL134" s="1251"/>
      <c r="BGM134" s="1251"/>
      <c r="BGN134" s="1251"/>
      <c r="BGO134" s="1251"/>
      <c r="BGP134" s="1251"/>
      <c r="BGQ134" s="1251"/>
      <c r="BGR134" s="1251"/>
      <c r="BGS134" s="1251"/>
      <c r="BGT134" s="1251"/>
      <c r="BGU134" s="1251"/>
      <c r="BGV134" s="1251"/>
      <c r="BGW134" s="1251"/>
      <c r="BGX134" s="1251"/>
      <c r="BGY134" s="1251"/>
      <c r="BGZ134" s="1251"/>
      <c r="BHA134" s="1251"/>
      <c r="BHB134" s="1251"/>
      <c r="BHC134" s="1251"/>
      <c r="BHD134" s="1251"/>
      <c r="BHE134" s="1251"/>
      <c r="BHF134" s="1251"/>
      <c r="BHG134" s="1251"/>
      <c r="BHH134" s="1251"/>
      <c r="BHI134" s="1251"/>
      <c r="BHJ134" s="1251"/>
      <c r="BHK134" s="1251"/>
      <c r="BHL134" s="1251"/>
      <c r="BHM134" s="1251"/>
      <c r="BHN134" s="1251"/>
      <c r="BHO134" s="1251"/>
      <c r="BHP134" s="1251"/>
      <c r="BHQ134" s="1251"/>
      <c r="BHR134" s="1251"/>
      <c r="BHS134" s="1251"/>
      <c r="BHT134" s="1251"/>
      <c r="BHU134" s="1251"/>
      <c r="BHV134" s="1251"/>
      <c r="BHW134" s="1251"/>
      <c r="BHX134" s="1251"/>
      <c r="BHY134" s="1251"/>
      <c r="BHZ134" s="1251"/>
      <c r="BIA134" s="1251"/>
      <c r="BIB134" s="1251"/>
      <c r="BIC134" s="1251"/>
      <c r="BID134" s="1251"/>
      <c r="BIE134" s="1251"/>
      <c r="BIF134" s="1251"/>
      <c r="BIG134" s="1251"/>
      <c r="BIH134" s="1251"/>
      <c r="BII134" s="1251"/>
      <c r="BIJ134" s="1251"/>
      <c r="BIK134" s="1251"/>
      <c r="BIL134" s="1251"/>
      <c r="BIM134" s="1251"/>
      <c r="BIN134" s="1251"/>
      <c r="BIO134" s="1251"/>
      <c r="BIP134" s="1251"/>
      <c r="BIQ134" s="1251"/>
      <c r="BIR134" s="1251"/>
      <c r="BIS134" s="1251"/>
      <c r="BIT134" s="1251"/>
      <c r="BIU134" s="1251"/>
      <c r="BIV134" s="1251"/>
      <c r="BIW134" s="1251"/>
      <c r="BIX134" s="1251"/>
      <c r="BIY134" s="1251"/>
      <c r="BIZ134" s="1251"/>
      <c r="BJA134" s="1251"/>
      <c r="BJB134" s="1251"/>
      <c r="BJC134" s="1251"/>
      <c r="BJD134" s="1251"/>
      <c r="BJE134" s="1251"/>
      <c r="BJF134" s="1251"/>
      <c r="BJG134" s="1251"/>
      <c r="BJH134" s="1251"/>
      <c r="BJI134" s="1251"/>
      <c r="BJJ134" s="1251"/>
      <c r="BJK134" s="1251"/>
      <c r="BJL134" s="1251"/>
      <c r="BJM134" s="1251"/>
      <c r="BJN134" s="1251"/>
      <c r="BJO134" s="1251"/>
      <c r="BJP134" s="1251"/>
      <c r="BJQ134" s="1251"/>
      <c r="BJR134" s="1251"/>
      <c r="BJS134" s="1251"/>
      <c r="BJT134" s="1251"/>
      <c r="BJU134" s="1251"/>
      <c r="BJV134" s="1251"/>
      <c r="BJW134" s="1251"/>
      <c r="BJX134" s="1251"/>
      <c r="BJY134" s="1251"/>
      <c r="BJZ134" s="1251"/>
      <c r="BKA134" s="1251"/>
      <c r="BKB134" s="1251"/>
      <c r="BKC134" s="1251"/>
      <c r="BKD134" s="1251"/>
      <c r="BKE134" s="1251"/>
      <c r="BKF134" s="1251"/>
      <c r="BKG134" s="1251"/>
      <c r="BKH134" s="1251"/>
      <c r="BKI134" s="1251"/>
      <c r="BKJ134" s="1251"/>
      <c r="BKK134" s="1251"/>
      <c r="BKL134" s="1251"/>
      <c r="BKM134" s="1251"/>
      <c r="BKN134" s="1251"/>
      <c r="BKO134" s="1251"/>
      <c r="BKP134" s="1251"/>
      <c r="BKQ134" s="1251"/>
      <c r="BKR134" s="1251"/>
      <c r="BKS134" s="1251"/>
      <c r="BKT134" s="1251"/>
      <c r="BKU134" s="1251"/>
      <c r="BKV134" s="1251"/>
      <c r="BKW134" s="1251"/>
      <c r="BKX134" s="1251"/>
      <c r="BKY134" s="1251"/>
      <c r="BKZ134" s="1251"/>
      <c r="BLA134" s="1251"/>
      <c r="BLB134" s="1251"/>
      <c r="BLC134" s="1251"/>
      <c r="BLD134" s="1251"/>
      <c r="BLE134" s="1251"/>
      <c r="BLF134" s="1251"/>
      <c r="BLG134" s="1251"/>
      <c r="BLH134" s="1251"/>
      <c r="BLI134" s="1251"/>
      <c r="BLJ134" s="1251"/>
      <c r="BLK134" s="1251"/>
      <c r="BLL134" s="1251"/>
      <c r="BLM134" s="1251"/>
      <c r="BLN134" s="1251"/>
      <c r="BLO134" s="1251"/>
      <c r="BLP134" s="1251"/>
      <c r="BLQ134" s="1251"/>
      <c r="BLR134" s="1251"/>
      <c r="BLS134" s="1251"/>
      <c r="BLT134" s="1251"/>
      <c r="BLU134" s="1251"/>
      <c r="BLV134" s="1251"/>
      <c r="BLW134" s="1251"/>
      <c r="BLX134" s="1251"/>
      <c r="BLY134" s="1251"/>
      <c r="BLZ134" s="1251"/>
      <c r="BMA134" s="1251"/>
      <c r="BMB134" s="1251"/>
      <c r="BMC134" s="1251"/>
      <c r="BMD134" s="1251"/>
      <c r="BME134" s="1251"/>
      <c r="BMF134" s="1251"/>
      <c r="BMG134" s="1251"/>
      <c r="BMH134" s="1251"/>
      <c r="BMI134" s="1251"/>
      <c r="BMJ134" s="1251"/>
      <c r="BMK134" s="1251"/>
      <c r="BML134" s="1251"/>
      <c r="BMM134" s="1251"/>
      <c r="BMN134" s="1251"/>
      <c r="BMO134" s="1251"/>
      <c r="BMP134" s="1251"/>
      <c r="BMQ134" s="1251"/>
      <c r="BMR134" s="1251"/>
      <c r="BMS134" s="1251"/>
      <c r="BMT134" s="1251"/>
      <c r="BMU134" s="1251"/>
      <c r="BMV134" s="1251"/>
      <c r="BMW134" s="1251"/>
      <c r="BMX134" s="1251"/>
      <c r="BMY134" s="1251"/>
      <c r="BMZ134" s="1251"/>
      <c r="BNA134" s="1251"/>
      <c r="BNB134" s="1251"/>
      <c r="BNC134" s="1251"/>
      <c r="BND134" s="1251"/>
      <c r="BNE134" s="1251"/>
      <c r="BNF134" s="1251"/>
      <c r="BNG134" s="1251"/>
      <c r="BNH134" s="1251"/>
      <c r="BNI134" s="1251"/>
      <c r="BNJ134" s="1251"/>
      <c r="BNK134" s="1251"/>
      <c r="BNL134" s="1251"/>
      <c r="BNM134" s="1251"/>
      <c r="BNN134" s="1251"/>
      <c r="BNO134" s="1251"/>
      <c r="BNP134" s="1251"/>
      <c r="BNQ134" s="1251"/>
      <c r="BNR134" s="1251"/>
      <c r="BNS134" s="1251"/>
      <c r="BNT134" s="1251"/>
      <c r="BNU134" s="1251"/>
      <c r="BNV134" s="1251"/>
      <c r="BNW134" s="1251"/>
      <c r="BNX134" s="1251"/>
      <c r="BNY134" s="1251"/>
      <c r="BNZ134" s="1251"/>
      <c r="BOA134" s="1251"/>
      <c r="BOB134" s="1251"/>
      <c r="BOC134" s="1251"/>
      <c r="BOD134" s="1251"/>
      <c r="BOE134" s="1251"/>
      <c r="BOF134" s="1251"/>
      <c r="BOG134" s="1251"/>
      <c r="BOH134" s="1251"/>
      <c r="BOI134" s="1251"/>
      <c r="BOJ134" s="1251"/>
      <c r="BOK134" s="1251"/>
      <c r="BOL134" s="1251"/>
      <c r="BOM134" s="1251"/>
      <c r="BON134" s="1251"/>
      <c r="BOO134" s="1251"/>
      <c r="BOP134" s="1251"/>
      <c r="BOQ134" s="1251"/>
      <c r="BOR134" s="1251"/>
      <c r="BOS134" s="1251"/>
      <c r="BOT134" s="1251"/>
      <c r="BOU134" s="1251"/>
      <c r="BOV134" s="1251"/>
      <c r="BOW134" s="1251"/>
      <c r="BOX134" s="1251"/>
      <c r="BOY134" s="1251"/>
      <c r="BOZ134" s="1251"/>
      <c r="BPA134" s="1251"/>
      <c r="BPB134" s="1251"/>
      <c r="BPC134" s="1251"/>
      <c r="BPD134" s="1251"/>
      <c r="BPE134" s="1251"/>
      <c r="BPF134" s="1251"/>
      <c r="BPG134" s="1251"/>
      <c r="BPH134" s="1251"/>
      <c r="BPI134" s="1251"/>
      <c r="BPJ134" s="1251"/>
      <c r="BPK134" s="1251"/>
      <c r="BPL134" s="1251"/>
      <c r="BPM134" s="1251"/>
      <c r="BPN134" s="1251"/>
      <c r="BPO134" s="1251"/>
      <c r="BPP134" s="1251"/>
      <c r="BPQ134" s="1251"/>
      <c r="BPR134" s="1251"/>
      <c r="BPS134" s="1251"/>
      <c r="BPT134" s="1251"/>
      <c r="BPU134" s="1251"/>
      <c r="BPV134" s="1251"/>
      <c r="BPW134" s="1251"/>
      <c r="BPX134" s="1251"/>
      <c r="BPY134" s="1251"/>
      <c r="BPZ134" s="1251"/>
      <c r="BQA134" s="1251"/>
      <c r="BQB134" s="1251"/>
      <c r="BQC134" s="1251"/>
      <c r="BQD134" s="1251"/>
      <c r="BQE134" s="1251"/>
      <c r="BQF134" s="1251"/>
      <c r="BQG134" s="1251"/>
      <c r="BQH134" s="1251"/>
      <c r="BQI134" s="1251"/>
      <c r="BQJ134" s="1251"/>
      <c r="BQK134" s="1251"/>
      <c r="BQL134" s="1251"/>
      <c r="BQM134" s="1251"/>
      <c r="BQN134" s="1251"/>
      <c r="BQO134" s="1251"/>
      <c r="BQP134" s="1251"/>
      <c r="BQQ134" s="1251"/>
      <c r="BQR134" s="1251"/>
      <c r="BQS134" s="1251"/>
      <c r="BQT134" s="1251"/>
      <c r="BQU134" s="1251"/>
      <c r="BQV134" s="1251"/>
      <c r="BQW134" s="1251"/>
      <c r="BQX134" s="1251"/>
      <c r="BQY134" s="1251"/>
      <c r="BQZ134" s="1251"/>
      <c r="BRA134" s="1251"/>
      <c r="BRB134" s="1251"/>
      <c r="BRC134" s="1251"/>
      <c r="BRD134" s="1251"/>
      <c r="BRE134" s="1251"/>
      <c r="BRF134" s="1251"/>
      <c r="BRG134" s="1251"/>
      <c r="BRH134" s="1251"/>
      <c r="BRI134" s="1251"/>
      <c r="BRJ134" s="1251"/>
      <c r="BRK134" s="1251"/>
      <c r="BRL134" s="1251"/>
      <c r="BRM134" s="1251"/>
      <c r="BRN134" s="1251"/>
      <c r="BRO134" s="1251"/>
      <c r="BRP134" s="1251"/>
      <c r="BRQ134" s="1251"/>
      <c r="BRR134" s="1251"/>
      <c r="BRS134" s="1251"/>
      <c r="BRT134" s="1251"/>
      <c r="BRU134" s="1251"/>
      <c r="BRV134" s="1251"/>
      <c r="BRW134" s="1251"/>
      <c r="BRX134" s="1251"/>
      <c r="BRY134" s="1251"/>
      <c r="BRZ134" s="1251"/>
      <c r="BSA134" s="1251"/>
      <c r="BSB134" s="1251"/>
      <c r="BSC134" s="1251"/>
      <c r="BSD134" s="1251"/>
      <c r="BSE134" s="1251"/>
      <c r="BSF134" s="1251"/>
      <c r="BSG134" s="1251"/>
      <c r="BSH134" s="1251"/>
      <c r="BSI134" s="1251"/>
      <c r="BSJ134" s="1251"/>
      <c r="BSK134" s="1251"/>
      <c r="BSL134" s="1251"/>
      <c r="BSM134" s="1251"/>
      <c r="BSN134" s="1251"/>
      <c r="BSO134" s="1251"/>
      <c r="BSP134" s="1251"/>
      <c r="BSQ134" s="1251"/>
      <c r="BSR134" s="1251"/>
      <c r="BSS134" s="1251"/>
      <c r="BST134" s="1251"/>
      <c r="BSU134" s="1251"/>
      <c r="BSV134" s="1251"/>
      <c r="BSW134" s="1251"/>
      <c r="BSX134" s="1251"/>
      <c r="BSY134" s="1251"/>
      <c r="BSZ134" s="1251"/>
      <c r="BTA134" s="1251"/>
      <c r="BTB134" s="1251"/>
      <c r="BTC134" s="1251"/>
      <c r="BTD134" s="1251"/>
      <c r="BTE134" s="1251"/>
      <c r="BTF134" s="1251"/>
      <c r="BTG134" s="1251"/>
      <c r="BTH134" s="1251"/>
      <c r="BTI134" s="1251"/>
    </row>
    <row r="135" spans="1:1881" s="1261" customFormat="1" ht="48.75" hidden="1" customHeight="1" x14ac:dyDescent="0.3">
      <c r="A135" s="1248">
        <v>510</v>
      </c>
      <c r="B135" s="659" t="s">
        <v>37</v>
      </c>
      <c r="C135" s="659" t="s">
        <v>1385</v>
      </c>
      <c r="D135" s="29" t="s">
        <v>527</v>
      </c>
      <c r="E135" s="1249" t="e">
        <f>HLOOKUP($D$2,'2020 Data(H)'!$C$1:$CZ$426,160,FALSE)</f>
        <v>#N/A</v>
      </c>
      <c r="F135" s="1263">
        <v>0</v>
      </c>
      <c r="G135" s="736"/>
      <c r="H135" s="17"/>
      <c r="I135" s="760"/>
      <c r="J135" s="1251"/>
      <c r="K135" s="1251"/>
      <c r="L135" s="1251"/>
      <c r="M135" s="1251"/>
      <c r="N135" s="1253"/>
      <c r="O135" s="1251"/>
      <c r="P135" s="1251"/>
      <c r="Q135" s="1251"/>
      <c r="R135" s="1251"/>
      <c r="S135" s="1251"/>
      <c r="T135" s="1251"/>
      <c r="U135" s="1251"/>
      <c r="V135" s="1251"/>
      <c r="W135" s="1251"/>
      <c r="X135" s="1251"/>
      <c r="Y135" s="1251"/>
      <c r="Z135" s="1248"/>
      <c r="AA135" s="1248"/>
      <c r="AB135" s="1248"/>
      <c r="AC135" s="1248"/>
      <c r="AD135" s="1248"/>
      <c r="AE135" s="1248"/>
      <c r="AF135" s="1248"/>
      <c r="AG135" s="1248"/>
      <c r="AH135" s="1248"/>
      <c r="AI135" s="1248"/>
      <c r="AJ135" s="1248"/>
      <c r="AK135" s="1248"/>
      <c r="AL135" s="1248"/>
      <c r="AM135" s="1248"/>
      <c r="AN135" s="1248"/>
      <c r="AO135" s="1248"/>
      <c r="AP135" s="1248"/>
      <c r="AQ135" s="1248"/>
      <c r="AR135" s="1248"/>
      <c r="AS135" s="1251"/>
      <c r="AT135" s="1251"/>
      <c r="AU135" s="1251"/>
      <c r="AV135" s="1251"/>
      <c r="AW135" s="1251"/>
      <c r="AX135" s="1251"/>
      <c r="AY135" s="1251"/>
      <c r="AZ135" s="1251"/>
      <c r="BA135" s="1251"/>
      <c r="BB135" s="1251"/>
      <c r="BC135" s="1251"/>
      <c r="BD135" s="1251"/>
      <c r="BE135" s="1251"/>
      <c r="BF135" s="1251"/>
      <c r="BG135" s="1251"/>
      <c r="BH135" s="1251"/>
      <c r="BI135" s="1251"/>
      <c r="BJ135" s="1251"/>
      <c r="BK135" s="1251"/>
      <c r="BL135" s="1251"/>
      <c r="BM135" s="1251"/>
      <c r="BN135" s="1251"/>
      <c r="BO135" s="1251"/>
      <c r="BP135" s="1251"/>
      <c r="BQ135" s="1251"/>
      <c r="BR135" s="1251"/>
      <c r="BS135" s="1251"/>
      <c r="BT135" s="1251"/>
      <c r="BU135" s="1251"/>
      <c r="BV135" s="1251"/>
      <c r="BW135" s="1251"/>
      <c r="BX135" s="1251"/>
      <c r="BY135" s="1251"/>
      <c r="BZ135" s="1251"/>
      <c r="CA135" s="1251"/>
      <c r="CB135" s="1251"/>
      <c r="CC135" s="1251"/>
      <c r="CD135" s="1251"/>
      <c r="CE135" s="1251"/>
      <c r="CF135" s="1251"/>
      <c r="CG135" s="1251"/>
      <c r="CH135" s="1251"/>
      <c r="CI135" s="1251"/>
      <c r="CJ135" s="1251"/>
      <c r="CK135" s="1251"/>
      <c r="CL135" s="1251"/>
      <c r="CM135" s="1251"/>
      <c r="CN135" s="1251"/>
      <c r="CO135" s="1251"/>
      <c r="CP135" s="1251"/>
      <c r="CQ135" s="1251"/>
      <c r="CR135" s="1251"/>
      <c r="CS135" s="1251"/>
      <c r="CT135" s="1251"/>
      <c r="CU135" s="1251"/>
      <c r="CV135" s="1251"/>
      <c r="CW135" s="1251"/>
      <c r="CX135" s="1251"/>
      <c r="CY135" s="1251"/>
      <c r="CZ135" s="1251"/>
      <c r="DA135" s="1251"/>
      <c r="DB135" s="1251"/>
      <c r="DC135" s="1251"/>
      <c r="DD135" s="1251"/>
      <c r="DE135" s="1251"/>
      <c r="DF135" s="1251"/>
      <c r="DG135" s="1251"/>
      <c r="DH135" s="1251"/>
      <c r="DI135" s="1251"/>
      <c r="DJ135" s="1251"/>
      <c r="DK135" s="1251"/>
      <c r="DL135" s="1251"/>
      <c r="DM135" s="1251"/>
      <c r="DN135" s="1251"/>
      <c r="DO135" s="1251"/>
      <c r="DP135" s="1251"/>
      <c r="DQ135" s="1251"/>
      <c r="DR135" s="1251"/>
      <c r="DS135" s="1251"/>
      <c r="DT135" s="1251"/>
      <c r="DU135" s="1251"/>
      <c r="DV135" s="1251"/>
      <c r="DW135" s="1251"/>
      <c r="DX135" s="1251"/>
      <c r="DY135" s="1251"/>
      <c r="DZ135" s="1251"/>
      <c r="EA135" s="1251"/>
      <c r="EB135" s="1251"/>
      <c r="EC135" s="1251"/>
      <c r="ED135" s="1251"/>
      <c r="EE135" s="1251"/>
      <c r="EF135" s="1251"/>
      <c r="EG135" s="1251"/>
      <c r="EH135" s="1251"/>
      <c r="EI135" s="1251"/>
      <c r="EJ135" s="1251"/>
      <c r="EK135" s="1251"/>
      <c r="EL135" s="1251"/>
      <c r="EM135" s="1251"/>
      <c r="EN135" s="1251"/>
      <c r="EO135" s="1251"/>
      <c r="EP135" s="1251"/>
      <c r="EQ135" s="1251"/>
      <c r="ER135" s="1251"/>
      <c r="ES135" s="1251"/>
      <c r="ET135" s="1251"/>
      <c r="EU135" s="1251"/>
      <c r="EV135" s="1251"/>
      <c r="EW135" s="1251"/>
      <c r="EX135" s="1251"/>
      <c r="EY135" s="1251"/>
      <c r="EZ135" s="1251"/>
      <c r="FA135" s="1251"/>
      <c r="FB135" s="1251"/>
      <c r="FC135" s="1251"/>
      <c r="FD135" s="1251"/>
      <c r="FE135" s="1251"/>
      <c r="FF135" s="1251"/>
      <c r="FG135" s="1251"/>
      <c r="FH135" s="1251"/>
      <c r="FI135" s="1251"/>
      <c r="FJ135" s="1251"/>
      <c r="FK135" s="1251"/>
      <c r="FL135" s="1251"/>
      <c r="FM135" s="1251"/>
      <c r="FN135" s="1251"/>
      <c r="FO135" s="1251"/>
      <c r="FP135" s="1251"/>
      <c r="FQ135" s="1251"/>
      <c r="FR135" s="1251"/>
      <c r="FS135" s="1251"/>
      <c r="FT135" s="1251"/>
      <c r="FU135" s="1251"/>
      <c r="FV135" s="1251"/>
      <c r="FW135" s="1251"/>
      <c r="FX135" s="1251"/>
      <c r="FY135" s="1251"/>
      <c r="FZ135" s="1251"/>
      <c r="GA135" s="1251"/>
      <c r="GB135" s="1251"/>
      <c r="GC135" s="1251"/>
      <c r="GD135" s="1251"/>
      <c r="GE135" s="1251"/>
      <c r="GF135" s="1251"/>
      <c r="GG135" s="1251"/>
      <c r="GH135" s="1251"/>
      <c r="GI135" s="1251"/>
      <c r="GJ135" s="1251"/>
      <c r="GK135" s="1251"/>
      <c r="GL135" s="1251"/>
      <c r="GM135" s="1251"/>
      <c r="GN135" s="1251"/>
      <c r="GO135" s="1251"/>
      <c r="GP135" s="1251"/>
      <c r="GQ135" s="1251"/>
      <c r="GR135" s="1251"/>
      <c r="GS135" s="1251"/>
      <c r="GT135" s="1251"/>
      <c r="GU135" s="1251"/>
      <c r="GV135" s="1251"/>
      <c r="GW135" s="1251"/>
      <c r="GX135" s="1251"/>
      <c r="GY135" s="1251"/>
      <c r="GZ135" s="1251"/>
      <c r="HA135" s="1251"/>
      <c r="HB135" s="1251"/>
      <c r="HC135" s="1251"/>
      <c r="HD135" s="1251"/>
      <c r="HE135" s="1251"/>
      <c r="HF135" s="1251"/>
      <c r="HG135" s="1251"/>
      <c r="HH135" s="1251"/>
      <c r="HI135" s="1251"/>
      <c r="HJ135" s="1251"/>
      <c r="HK135" s="1251"/>
      <c r="HL135" s="1251"/>
      <c r="HM135" s="1251"/>
      <c r="HN135" s="1251"/>
      <c r="HO135" s="1251"/>
      <c r="HP135" s="1251"/>
      <c r="HQ135" s="1251"/>
      <c r="HR135" s="1251"/>
      <c r="HS135" s="1251"/>
      <c r="HT135" s="1251"/>
      <c r="HU135" s="1251"/>
      <c r="HV135" s="1251"/>
      <c r="HW135" s="1251"/>
      <c r="HX135" s="1251"/>
      <c r="HY135" s="1251"/>
      <c r="HZ135" s="1251"/>
      <c r="IA135" s="1251"/>
      <c r="IB135" s="1251"/>
      <c r="IC135" s="1251"/>
      <c r="ID135" s="1251"/>
      <c r="IE135" s="1251"/>
      <c r="IF135" s="1251"/>
      <c r="IG135" s="1251"/>
      <c r="IH135" s="1251"/>
      <c r="II135" s="1251"/>
      <c r="IJ135" s="1251"/>
      <c r="IK135" s="1251"/>
      <c r="IL135" s="1251"/>
      <c r="IM135" s="1251"/>
      <c r="IN135" s="1251"/>
      <c r="IO135" s="1251"/>
      <c r="IP135" s="1251"/>
      <c r="IQ135" s="1251"/>
      <c r="IR135" s="1251"/>
      <c r="IS135" s="1251"/>
      <c r="IT135" s="1251"/>
      <c r="IU135" s="1251"/>
      <c r="IV135" s="1251"/>
      <c r="IW135" s="1251"/>
      <c r="IX135" s="1251"/>
      <c r="IY135" s="1251"/>
      <c r="IZ135" s="1251"/>
      <c r="JA135" s="1251"/>
      <c r="JB135" s="1251"/>
      <c r="JC135" s="1251"/>
      <c r="JD135" s="1251"/>
      <c r="JE135" s="1251"/>
      <c r="JF135" s="1251"/>
      <c r="JG135" s="1251"/>
      <c r="JH135" s="1251"/>
      <c r="JI135" s="1251"/>
      <c r="JJ135" s="1251"/>
      <c r="JK135" s="1251"/>
      <c r="JL135" s="1251"/>
      <c r="JM135" s="1251"/>
      <c r="JN135" s="1251"/>
      <c r="JO135" s="1251"/>
      <c r="JP135" s="1251"/>
      <c r="JQ135" s="1251"/>
      <c r="JR135" s="1251"/>
      <c r="JS135" s="1251"/>
      <c r="JT135" s="1251"/>
      <c r="JU135" s="1251"/>
      <c r="JV135" s="1251"/>
      <c r="JW135" s="1251"/>
      <c r="JX135" s="1251"/>
      <c r="JY135" s="1251"/>
      <c r="JZ135" s="1251"/>
      <c r="KA135" s="1251"/>
      <c r="KB135" s="1251"/>
      <c r="KC135" s="1251"/>
      <c r="KD135" s="1251"/>
      <c r="KE135" s="1251"/>
      <c r="KF135" s="1251"/>
      <c r="KG135" s="1251"/>
      <c r="KH135" s="1251"/>
      <c r="KI135" s="1251"/>
      <c r="KJ135" s="1251"/>
      <c r="KK135" s="1251"/>
      <c r="KL135" s="1251"/>
      <c r="KM135" s="1251"/>
      <c r="KN135" s="1251"/>
      <c r="KO135" s="1251"/>
      <c r="KP135" s="1251"/>
      <c r="KQ135" s="1251"/>
      <c r="KR135" s="1251"/>
      <c r="KS135" s="1251"/>
      <c r="KT135" s="1251"/>
      <c r="KU135" s="1251"/>
      <c r="KV135" s="1251"/>
      <c r="KW135" s="1251"/>
      <c r="KX135" s="1251"/>
      <c r="KY135" s="1251"/>
      <c r="KZ135" s="1251"/>
      <c r="LA135" s="1251"/>
      <c r="LB135" s="1251"/>
      <c r="LC135" s="1251"/>
      <c r="LD135" s="1251"/>
      <c r="LE135" s="1251"/>
      <c r="LF135" s="1251"/>
      <c r="LG135" s="1251"/>
      <c r="LH135" s="1251"/>
      <c r="LI135" s="1251"/>
      <c r="LJ135" s="1251"/>
      <c r="LK135" s="1251"/>
      <c r="LL135" s="1251"/>
      <c r="LM135" s="1251"/>
      <c r="LN135" s="1251"/>
      <c r="LO135" s="1251"/>
      <c r="LP135" s="1251"/>
      <c r="LQ135" s="1251"/>
      <c r="LR135" s="1251"/>
      <c r="LS135" s="1251"/>
      <c r="LT135" s="1251"/>
      <c r="LU135" s="1251"/>
      <c r="LV135" s="1251"/>
      <c r="LW135" s="1251"/>
      <c r="LX135" s="1251"/>
      <c r="LY135" s="1251"/>
      <c r="LZ135" s="1251"/>
      <c r="MA135" s="1251"/>
      <c r="MB135" s="1251"/>
      <c r="MC135" s="1251"/>
      <c r="MD135" s="1251"/>
      <c r="ME135" s="1251"/>
      <c r="MF135" s="1251"/>
      <c r="MG135" s="1251"/>
      <c r="MH135" s="1251"/>
      <c r="MI135" s="1251"/>
      <c r="MJ135" s="1251"/>
      <c r="MK135" s="1251"/>
      <c r="ML135" s="1251"/>
      <c r="MM135" s="1251"/>
      <c r="MN135" s="1251"/>
      <c r="MO135" s="1251"/>
      <c r="MP135" s="1251"/>
      <c r="MQ135" s="1251"/>
      <c r="MR135" s="1251"/>
      <c r="MS135" s="1251"/>
      <c r="MT135" s="1251"/>
      <c r="MU135" s="1251"/>
      <c r="MV135" s="1251"/>
      <c r="MW135" s="1251"/>
      <c r="MX135" s="1251"/>
      <c r="MY135" s="1251"/>
      <c r="MZ135" s="1251"/>
      <c r="NA135" s="1251"/>
      <c r="NB135" s="1251"/>
      <c r="NC135" s="1251"/>
      <c r="ND135" s="1251"/>
      <c r="NE135" s="1251"/>
      <c r="NF135" s="1251"/>
      <c r="NG135" s="1251"/>
      <c r="NH135" s="1251"/>
      <c r="NI135" s="1251"/>
      <c r="NJ135" s="1251"/>
      <c r="NK135" s="1251"/>
      <c r="NL135" s="1251"/>
      <c r="NM135" s="1251"/>
      <c r="NN135" s="1251"/>
      <c r="NO135" s="1251"/>
      <c r="NP135" s="1251"/>
      <c r="NQ135" s="1251"/>
      <c r="NR135" s="1251"/>
      <c r="NS135" s="1251"/>
      <c r="NT135" s="1251"/>
      <c r="NU135" s="1251"/>
      <c r="NV135" s="1251"/>
      <c r="NW135" s="1251"/>
      <c r="NX135" s="1251"/>
      <c r="NY135" s="1251"/>
      <c r="NZ135" s="1251"/>
      <c r="OA135" s="1251"/>
      <c r="OB135" s="1251"/>
      <c r="OC135" s="1251"/>
      <c r="OD135" s="1251"/>
      <c r="OE135" s="1251"/>
      <c r="OF135" s="1251"/>
      <c r="OG135" s="1251"/>
      <c r="OH135" s="1251"/>
      <c r="OI135" s="1251"/>
      <c r="OJ135" s="1251"/>
      <c r="OK135" s="1251"/>
      <c r="OL135" s="1251"/>
      <c r="OM135" s="1251"/>
      <c r="ON135" s="1251"/>
      <c r="OO135" s="1251"/>
      <c r="OP135" s="1251"/>
      <c r="OQ135" s="1251"/>
      <c r="OR135" s="1251"/>
      <c r="OS135" s="1251"/>
      <c r="OT135" s="1251"/>
      <c r="OU135" s="1251"/>
      <c r="OV135" s="1251"/>
      <c r="OW135" s="1251"/>
      <c r="OX135" s="1251"/>
      <c r="OY135" s="1251"/>
      <c r="OZ135" s="1251"/>
      <c r="PA135" s="1251"/>
      <c r="PB135" s="1251"/>
      <c r="PC135" s="1251"/>
      <c r="PD135" s="1251"/>
      <c r="PE135" s="1251"/>
      <c r="PF135" s="1251"/>
      <c r="PG135" s="1251"/>
      <c r="PH135" s="1251"/>
      <c r="PI135" s="1251"/>
      <c r="PJ135" s="1251"/>
      <c r="PK135" s="1251"/>
      <c r="PL135" s="1251"/>
      <c r="PM135" s="1251"/>
      <c r="PN135" s="1251"/>
      <c r="PO135" s="1251"/>
      <c r="PP135" s="1251"/>
      <c r="PQ135" s="1251"/>
      <c r="PR135" s="1251"/>
      <c r="PS135" s="1251"/>
      <c r="PT135" s="1251"/>
      <c r="PU135" s="1251"/>
      <c r="PV135" s="1251"/>
      <c r="PW135" s="1251"/>
      <c r="PX135" s="1251"/>
      <c r="PY135" s="1251"/>
      <c r="PZ135" s="1251"/>
      <c r="QA135" s="1251"/>
      <c r="QB135" s="1251"/>
      <c r="QC135" s="1251"/>
      <c r="QD135" s="1251"/>
      <c r="QE135" s="1251"/>
      <c r="QF135" s="1251"/>
      <c r="QG135" s="1251"/>
      <c r="QH135" s="1251"/>
      <c r="QI135" s="1251"/>
      <c r="QJ135" s="1251"/>
      <c r="QK135" s="1251"/>
      <c r="QL135" s="1251"/>
      <c r="QM135" s="1251"/>
      <c r="QN135" s="1251"/>
      <c r="QO135" s="1251"/>
      <c r="QP135" s="1251"/>
      <c r="QQ135" s="1251"/>
      <c r="QR135" s="1251"/>
      <c r="QS135" s="1251"/>
      <c r="QT135" s="1251"/>
      <c r="QU135" s="1251"/>
      <c r="QV135" s="1251"/>
      <c r="QW135" s="1251"/>
      <c r="QX135" s="1251"/>
      <c r="QY135" s="1251"/>
      <c r="QZ135" s="1251"/>
      <c r="RA135" s="1251"/>
      <c r="RB135" s="1251"/>
      <c r="RC135" s="1251"/>
      <c r="RD135" s="1251"/>
      <c r="RE135" s="1251"/>
      <c r="RF135" s="1251"/>
      <c r="RG135" s="1251"/>
      <c r="RH135" s="1251"/>
      <c r="RI135" s="1251"/>
      <c r="RJ135" s="1251"/>
      <c r="RK135" s="1251"/>
      <c r="RL135" s="1251"/>
      <c r="RM135" s="1251"/>
      <c r="RN135" s="1251"/>
      <c r="RO135" s="1251"/>
      <c r="RP135" s="1251"/>
      <c r="RQ135" s="1251"/>
      <c r="RR135" s="1251"/>
      <c r="RS135" s="1251"/>
      <c r="RT135" s="1251"/>
      <c r="RU135" s="1251"/>
      <c r="RV135" s="1251"/>
      <c r="RW135" s="1251"/>
      <c r="RX135" s="1251"/>
      <c r="RY135" s="1251"/>
      <c r="RZ135" s="1251"/>
      <c r="SA135" s="1251"/>
      <c r="SB135" s="1251"/>
      <c r="SC135" s="1251"/>
      <c r="SD135" s="1251"/>
      <c r="SE135" s="1251"/>
      <c r="SF135" s="1251"/>
      <c r="SG135" s="1251"/>
      <c r="SH135" s="1251"/>
      <c r="SI135" s="1251"/>
      <c r="SJ135" s="1251"/>
      <c r="SK135" s="1251"/>
      <c r="SL135" s="1251"/>
      <c r="SM135" s="1251"/>
      <c r="SN135" s="1251"/>
      <c r="SO135" s="1251"/>
      <c r="SP135" s="1251"/>
      <c r="SQ135" s="1251"/>
      <c r="SR135" s="1251"/>
      <c r="SS135" s="1251"/>
      <c r="ST135" s="1251"/>
      <c r="SU135" s="1251"/>
      <c r="SV135" s="1251"/>
      <c r="SW135" s="1251"/>
      <c r="SX135" s="1251"/>
      <c r="SY135" s="1251"/>
      <c r="SZ135" s="1251"/>
      <c r="TA135" s="1251"/>
      <c r="TB135" s="1251"/>
      <c r="TC135" s="1251"/>
      <c r="TD135" s="1251"/>
      <c r="TE135" s="1251"/>
      <c r="TF135" s="1251"/>
      <c r="TG135" s="1251"/>
      <c r="TH135" s="1251"/>
      <c r="TI135" s="1251"/>
      <c r="TJ135" s="1251"/>
      <c r="TK135" s="1251"/>
      <c r="TL135" s="1251"/>
      <c r="TM135" s="1251"/>
      <c r="TN135" s="1251"/>
      <c r="TO135" s="1251"/>
      <c r="TP135" s="1251"/>
      <c r="TQ135" s="1251"/>
      <c r="TR135" s="1251"/>
      <c r="TS135" s="1251"/>
      <c r="TT135" s="1251"/>
      <c r="TU135" s="1251"/>
      <c r="TV135" s="1251"/>
      <c r="TW135" s="1251"/>
      <c r="TX135" s="1251"/>
      <c r="TY135" s="1251"/>
      <c r="TZ135" s="1251"/>
      <c r="UA135" s="1251"/>
      <c r="UB135" s="1251"/>
      <c r="UC135" s="1251"/>
      <c r="UD135" s="1251"/>
      <c r="UE135" s="1251"/>
      <c r="UF135" s="1251"/>
      <c r="UG135" s="1251"/>
      <c r="UH135" s="1251"/>
      <c r="UI135" s="1251"/>
      <c r="UJ135" s="1251"/>
      <c r="UK135" s="1251"/>
      <c r="UL135" s="1251"/>
      <c r="UM135" s="1251"/>
      <c r="UN135" s="1251"/>
      <c r="UO135" s="1251"/>
      <c r="UP135" s="1251"/>
      <c r="UQ135" s="1251"/>
      <c r="UR135" s="1251"/>
      <c r="US135" s="1251"/>
      <c r="UT135" s="1251"/>
      <c r="UU135" s="1251"/>
      <c r="UV135" s="1251"/>
      <c r="UW135" s="1251"/>
      <c r="UX135" s="1251"/>
      <c r="UY135" s="1251"/>
      <c r="UZ135" s="1251"/>
      <c r="VA135" s="1251"/>
      <c r="VB135" s="1251"/>
      <c r="VC135" s="1251"/>
      <c r="VD135" s="1251"/>
      <c r="VE135" s="1251"/>
      <c r="VF135" s="1251"/>
      <c r="VG135" s="1251"/>
      <c r="VH135" s="1251"/>
      <c r="VI135" s="1251"/>
      <c r="VJ135" s="1251"/>
      <c r="VK135" s="1251"/>
      <c r="VL135" s="1251"/>
      <c r="VM135" s="1251"/>
      <c r="VN135" s="1251"/>
      <c r="VO135" s="1251"/>
      <c r="VP135" s="1251"/>
      <c r="VQ135" s="1251"/>
      <c r="VR135" s="1251"/>
      <c r="VS135" s="1251"/>
      <c r="VT135" s="1251"/>
      <c r="VU135" s="1251"/>
      <c r="VV135" s="1251"/>
      <c r="VW135" s="1251"/>
      <c r="VX135" s="1251"/>
      <c r="VY135" s="1251"/>
      <c r="VZ135" s="1251"/>
      <c r="WA135" s="1251"/>
      <c r="WB135" s="1251"/>
      <c r="WC135" s="1251"/>
      <c r="WD135" s="1251"/>
      <c r="WE135" s="1251"/>
      <c r="WF135" s="1251"/>
      <c r="WG135" s="1251"/>
      <c r="WH135" s="1251"/>
      <c r="WI135" s="1251"/>
      <c r="WJ135" s="1251"/>
      <c r="WK135" s="1251"/>
      <c r="WL135" s="1251"/>
      <c r="WM135" s="1251"/>
      <c r="WN135" s="1251"/>
      <c r="WO135" s="1251"/>
      <c r="WP135" s="1251"/>
      <c r="WQ135" s="1251"/>
      <c r="WR135" s="1251"/>
      <c r="WS135" s="1251"/>
      <c r="WT135" s="1251"/>
      <c r="WU135" s="1251"/>
      <c r="WV135" s="1251"/>
      <c r="WW135" s="1251"/>
      <c r="WX135" s="1251"/>
      <c r="WY135" s="1251"/>
      <c r="WZ135" s="1251"/>
      <c r="XA135" s="1251"/>
      <c r="XB135" s="1251"/>
      <c r="XC135" s="1251"/>
      <c r="XD135" s="1251"/>
      <c r="XE135" s="1251"/>
      <c r="XF135" s="1251"/>
      <c r="XG135" s="1251"/>
      <c r="XH135" s="1251"/>
      <c r="XI135" s="1251"/>
      <c r="XJ135" s="1251"/>
      <c r="XK135" s="1251"/>
      <c r="XL135" s="1251"/>
      <c r="XM135" s="1251"/>
      <c r="XN135" s="1251"/>
      <c r="XO135" s="1251"/>
      <c r="XP135" s="1251"/>
      <c r="XQ135" s="1251"/>
      <c r="XR135" s="1251"/>
      <c r="XS135" s="1251"/>
      <c r="XT135" s="1251"/>
      <c r="XU135" s="1251"/>
      <c r="XV135" s="1251"/>
      <c r="XW135" s="1251"/>
      <c r="XX135" s="1251"/>
      <c r="XY135" s="1251"/>
      <c r="XZ135" s="1251"/>
      <c r="YA135" s="1251"/>
      <c r="YB135" s="1251"/>
      <c r="YC135" s="1251"/>
      <c r="YD135" s="1251"/>
      <c r="YE135" s="1251"/>
      <c r="YF135" s="1251"/>
      <c r="YG135" s="1251"/>
      <c r="YH135" s="1251"/>
      <c r="YI135" s="1251"/>
      <c r="YJ135" s="1251"/>
      <c r="YK135" s="1251"/>
      <c r="YL135" s="1251"/>
      <c r="YM135" s="1251"/>
      <c r="YN135" s="1251"/>
      <c r="YO135" s="1251"/>
      <c r="YP135" s="1251"/>
      <c r="YQ135" s="1251"/>
      <c r="YR135" s="1251"/>
      <c r="YS135" s="1251"/>
      <c r="YT135" s="1251"/>
      <c r="YU135" s="1251"/>
      <c r="YV135" s="1251"/>
      <c r="YW135" s="1251"/>
      <c r="YX135" s="1251"/>
      <c r="YY135" s="1251"/>
      <c r="YZ135" s="1251"/>
      <c r="ZA135" s="1251"/>
      <c r="ZB135" s="1251"/>
      <c r="ZC135" s="1251"/>
      <c r="ZD135" s="1251"/>
      <c r="ZE135" s="1251"/>
      <c r="ZF135" s="1251"/>
      <c r="ZG135" s="1251"/>
      <c r="ZH135" s="1251"/>
      <c r="ZI135" s="1251"/>
      <c r="ZJ135" s="1251"/>
      <c r="ZK135" s="1251"/>
      <c r="ZL135" s="1251"/>
      <c r="ZM135" s="1251"/>
      <c r="ZN135" s="1251"/>
      <c r="ZO135" s="1251"/>
      <c r="ZP135" s="1251"/>
      <c r="ZQ135" s="1251"/>
      <c r="ZR135" s="1251"/>
      <c r="ZS135" s="1251"/>
      <c r="ZT135" s="1251"/>
      <c r="ZU135" s="1251"/>
      <c r="ZV135" s="1251"/>
      <c r="ZW135" s="1251"/>
      <c r="ZX135" s="1251"/>
      <c r="ZY135" s="1251"/>
      <c r="ZZ135" s="1251"/>
      <c r="AAA135" s="1251"/>
      <c r="AAB135" s="1251"/>
      <c r="AAC135" s="1251"/>
      <c r="AAD135" s="1251"/>
      <c r="AAE135" s="1251"/>
      <c r="AAF135" s="1251"/>
      <c r="AAG135" s="1251"/>
      <c r="AAH135" s="1251"/>
      <c r="AAI135" s="1251"/>
      <c r="AAJ135" s="1251"/>
      <c r="AAK135" s="1251"/>
      <c r="AAL135" s="1251"/>
      <c r="AAM135" s="1251"/>
      <c r="AAN135" s="1251"/>
      <c r="AAO135" s="1251"/>
      <c r="AAP135" s="1251"/>
      <c r="AAQ135" s="1251"/>
      <c r="AAR135" s="1251"/>
      <c r="AAS135" s="1251"/>
      <c r="AAT135" s="1251"/>
      <c r="AAU135" s="1251"/>
      <c r="AAV135" s="1251"/>
      <c r="AAW135" s="1251"/>
      <c r="AAX135" s="1251"/>
      <c r="AAY135" s="1251"/>
      <c r="AAZ135" s="1251"/>
      <c r="ABA135" s="1251"/>
      <c r="ABB135" s="1251"/>
      <c r="ABC135" s="1251"/>
      <c r="ABD135" s="1251"/>
      <c r="ABE135" s="1251"/>
      <c r="ABF135" s="1251"/>
      <c r="ABG135" s="1251"/>
      <c r="ABH135" s="1251"/>
      <c r="ABI135" s="1251"/>
      <c r="ABJ135" s="1251"/>
      <c r="ABK135" s="1251"/>
      <c r="ABL135" s="1251"/>
      <c r="ABM135" s="1251"/>
      <c r="ABN135" s="1251"/>
      <c r="ABO135" s="1251"/>
      <c r="ABP135" s="1251"/>
      <c r="ABQ135" s="1251"/>
      <c r="ABR135" s="1251"/>
      <c r="ABS135" s="1251"/>
      <c r="ABT135" s="1251"/>
      <c r="ABU135" s="1251"/>
      <c r="ABV135" s="1251"/>
      <c r="ABW135" s="1251"/>
      <c r="ABX135" s="1251"/>
      <c r="ABY135" s="1251"/>
      <c r="ABZ135" s="1251"/>
      <c r="ACA135" s="1251"/>
      <c r="ACB135" s="1251"/>
      <c r="ACC135" s="1251"/>
      <c r="ACD135" s="1251"/>
      <c r="ACE135" s="1251"/>
      <c r="ACF135" s="1251"/>
      <c r="ACG135" s="1251"/>
      <c r="ACH135" s="1251"/>
      <c r="ACI135" s="1251"/>
      <c r="ACJ135" s="1251"/>
      <c r="ACK135" s="1251"/>
      <c r="ACL135" s="1251"/>
      <c r="ACM135" s="1251"/>
      <c r="ACN135" s="1251"/>
      <c r="ACO135" s="1251"/>
      <c r="ACP135" s="1251"/>
      <c r="ACQ135" s="1251"/>
      <c r="ACR135" s="1251"/>
      <c r="ACS135" s="1251"/>
      <c r="ACT135" s="1251"/>
      <c r="ACU135" s="1251"/>
      <c r="ACV135" s="1251"/>
      <c r="ACW135" s="1251"/>
      <c r="ACX135" s="1251"/>
      <c r="ACY135" s="1251"/>
      <c r="ACZ135" s="1251"/>
      <c r="ADA135" s="1251"/>
      <c r="ADB135" s="1251"/>
      <c r="ADC135" s="1251"/>
      <c r="ADD135" s="1251"/>
      <c r="ADE135" s="1251"/>
      <c r="ADF135" s="1251"/>
      <c r="ADG135" s="1251"/>
      <c r="ADH135" s="1251"/>
      <c r="ADI135" s="1251"/>
      <c r="ADJ135" s="1251"/>
      <c r="ADK135" s="1251"/>
      <c r="ADL135" s="1251"/>
      <c r="ADM135" s="1251"/>
      <c r="ADN135" s="1251"/>
      <c r="ADO135" s="1251"/>
      <c r="ADP135" s="1251"/>
      <c r="ADQ135" s="1251"/>
      <c r="ADR135" s="1251"/>
      <c r="ADS135" s="1251"/>
      <c r="ADT135" s="1251"/>
      <c r="ADU135" s="1251"/>
      <c r="ADV135" s="1251"/>
      <c r="ADW135" s="1251"/>
      <c r="ADX135" s="1251"/>
      <c r="ADY135" s="1251"/>
      <c r="ADZ135" s="1251"/>
      <c r="AEA135" s="1251"/>
      <c r="AEB135" s="1251"/>
      <c r="AEC135" s="1251"/>
      <c r="AED135" s="1251"/>
      <c r="AEE135" s="1251"/>
      <c r="AEF135" s="1251"/>
      <c r="AEG135" s="1251"/>
      <c r="AEH135" s="1251"/>
      <c r="AEI135" s="1251"/>
      <c r="AEJ135" s="1251"/>
      <c r="AEK135" s="1251"/>
      <c r="AEL135" s="1251"/>
      <c r="AEM135" s="1251"/>
      <c r="AEN135" s="1251"/>
      <c r="AEO135" s="1251"/>
      <c r="AEP135" s="1251"/>
      <c r="AEQ135" s="1251"/>
      <c r="AER135" s="1251"/>
      <c r="AES135" s="1251"/>
      <c r="AET135" s="1251"/>
      <c r="AEU135" s="1251"/>
      <c r="AEV135" s="1251"/>
      <c r="AEW135" s="1251"/>
      <c r="AEX135" s="1251"/>
      <c r="AEY135" s="1251"/>
      <c r="AEZ135" s="1251"/>
      <c r="AFA135" s="1251"/>
      <c r="AFB135" s="1251"/>
      <c r="AFC135" s="1251"/>
      <c r="AFD135" s="1251"/>
      <c r="AFE135" s="1251"/>
      <c r="AFF135" s="1251"/>
      <c r="AFG135" s="1251"/>
      <c r="AFH135" s="1251"/>
      <c r="AFI135" s="1251"/>
      <c r="AFJ135" s="1251"/>
      <c r="AFK135" s="1251"/>
      <c r="AFL135" s="1251"/>
      <c r="AFM135" s="1251"/>
      <c r="AFN135" s="1251"/>
      <c r="AFO135" s="1251"/>
      <c r="AFP135" s="1251"/>
      <c r="AFQ135" s="1251"/>
      <c r="AFR135" s="1251"/>
      <c r="AFS135" s="1251"/>
      <c r="AFT135" s="1251"/>
      <c r="AFU135" s="1251"/>
      <c r="AFV135" s="1251"/>
      <c r="AFW135" s="1251"/>
      <c r="AFX135" s="1251"/>
      <c r="AFY135" s="1251"/>
      <c r="AFZ135" s="1251"/>
      <c r="AGA135" s="1251"/>
      <c r="AGB135" s="1251"/>
      <c r="AGC135" s="1251"/>
      <c r="AGD135" s="1251"/>
      <c r="AGE135" s="1251"/>
      <c r="AGF135" s="1251"/>
      <c r="AGG135" s="1251"/>
      <c r="AGH135" s="1251"/>
      <c r="AGI135" s="1251"/>
      <c r="AGJ135" s="1251"/>
      <c r="AGK135" s="1251"/>
      <c r="AGL135" s="1251"/>
      <c r="AGM135" s="1251"/>
      <c r="AGN135" s="1251"/>
      <c r="AGO135" s="1251"/>
      <c r="AGP135" s="1251"/>
      <c r="AGQ135" s="1251"/>
      <c r="AGR135" s="1251"/>
      <c r="AGS135" s="1251"/>
      <c r="AGT135" s="1251"/>
      <c r="AGU135" s="1251"/>
      <c r="AGV135" s="1251"/>
      <c r="AGW135" s="1251"/>
      <c r="AGX135" s="1251"/>
      <c r="AGY135" s="1251"/>
      <c r="AGZ135" s="1251"/>
      <c r="AHA135" s="1251"/>
      <c r="AHB135" s="1251"/>
      <c r="AHC135" s="1251"/>
      <c r="AHD135" s="1251"/>
      <c r="AHE135" s="1251"/>
      <c r="AHF135" s="1251"/>
      <c r="AHG135" s="1251"/>
      <c r="AHH135" s="1251"/>
      <c r="AHI135" s="1251"/>
      <c r="AHJ135" s="1251"/>
      <c r="AHK135" s="1251"/>
      <c r="AHL135" s="1251"/>
      <c r="AHM135" s="1251"/>
      <c r="AHN135" s="1251"/>
      <c r="AHO135" s="1251"/>
      <c r="AHP135" s="1251"/>
      <c r="AHQ135" s="1251"/>
      <c r="AHR135" s="1251"/>
      <c r="AHS135" s="1251"/>
      <c r="AHT135" s="1251"/>
      <c r="AHU135" s="1251"/>
      <c r="AHV135" s="1251"/>
      <c r="AHW135" s="1251"/>
      <c r="AHX135" s="1251"/>
      <c r="AHY135" s="1251"/>
      <c r="AHZ135" s="1251"/>
      <c r="AIA135" s="1251"/>
      <c r="AIB135" s="1251"/>
      <c r="AIC135" s="1251"/>
      <c r="AID135" s="1251"/>
      <c r="AIE135" s="1251"/>
      <c r="AIF135" s="1251"/>
      <c r="AIG135" s="1251"/>
      <c r="AIH135" s="1251"/>
      <c r="AII135" s="1251"/>
      <c r="AIJ135" s="1251"/>
      <c r="AIK135" s="1251"/>
      <c r="AIL135" s="1251"/>
      <c r="AIM135" s="1251"/>
      <c r="AIN135" s="1251"/>
      <c r="AIO135" s="1251"/>
      <c r="AIP135" s="1251"/>
      <c r="AIQ135" s="1251"/>
      <c r="AIR135" s="1251"/>
      <c r="AIS135" s="1251"/>
      <c r="AIT135" s="1251"/>
      <c r="AIU135" s="1251"/>
      <c r="AIV135" s="1251"/>
      <c r="AIW135" s="1251"/>
      <c r="AIX135" s="1251"/>
      <c r="AIY135" s="1251"/>
      <c r="AIZ135" s="1251"/>
      <c r="AJA135" s="1251"/>
      <c r="AJB135" s="1251"/>
      <c r="AJC135" s="1251"/>
      <c r="AJD135" s="1251"/>
      <c r="AJE135" s="1251"/>
      <c r="AJF135" s="1251"/>
      <c r="AJG135" s="1251"/>
      <c r="AJH135" s="1251"/>
      <c r="AJI135" s="1251"/>
      <c r="AJJ135" s="1251"/>
      <c r="AJK135" s="1251"/>
      <c r="AJL135" s="1251"/>
      <c r="AJM135" s="1251"/>
      <c r="AJN135" s="1251"/>
      <c r="AJO135" s="1251"/>
      <c r="AJP135" s="1251"/>
      <c r="AJQ135" s="1251"/>
      <c r="AJR135" s="1251"/>
      <c r="AJS135" s="1251"/>
      <c r="AJT135" s="1251"/>
      <c r="AJU135" s="1251"/>
      <c r="AJV135" s="1251"/>
      <c r="AJW135" s="1251"/>
      <c r="AJX135" s="1251"/>
      <c r="AJY135" s="1251"/>
      <c r="AJZ135" s="1251"/>
      <c r="AKA135" s="1251"/>
      <c r="AKB135" s="1251"/>
      <c r="AKC135" s="1251"/>
      <c r="AKD135" s="1251"/>
      <c r="AKE135" s="1251"/>
      <c r="AKF135" s="1251"/>
      <c r="AKG135" s="1251"/>
      <c r="AKH135" s="1251"/>
      <c r="AKI135" s="1251"/>
      <c r="AKJ135" s="1251"/>
      <c r="AKK135" s="1251"/>
      <c r="AKL135" s="1251"/>
      <c r="AKM135" s="1251"/>
      <c r="AKN135" s="1251"/>
      <c r="AKO135" s="1251"/>
      <c r="AKP135" s="1251"/>
      <c r="AKQ135" s="1251"/>
      <c r="AKR135" s="1251"/>
      <c r="AKS135" s="1251"/>
      <c r="AKT135" s="1251"/>
      <c r="AKU135" s="1251"/>
      <c r="AKV135" s="1251"/>
      <c r="AKW135" s="1251"/>
      <c r="AKX135" s="1251"/>
      <c r="AKY135" s="1251"/>
      <c r="AKZ135" s="1251"/>
      <c r="ALA135" s="1251"/>
      <c r="ALB135" s="1251"/>
      <c r="ALC135" s="1251"/>
      <c r="ALD135" s="1251"/>
      <c r="ALE135" s="1251"/>
      <c r="ALF135" s="1251"/>
      <c r="ALG135" s="1251"/>
      <c r="ALH135" s="1251"/>
      <c r="ALI135" s="1251"/>
      <c r="ALJ135" s="1251"/>
      <c r="ALK135" s="1251"/>
      <c r="ALL135" s="1251"/>
      <c r="ALM135" s="1251"/>
      <c r="ALN135" s="1251"/>
      <c r="ALO135" s="1251"/>
      <c r="ALP135" s="1251"/>
      <c r="ALQ135" s="1251"/>
      <c r="ALR135" s="1251"/>
      <c r="ALS135" s="1251"/>
      <c r="ALT135" s="1251"/>
      <c r="ALU135" s="1251"/>
      <c r="ALV135" s="1251"/>
      <c r="ALW135" s="1251"/>
      <c r="ALX135" s="1251"/>
      <c r="ALY135" s="1251"/>
      <c r="ALZ135" s="1251"/>
      <c r="AMA135" s="1251"/>
      <c r="AMB135" s="1251"/>
      <c r="AMC135" s="1251"/>
      <c r="AMD135" s="1251"/>
      <c r="AME135" s="1251"/>
      <c r="AMF135" s="1251"/>
      <c r="AMG135" s="1251"/>
      <c r="AMH135" s="1251"/>
      <c r="AMI135" s="1251"/>
      <c r="AMJ135" s="1251"/>
      <c r="AMK135" s="1251"/>
      <c r="AML135" s="1251"/>
      <c r="AMM135" s="1251"/>
      <c r="AMN135" s="1251"/>
      <c r="AMO135" s="1251"/>
      <c r="AMP135" s="1251"/>
      <c r="AMQ135" s="1251"/>
      <c r="AMR135" s="1251"/>
      <c r="AMS135" s="1251"/>
      <c r="AMT135" s="1251"/>
      <c r="AMU135" s="1251"/>
      <c r="AMV135" s="1251"/>
      <c r="AMW135" s="1251"/>
      <c r="AMX135" s="1251"/>
      <c r="AMY135" s="1251"/>
      <c r="AMZ135" s="1251"/>
      <c r="ANA135" s="1251"/>
      <c r="ANB135" s="1251"/>
      <c r="ANC135" s="1251"/>
      <c r="AND135" s="1251"/>
      <c r="ANE135" s="1251"/>
      <c r="ANF135" s="1251"/>
      <c r="ANG135" s="1251"/>
      <c r="ANH135" s="1251"/>
      <c r="ANI135" s="1251"/>
      <c r="ANJ135" s="1251"/>
      <c r="ANK135" s="1251"/>
      <c r="ANL135" s="1251"/>
      <c r="ANM135" s="1251"/>
      <c r="ANN135" s="1251"/>
      <c r="ANO135" s="1251"/>
      <c r="ANP135" s="1251"/>
      <c r="ANQ135" s="1251"/>
      <c r="ANR135" s="1251"/>
      <c r="ANS135" s="1251"/>
      <c r="ANT135" s="1251"/>
      <c r="ANU135" s="1251"/>
      <c r="ANV135" s="1251"/>
      <c r="ANW135" s="1251"/>
      <c r="ANX135" s="1251"/>
      <c r="ANY135" s="1251"/>
      <c r="ANZ135" s="1251"/>
      <c r="AOA135" s="1251"/>
      <c r="AOB135" s="1251"/>
      <c r="AOC135" s="1251"/>
      <c r="AOD135" s="1251"/>
      <c r="AOE135" s="1251"/>
      <c r="AOF135" s="1251"/>
      <c r="AOG135" s="1251"/>
      <c r="AOH135" s="1251"/>
      <c r="AOI135" s="1251"/>
      <c r="AOJ135" s="1251"/>
      <c r="AOK135" s="1251"/>
      <c r="AOL135" s="1251"/>
      <c r="AOM135" s="1251"/>
      <c r="AON135" s="1251"/>
      <c r="AOO135" s="1251"/>
      <c r="AOP135" s="1251"/>
      <c r="AOQ135" s="1251"/>
      <c r="AOR135" s="1251"/>
      <c r="AOS135" s="1251"/>
      <c r="AOT135" s="1251"/>
      <c r="AOU135" s="1251"/>
      <c r="AOV135" s="1251"/>
      <c r="AOW135" s="1251"/>
      <c r="AOX135" s="1251"/>
      <c r="AOY135" s="1251"/>
      <c r="AOZ135" s="1251"/>
      <c r="APA135" s="1251"/>
      <c r="APB135" s="1251"/>
      <c r="APC135" s="1251"/>
      <c r="APD135" s="1251"/>
      <c r="APE135" s="1251"/>
      <c r="APF135" s="1251"/>
      <c r="APG135" s="1251"/>
      <c r="APH135" s="1251"/>
      <c r="API135" s="1251"/>
      <c r="APJ135" s="1251"/>
      <c r="APK135" s="1251"/>
      <c r="APL135" s="1251"/>
      <c r="APM135" s="1251"/>
      <c r="APN135" s="1251"/>
      <c r="APO135" s="1251"/>
      <c r="APP135" s="1251"/>
      <c r="APQ135" s="1251"/>
      <c r="APR135" s="1251"/>
      <c r="APS135" s="1251"/>
      <c r="APT135" s="1251"/>
      <c r="APU135" s="1251"/>
      <c r="APV135" s="1251"/>
      <c r="APW135" s="1251"/>
      <c r="APX135" s="1251"/>
      <c r="APY135" s="1251"/>
      <c r="APZ135" s="1251"/>
      <c r="AQA135" s="1251"/>
      <c r="AQB135" s="1251"/>
      <c r="AQC135" s="1251"/>
      <c r="AQD135" s="1251"/>
      <c r="AQE135" s="1251"/>
      <c r="AQF135" s="1251"/>
      <c r="AQG135" s="1251"/>
      <c r="AQH135" s="1251"/>
      <c r="AQI135" s="1251"/>
      <c r="AQJ135" s="1251"/>
      <c r="AQK135" s="1251"/>
      <c r="AQL135" s="1251"/>
      <c r="AQM135" s="1251"/>
      <c r="AQN135" s="1251"/>
      <c r="AQO135" s="1251"/>
      <c r="AQP135" s="1251"/>
      <c r="AQQ135" s="1251"/>
      <c r="AQR135" s="1251"/>
      <c r="AQS135" s="1251"/>
      <c r="AQT135" s="1251"/>
      <c r="AQU135" s="1251"/>
      <c r="AQV135" s="1251"/>
      <c r="AQW135" s="1251"/>
      <c r="AQX135" s="1251"/>
      <c r="AQY135" s="1251"/>
      <c r="AQZ135" s="1251"/>
      <c r="ARA135" s="1251"/>
      <c r="ARB135" s="1251"/>
      <c r="ARC135" s="1251"/>
      <c r="ARD135" s="1251"/>
      <c r="ARE135" s="1251"/>
      <c r="ARF135" s="1251"/>
      <c r="ARG135" s="1251"/>
      <c r="ARH135" s="1251"/>
      <c r="ARI135" s="1251"/>
      <c r="ARJ135" s="1251"/>
      <c r="ARK135" s="1251"/>
      <c r="ARL135" s="1251"/>
      <c r="ARM135" s="1251"/>
      <c r="ARN135" s="1251"/>
      <c r="ARO135" s="1251"/>
      <c r="ARP135" s="1251"/>
      <c r="ARQ135" s="1251"/>
      <c r="ARR135" s="1251"/>
      <c r="ARS135" s="1251"/>
      <c r="ART135" s="1251"/>
      <c r="ARU135" s="1251"/>
      <c r="ARV135" s="1251"/>
      <c r="ARW135" s="1251"/>
      <c r="ARX135" s="1251"/>
      <c r="ARY135" s="1251"/>
      <c r="ARZ135" s="1251"/>
      <c r="ASA135" s="1251"/>
      <c r="ASB135" s="1251"/>
      <c r="ASC135" s="1251"/>
      <c r="ASD135" s="1251"/>
      <c r="ASE135" s="1251"/>
      <c r="ASF135" s="1251"/>
      <c r="ASG135" s="1251"/>
      <c r="ASH135" s="1251"/>
      <c r="ASI135" s="1251"/>
      <c r="ASJ135" s="1251"/>
      <c r="ASK135" s="1251"/>
      <c r="ASL135" s="1251"/>
      <c r="ASM135" s="1251"/>
      <c r="ASN135" s="1251"/>
      <c r="ASO135" s="1251"/>
      <c r="ASP135" s="1251"/>
      <c r="ASQ135" s="1251"/>
      <c r="ASR135" s="1251"/>
      <c r="ASS135" s="1251"/>
      <c r="AST135" s="1251"/>
      <c r="ASU135" s="1251"/>
      <c r="ASV135" s="1251"/>
      <c r="ASW135" s="1251"/>
      <c r="ASX135" s="1251"/>
      <c r="ASY135" s="1251"/>
      <c r="ASZ135" s="1251"/>
      <c r="ATA135" s="1251"/>
      <c r="ATB135" s="1251"/>
      <c r="ATC135" s="1251"/>
      <c r="ATD135" s="1251"/>
      <c r="ATE135" s="1251"/>
      <c r="ATF135" s="1251"/>
      <c r="ATG135" s="1251"/>
      <c r="ATH135" s="1251"/>
      <c r="ATI135" s="1251"/>
      <c r="ATJ135" s="1251"/>
      <c r="ATK135" s="1251"/>
      <c r="ATL135" s="1251"/>
      <c r="ATM135" s="1251"/>
      <c r="ATN135" s="1251"/>
      <c r="ATO135" s="1251"/>
      <c r="ATP135" s="1251"/>
      <c r="ATQ135" s="1251"/>
      <c r="ATR135" s="1251"/>
      <c r="ATS135" s="1251"/>
      <c r="ATT135" s="1251"/>
      <c r="ATU135" s="1251"/>
      <c r="ATV135" s="1251"/>
      <c r="ATW135" s="1251"/>
      <c r="ATX135" s="1251"/>
      <c r="ATY135" s="1251"/>
      <c r="ATZ135" s="1251"/>
      <c r="AUA135" s="1251"/>
      <c r="AUB135" s="1251"/>
      <c r="AUC135" s="1251"/>
      <c r="AUD135" s="1251"/>
      <c r="AUE135" s="1251"/>
      <c r="AUF135" s="1251"/>
      <c r="AUG135" s="1251"/>
      <c r="AUH135" s="1251"/>
      <c r="AUI135" s="1251"/>
      <c r="AUJ135" s="1251"/>
      <c r="AUK135" s="1251"/>
      <c r="AUL135" s="1251"/>
      <c r="AUM135" s="1251"/>
      <c r="AUN135" s="1251"/>
      <c r="AUO135" s="1251"/>
      <c r="AUP135" s="1251"/>
      <c r="AUQ135" s="1251"/>
      <c r="AUR135" s="1251"/>
      <c r="AUS135" s="1251"/>
      <c r="AUT135" s="1251"/>
      <c r="AUU135" s="1251"/>
      <c r="AUV135" s="1251"/>
      <c r="AUW135" s="1251"/>
      <c r="AUX135" s="1251"/>
      <c r="AUY135" s="1251"/>
      <c r="AUZ135" s="1251"/>
      <c r="AVA135" s="1251"/>
      <c r="AVB135" s="1251"/>
      <c r="AVC135" s="1251"/>
      <c r="AVD135" s="1251"/>
      <c r="AVE135" s="1251"/>
      <c r="AVF135" s="1251"/>
      <c r="AVG135" s="1251"/>
      <c r="AVH135" s="1251"/>
      <c r="AVI135" s="1251"/>
      <c r="AVJ135" s="1251"/>
      <c r="AVK135" s="1251"/>
      <c r="AVL135" s="1251"/>
      <c r="AVM135" s="1251"/>
      <c r="AVN135" s="1251"/>
      <c r="AVO135" s="1251"/>
      <c r="AVP135" s="1251"/>
      <c r="AVQ135" s="1251"/>
      <c r="AVR135" s="1251"/>
      <c r="AVS135" s="1251"/>
      <c r="AVT135" s="1251"/>
      <c r="AVU135" s="1251"/>
      <c r="AVV135" s="1251"/>
      <c r="AVW135" s="1251"/>
      <c r="AVX135" s="1251"/>
      <c r="AVY135" s="1251"/>
      <c r="AVZ135" s="1251"/>
      <c r="AWA135" s="1251"/>
      <c r="AWB135" s="1251"/>
      <c r="AWC135" s="1251"/>
      <c r="AWD135" s="1251"/>
      <c r="AWE135" s="1251"/>
      <c r="AWF135" s="1251"/>
      <c r="AWG135" s="1251"/>
      <c r="AWH135" s="1251"/>
      <c r="AWI135" s="1251"/>
      <c r="AWJ135" s="1251"/>
      <c r="AWK135" s="1251"/>
      <c r="AWL135" s="1251"/>
      <c r="AWM135" s="1251"/>
      <c r="AWN135" s="1251"/>
      <c r="AWO135" s="1251"/>
      <c r="AWP135" s="1251"/>
      <c r="AWQ135" s="1251"/>
      <c r="AWR135" s="1251"/>
      <c r="AWS135" s="1251"/>
      <c r="AWT135" s="1251"/>
      <c r="AWU135" s="1251"/>
      <c r="AWV135" s="1251"/>
      <c r="AWW135" s="1251"/>
      <c r="AWX135" s="1251"/>
      <c r="AWY135" s="1251"/>
      <c r="AWZ135" s="1251"/>
      <c r="AXA135" s="1251"/>
      <c r="AXB135" s="1251"/>
      <c r="AXC135" s="1251"/>
      <c r="AXD135" s="1251"/>
      <c r="AXE135" s="1251"/>
      <c r="AXF135" s="1251"/>
      <c r="AXG135" s="1251"/>
      <c r="AXH135" s="1251"/>
      <c r="AXI135" s="1251"/>
      <c r="AXJ135" s="1251"/>
      <c r="AXK135" s="1251"/>
      <c r="AXL135" s="1251"/>
      <c r="AXM135" s="1251"/>
      <c r="AXN135" s="1251"/>
      <c r="AXO135" s="1251"/>
      <c r="AXP135" s="1251"/>
      <c r="AXQ135" s="1251"/>
      <c r="AXR135" s="1251"/>
      <c r="AXS135" s="1251"/>
      <c r="AXT135" s="1251"/>
      <c r="AXU135" s="1251"/>
      <c r="AXV135" s="1251"/>
      <c r="AXW135" s="1251"/>
      <c r="AXX135" s="1251"/>
      <c r="AXY135" s="1251"/>
      <c r="AXZ135" s="1251"/>
      <c r="AYA135" s="1251"/>
      <c r="AYB135" s="1251"/>
      <c r="AYC135" s="1251"/>
      <c r="AYD135" s="1251"/>
      <c r="AYE135" s="1251"/>
      <c r="AYF135" s="1251"/>
      <c r="AYG135" s="1251"/>
      <c r="AYH135" s="1251"/>
      <c r="AYI135" s="1251"/>
      <c r="AYJ135" s="1251"/>
      <c r="AYK135" s="1251"/>
      <c r="AYL135" s="1251"/>
      <c r="AYM135" s="1251"/>
      <c r="AYN135" s="1251"/>
      <c r="AYO135" s="1251"/>
      <c r="AYP135" s="1251"/>
      <c r="AYQ135" s="1251"/>
      <c r="AYR135" s="1251"/>
      <c r="AYS135" s="1251"/>
      <c r="AYT135" s="1251"/>
      <c r="AYU135" s="1251"/>
      <c r="AYV135" s="1251"/>
      <c r="AYW135" s="1251"/>
      <c r="AYX135" s="1251"/>
      <c r="AYY135" s="1251"/>
      <c r="AYZ135" s="1251"/>
      <c r="AZA135" s="1251"/>
      <c r="AZB135" s="1251"/>
      <c r="AZC135" s="1251"/>
      <c r="AZD135" s="1251"/>
      <c r="AZE135" s="1251"/>
      <c r="AZF135" s="1251"/>
      <c r="AZG135" s="1251"/>
      <c r="AZH135" s="1251"/>
      <c r="AZI135" s="1251"/>
      <c r="AZJ135" s="1251"/>
      <c r="AZK135" s="1251"/>
      <c r="AZL135" s="1251"/>
      <c r="AZM135" s="1251"/>
      <c r="AZN135" s="1251"/>
      <c r="AZO135" s="1251"/>
      <c r="AZP135" s="1251"/>
      <c r="AZQ135" s="1251"/>
      <c r="AZR135" s="1251"/>
      <c r="AZS135" s="1251"/>
      <c r="AZT135" s="1251"/>
      <c r="AZU135" s="1251"/>
      <c r="AZV135" s="1251"/>
      <c r="AZW135" s="1251"/>
      <c r="AZX135" s="1251"/>
      <c r="AZY135" s="1251"/>
      <c r="AZZ135" s="1251"/>
      <c r="BAA135" s="1251"/>
      <c r="BAB135" s="1251"/>
      <c r="BAC135" s="1251"/>
      <c r="BAD135" s="1251"/>
      <c r="BAE135" s="1251"/>
      <c r="BAF135" s="1251"/>
      <c r="BAG135" s="1251"/>
      <c r="BAH135" s="1251"/>
      <c r="BAI135" s="1251"/>
      <c r="BAJ135" s="1251"/>
      <c r="BAK135" s="1251"/>
      <c r="BAL135" s="1251"/>
      <c r="BAM135" s="1251"/>
      <c r="BAN135" s="1251"/>
      <c r="BAO135" s="1251"/>
      <c r="BAP135" s="1251"/>
      <c r="BAQ135" s="1251"/>
      <c r="BAR135" s="1251"/>
      <c r="BAS135" s="1251"/>
      <c r="BAT135" s="1251"/>
      <c r="BAU135" s="1251"/>
      <c r="BAV135" s="1251"/>
      <c r="BAW135" s="1251"/>
      <c r="BAX135" s="1251"/>
      <c r="BAY135" s="1251"/>
      <c r="BAZ135" s="1251"/>
      <c r="BBA135" s="1251"/>
      <c r="BBB135" s="1251"/>
      <c r="BBC135" s="1251"/>
      <c r="BBD135" s="1251"/>
      <c r="BBE135" s="1251"/>
      <c r="BBF135" s="1251"/>
      <c r="BBG135" s="1251"/>
      <c r="BBH135" s="1251"/>
      <c r="BBI135" s="1251"/>
      <c r="BBJ135" s="1251"/>
      <c r="BBK135" s="1251"/>
      <c r="BBL135" s="1251"/>
      <c r="BBM135" s="1251"/>
      <c r="BBN135" s="1251"/>
      <c r="BBO135" s="1251"/>
      <c r="BBP135" s="1251"/>
      <c r="BBQ135" s="1251"/>
      <c r="BBR135" s="1251"/>
      <c r="BBS135" s="1251"/>
      <c r="BBT135" s="1251"/>
      <c r="BBU135" s="1251"/>
      <c r="BBV135" s="1251"/>
      <c r="BBW135" s="1251"/>
      <c r="BBX135" s="1251"/>
      <c r="BBY135" s="1251"/>
      <c r="BBZ135" s="1251"/>
      <c r="BCA135" s="1251"/>
      <c r="BCB135" s="1251"/>
      <c r="BCC135" s="1251"/>
      <c r="BCD135" s="1251"/>
      <c r="BCE135" s="1251"/>
      <c r="BCF135" s="1251"/>
      <c r="BCG135" s="1251"/>
      <c r="BCH135" s="1251"/>
      <c r="BCI135" s="1251"/>
      <c r="BCJ135" s="1251"/>
      <c r="BCK135" s="1251"/>
      <c r="BCL135" s="1251"/>
      <c r="BCM135" s="1251"/>
      <c r="BCN135" s="1251"/>
      <c r="BCO135" s="1251"/>
      <c r="BCP135" s="1251"/>
      <c r="BCQ135" s="1251"/>
      <c r="BCR135" s="1251"/>
      <c r="BCS135" s="1251"/>
      <c r="BCT135" s="1251"/>
      <c r="BCU135" s="1251"/>
      <c r="BCV135" s="1251"/>
      <c r="BCW135" s="1251"/>
      <c r="BCX135" s="1251"/>
      <c r="BCY135" s="1251"/>
      <c r="BCZ135" s="1251"/>
      <c r="BDA135" s="1251"/>
      <c r="BDB135" s="1251"/>
      <c r="BDC135" s="1251"/>
      <c r="BDD135" s="1251"/>
      <c r="BDE135" s="1251"/>
      <c r="BDF135" s="1251"/>
      <c r="BDG135" s="1251"/>
      <c r="BDH135" s="1251"/>
      <c r="BDI135" s="1251"/>
      <c r="BDJ135" s="1251"/>
      <c r="BDK135" s="1251"/>
      <c r="BDL135" s="1251"/>
      <c r="BDM135" s="1251"/>
      <c r="BDN135" s="1251"/>
      <c r="BDO135" s="1251"/>
      <c r="BDP135" s="1251"/>
      <c r="BDQ135" s="1251"/>
      <c r="BDR135" s="1251"/>
      <c r="BDS135" s="1251"/>
      <c r="BDT135" s="1251"/>
      <c r="BDU135" s="1251"/>
      <c r="BDV135" s="1251"/>
      <c r="BDW135" s="1251"/>
      <c r="BDX135" s="1251"/>
      <c r="BDY135" s="1251"/>
      <c r="BDZ135" s="1251"/>
      <c r="BEA135" s="1251"/>
      <c r="BEB135" s="1251"/>
      <c r="BEC135" s="1251"/>
      <c r="BED135" s="1251"/>
      <c r="BEE135" s="1251"/>
      <c r="BEF135" s="1251"/>
      <c r="BEG135" s="1251"/>
      <c r="BEH135" s="1251"/>
      <c r="BEI135" s="1251"/>
      <c r="BEJ135" s="1251"/>
      <c r="BEK135" s="1251"/>
      <c r="BEL135" s="1251"/>
      <c r="BEM135" s="1251"/>
      <c r="BEN135" s="1251"/>
      <c r="BEO135" s="1251"/>
      <c r="BEP135" s="1251"/>
      <c r="BEQ135" s="1251"/>
      <c r="BER135" s="1251"/>
      <c r="BES135" s="1251"/>
      <c r="BET135" s="1251"/>
      <c r="BEU135" s="1251"/>
      <c r="BEV135" s="1251"/>
      <c r="BEW135" s="1251"/>
      <c r="BEX135" s="1251"/>
      <c r="BEY135" s="1251"/>
      <c r="BEZ135" s="1251"/>
      <c r="BFA135" s="1251"/>
      <c r="BFB135" s="1251"/>
      <c r="BFC135" s="1251"/>
      <c r="BFD135" s="1251"/>
      <c r="BFE135" s="1251"/>
      <c r="BFF135" s="1251"/>
      <c r="BFG135" s="1251"/>
      <c r="BFH135" s="1251"/>
      <c r="BFI135" s="1251"/>
      <c r="BFJ135" s="1251"/>
      <c r="BFK135" s="1251"/>
      <c r="BFL135" s="1251"/>
      <c r="BFM135" s="1251"/>
      <c r="BFN135" s="1251"/>
      <c r="BFO135" s="1251"/>
      <c r="BFP135" s="1251"/>
      <c r="BFQ135" s="1251"/>
      <c r="BFR135" s="1251"/>
      <c r="BFS135" s="1251"/>
      <c r="BFT135" s="1251"/>
      <c r="BFU135" s="1251"/>
      <c r="BFV135" s="1251"/>
      <c r="BFW135" s="1251"/>
      <c r="BFX135" s="1251"/>
      <c r="BFY135" s="1251"/>
      <c r="BFZ135" s="1251"/>
      <c r="BGA135" s="1251"/>
      <c r="BGB135" s="1251"/>
      <c r="BGC135" s="1251"/>
      <c r="BGD135" s="1251"/>
      <c r="BGE135" s="1251"/>
      <c r="BGF135" s="1251"/>
      <c r="BGG135" s="1251"/>
      <c r="BGH135" s="1251"/>
      <c r="BGI135" s="1251"/>
      <c r="BGJ135" s="1251"/>
      <c r="BGK135" s="1251"/>
      <c r="BGL135" s="1251"/>
      <c r="BGM135" s="1251"/>
      <c r="BGN135" s="1251"/>
      <c r="BGO135" s="1251"/>
      <c r="BGP135" s="1251"/>
      <c r="BGQ135" s="1251"/>
      <c r="BGR135" s="1251"/>
      <c r="BGS135" s="1251"/>
      <c r="BGT135" s="1251"/>
      <c r="BGU135" s="1251"/>
      <c r="BGV135" s="1251"/>
      <c r="BGW135" s="1251"/>
      <c r="BGX135" s="1251"/>
      <c r="BGY135" s="1251"/>
      <c r="BGZ135" s="1251"/>
      <c r="BHA135" s="1251"/>
      <c r="BHB135" s="1251"/>
      <c r="BHC135" s="1251"/>
      <c r="BHD135" s="1251"/>
      <c r="BHE135" s="1251"/>
      <c r="BHF135" s="1251"/>
      <c r="BHG135" s="1251"/>
      <c r="BHH135" s="1251"/>
      <c r="BHI135" s="1251"/>
      <c r="BHJ135" s="1251"/>
      <c r="BHK135" s="1251"/>
      <c r="BHL135" s="1251"/>
      <c r="BHM135" s="1251"/>
      <c r="BHN135" s="1251"/>
      <c r="BHO135" s="1251"/>
      <c r="BHP135" s="1251"/>
      <c r="BHQ135" s="1251"/>
      <c r="BHR135" s="1251"/>
      <c r="BHS135" s="1251"/>
      <c r="BHT135" s="1251"/>
      <c r="BHU135" s="1251"/>
      <c r="BHV135" s="1251"/>
      <c r="BHW135" s="1251"/>
      <c r="BHX135" s="1251"/>
      <c r="BHY135" s="1251"/>
      <c r="BHZ135" s="1251"/>
      <c r="BIA135" s="1251"/>
      <c r="BIB135" s="1251"/>
      <c r="BIC135" s="1251"/>
      <c r="BID135" s="1251"/>
      <c r="BIE135" s="1251"/>
      <c r="BIF135" s="1251"/>
      <c r="BIG135" s="1251"/>
      <c r="BIH135" s="1251"/>
      <c r="BII135" s="1251"/>
      <c r="BIJ135" s="1251"/>
      <c r="BIK135" s="1251"/>
      <c r="BIL135" s="1251"/>
      <c r="BIM135" s="1251"/>
      <c r="BIN135" s="1251"/>
      <c r="BIO135" s="1251"/>
      <c r="BIP135" s="1251"/>
      <c r="BIQ135" s="1251"/>
      <c r="BIR135" s="1251"/>
      <c r="BIS135" s="1251"/>
      <c r="BIT135" s="1251"/>
      <c r="BIU135" s="1251"/>
      <c r="BIV135" s="1251"/>
      <c r="BIW135" s="1251"/>
      <c r="BIX135" s="1251"/>
      <c r="BIY135" s="1251"/>
      <c r="BIZ135" s="1251"/>
      <c r="BJA135" s="1251"/>
      <c r="BJB135" s="1251"/>
      <c r="BJC135" s="1251"/>
      <c r="BJD135" s="1251"/>
      <c r="BJE135" s="1251"/>
      <c r="BJF135" s="1251"/>
      <c r="BJG135" s="1251"/>
      <c r="BJH135" s="1251"/>
      <c r="BJI135" s="1251"/>
      <c r="BJJ135" s="1251"/>
      <c r="BJK135" s="1251"/>
      <c r="BJL135" s="1251"/>
      <c r="BJM135" s="1251"/>
      <c r="BJN135" s="1251"/>
      <c r="BJO135" s="1251"/>
      <c r="BJP135" s="1251"/>
      <c r="BJQ135" s="1251"/>
      <c r="BJR135" s="1251"/>
      <c r="BJS135" s="1251"/>
      <c r="BJT135" s="1251"/>
      <c r="BJU135" s="1251"/>
      <c r="BJV135" s="1251"/>
      <c r="BJW135" s="1251"/>
      <c r="BJX135" s="1251"/>
      <c r="BJY135" s="1251"/>
      <c r="BJZ135" s="1251"/>
      <c r="BKA135" s="1251"/>
      <c r="BKB135" s="1251"/>
      <c r="BKC135" s="1251"/>
      <c r="BKD135" s="1251"/>
      <c r="BKE135" s="1251"/>
      <c r="BKF135" s="1251"/>
      <c r="BKG135" s="1251"/>
      <c r="BKH135" s="1251"/>
      <c r="BKI135" s="1251"/>
      <c r="BKJ135" s="1251"/>
      <c r="BKK135" s="1251"/>
      <c r="BKL135" s="1251"/>
      <c r="BKM135" s="1251"/>
      <c r="BKN135" s="1251"/>
      <c r="BKO135" s="1251"/>
      <c r="BKP135" s="1251"/>
      <c r="BKQ135" s="1251"/>
      <c r="BKR135" s="1251"/>
      <c r="BKS135" s="1251"/>
      <c r="BKT135" s="1251"/>
      <c r="BKU135" s="1251"/>
      <c r="BKV135" s="1251"/>
      <c r="BKW135" s="1251"/>
      <c r="BKX135" s="1251"/>
      <c r="BKY135" s="1251"/>
      <c r="BKZ135" s="1251"/>
      <c r="BLA135" s="1251"/>
      <c r="BLB135" s="1251"/>
      <c r="BLC135" s="1251"/>
      <c r="BLD135" s="1251"/>
      <c r="BLE135" s="1251"/>
      <c r="BLF135" s="1251"/>
      <c r="BLG135" s="1251"/>
      <c r="BLH135" s="1251"/>
      <c r="BLI135" s="1251"/>
      <c r="BLJ135" s="1251"/>
      <c r="BLK135" s="1251"/>
      <c r="BLL135" s="1251"/>
      <c r="BLM135" s="1251"/>
      <c r="BLN135" s="1251"/>
      <c r="BLO135" s="1251"/>
      <c r="BLP135" s="1251"/>
      <c r="BLQ135" s="1251"/>
      <c r="BLR135" s="1251"/>
      <c r="BLS135" s="1251"/>
      <c r="BLT135" s="1251"/>
      <c r="BLU135" s="1251"/>
      <c r="BLV135" s="1251"/>
      <c r="BLW135" s="1251"/>
      <c r="BLX135" s="1251"/>
      <c r="BLY135" s="1251"/>
      <c r="BLZ135" s="1251"/>
      <c r="BMA135" s="1251"/>
      <c r="BMB135" s="1251"/>
      <c r="BMC135" s="1251"/>
      <c r="BMD135" s="1251"/>
      <c r="BME135" s="1251"/>
      <c r="BMF135" s="1251"/>
      <c r="BMG135" s="1251"/>
      <c r="BMH135" s="1251"/>
      <c r="BMI135" s="1251"/>
      <c r="BMJ135" s="1251"/>
      <c r="BMK135" s="1251"/>
      <c r="BML135" s="1251"/>
      <c r="BMM135" s="1251"/>
      <c r="BMN135" s="1251"/>
      <c r="BMO135" s="1251"/>
      <c r="BMP135" s="1251"/>
      <c r="BMQ135" s="1251"/>
      <c r="BMR135" s="1251"/>
      <c r="BMS135" s="1251"/>
      <c r="BMT135" s="1251"/>
      <c r="BMU135" s="1251"/>
      <c r="BMV135" s="1251"/>
      <c r="BMW135" s="1251"/>
      <c r="BMX135" s="1251"/>
      <c r="BMY135" s="1251"/>
      <c r="BMZ135" s="1251"/>
      <c r="BNA135" s="1251"/>
      <c r="BNB135" s="1251"/>
      <c r="BNC135" s="1251"/>
      <c r="BND135" s="1251"/>
      <c r="BNE135" s="1251"/>
      <c r="BNF135" s="1251"/>
      <c r="BNG135" s="1251"/>
      <c r="BNH135" s="1251"/>
      <c r="BNI135" s="1251"/>
      <c r="BNJ135" s="1251"/>
      <c r="BNK135" s="1251"/>
      <c r="BNL135" s="1251"/>
      <c r="BNM135" s="1251"/>
      <c r="BNN135" s="1251"/>
      <c r="BNO135" s="1251"/>
      <c r="BNP135" s="1251"/>
      <c r="BNQ135" s="1251"/>
      <c r="BNR135" s="1251"/>
      <c r="BNS135" s="1251"/>
      <c r="BNT135" s="1251"/>
      <c r="BNU135" s="1251"/>
      <c r="BNV135" s="1251"/>
      <c r="BNW135" s="1251"/>
      <c r="BNX135" s="1251"/>
      <c r="BNY135" s="1251"/>
      <c r="BNZ135" s="1251"/>
      <c r="BOA135" s="1251"/>
      <c r="BOB135" s="1251"/>
      <c r="BOC135" s="1251"/>
      <c r="BOD135" s="1251"/>
      <c r="BOE135" s="1251"/>
      <c r="BOF135" s="1251"/>
      <c r="BOG135" s="1251"/>
      <c r="BOH135" s="1251"/>
      <c r="BOI135" s="1251"/>
      <c r="BOJ135" s="1251"/>
      <c r="BOK135" s="1251"/>
      <c r="BOL135" s="1251"/>
      <c r="BOM135" s="1251"/>
      <c r="BON135" s="1251"/>
      <c r="BOO135" s="1251"/>
      <c r="BOP135" s="1251"/>
      <c r="BOQ135" s="1251"/>
      <c r="BOR135" s="1251"/>
      <c r="BOS135" s="1251"/>
      <c r="BOT135" s="1251"/>
      <c r="BOU135" s="1251"/>
      <c r="BOV135" s="1251"/>
      <c r="BOW135" s="1251"/>
      <c r="BOX135" s="1251"/>
      <c r="BOY135" s="1251"/>
      <c r="BOZ135" s="1251"/>
      <c r="BPA135" s="1251"/>
      <c r="BPB135" s="1251"/>
      <c r="BPC135" s="1251"/>
      <c r="BPD135" s="1251"/>
      <c r="BPE135" s="1251"/>
      <c r="BPF135" s="1251"/>
      <c r="BPG135" s="1251"/>
      <c r="BPH135" s="1251"/>
      <c r="BPI135" s="1251"/>
      <c r="BPJ135" s="1251"/>
      <c r="BPK135" s="1251"/>
      <c r="BPL135" s="1251"/>
      <c r="BPM135" s="1251"/>
      <c r="BPN135" s="1251"/>
      <c r="BPO135" s="1251"/>
      <c r="BPP135" s="1251"/>
      <c r="BPQ135" s="1251"/>
      <c r="BPR135" s="1251"/>
      <c r="BPS135" s="1251"/>
      <c r="BPT135" s="1251"/>
      <c r="BPU135" s="1251"/>
      <c r="BPV135" s="1251"/>
      <c r="BPW135" s="1251"/>
      <c r="BPX135" s="1251"/>
      <c r="BPY135" s="1251"/>
      <c r="BPZ135" s="1251"/>
      <c r="BQA135" s="1251"/>
      <c r="BQB135" s="1251"/>
      <c r="BQC135" s="1251"/>
      <c r="BQD135" s="1251"/>
      <c r="BQE135" s="1251"/>
      <c r="BQF135" s="1251"/>
      <c r="BQG135" s="1251"/>
      <c r="BQH135" s="1251"/>
      <c r="BQI135" s="1251"/>
      <c r="BQJ135" s="1251"/>
      <c r="BQK135" s="1251"/>
      <c r="BQL135" s="1251"/>
      <c r="BQM135" s="1251"/>
      <c r="BQN135" s="1251"/>
      <c r="BQO135" s="1251"/>
      <c r="BQP135" s="1251"/>
      <c r="BQQ135" s="1251"/>
      <c r="BQR135" s="1251"/>
      <c r="BQS135" s="1251"/>
      <c r="BQT135" s="1251"/>
      <c r="BQU135" s="1251"/>
      <c r="BQV135" s="1251"/>
      <c r="BQW135" s="1251"/>
      <c r="BQX135" s="1251"/>
      <c r="BQY135" s="1251"/>
      <c r="BQZ135" s="1251"/>
      <c r="BRA135" s="1251"/>
      <c r="BRB135" s="1251"/>
      <c r="BRC135" s="1251"/>
      <c r="BRD135" s="1251"/>
      <c r="BRE135" s="1251"/>
      <c r="BRF135" s="1251"/>
      <c r="BRG135" s="1251"/>
      <c r="BRH135" s="1251"/>
      <c r="BRI135" s="1251"/>
      <c r="BRJ135" s="1251"/>
      <c r="BRK135" s="1251"/>
      <c r="BRL135" s="1251"/>
      <c r="BRM135" s="1251"/>
      <c r="BRN135" s="1251"/>
      <c r="BRO135" s="1251"/>
      <c r="BRP135" s="1251"/>
      <c r="BRQ135" s="1251"/>
      <c r="BRR135" s="1251"/>
      <c r="BRS135" s="1251"/>
      <c r="BRT135" s="1251"/>
      <c r="BRU135" s="1251"/>
      <c r="BRV135" s="1251"/>
      <c r="BRW135" s="1251"/>
      <c r="BRX135" s="1251"/>
      <c r="BRY135" s="1251"/>
      <c r="BRZ135" s="1251"/>
      <c r="BSA135" s="1251"/>
      <c r="BSB135" s="1251"/>
      <c r="BSC135" s="1251"/>
      <c r="BSD135" s="1251"/>
      <c r="BSE135" s="1251"/>
      <c r="BSF135" s="1251"/>
      <c r="BSG135" s="1251"/>
      <c r="BSH135" s="1251"/>
      <c r="BSI135" s="1251"/>
      <c r="BSJ135" s="1251"/>
      <c r="BSK135" s="1251"/>
      <c r="BSL135" s="1251"/>
      <c r="BSM135" s="1251"/>
      <c r="BSN135" s="1251"/>
      <c r="BSO135" s="1251"/>
      <c r="BSP135" s="1251"/>
      <c r="BSQ135" s="1251"/>
      <c r="BSR135" s="1251"/>
      <c r="BSS135" s="1251"/>
      <c r="BST135" s="1251"/>
      <c r="BSU135" s="1251"/>
      <c r="BSV135" s="1251"/>
      <c r="BSW135" s="1251"/>
      <c r="BSX135" s="1251"/>
      <c r="BSY135" s="1251"/>
      <c r="BSZ135" s="1251"/>
      <c r="BTA135" s="1251"/>
      <c r="BTB135" s="1251"/>
      <c r="BTC135" s="1251"/>
      <c r="BTD135" s="1251"/>
      <c r="BTE135" s="1251"/>
      <c r="BTF135" s="1251"/>
      <c r="BTG135" s="1251"/>
      <c r="BTH135" s="1251"/>
      <c r="BTI135" s="1251"/>
    </row>
    <row r="136" spans="1:1881" s="1261" customFormat="1" ht="68.25" hidden="1" customHeight="1" x14ac:dyDescent="0.3">
      <c r="A136" s="1265">
        <v>654</v>
      </c>
      <c r="B136" s="308" t="s">
        <v>37</v>
      </c>
      <c r="C136" s="308" t="s">
        <v>1385</v>
      </c>
      <c r="D136" s="1281" t="s">
        <v>1389</v>
      </c>
      <c r="E136" s="1249" t="e">
        <f>HLOOKUP($D$2,'2020 Data(H)'!$C$1:$CZ$426,307,FALSE)</f>
        <v>#N/A</v>
      </c>
      <c r="F136" s="1263">
        <v>0</v>
      </c>
      <c r="G136" s="727">
        <f>IF((F132+F133+F135)&gt;F136,"Error: Please review components of current assets above.  Account numbers (80+81+510)&gt;654",)</f>
        <v>0</v>
      </c>
      <c r="H136" s="17"/>
      <c r="I136" s="760"/>
      <c r="J136" s="1251"/>
      <c r="K136" s="1251"/>
      <c r="L136" s="1251"/>
      <c r="M136" s="1251"/>
      <c r="N136" s="1253"/>
      <c r="O136" s="1251"/>
      <c r="P136" s="1251"/>
      <c r="Q136" s="1251"/>
      <c r="R136" s="1251"/>
      <c r="S136" s="1251"/>
      <c r="T136" s="1251"/>
      <c r="U136" s="1251"/>
      <c r="V136" s="1251"/>
      <c r="W136" s="1251"/>
      <c r="X136" s="1251"/>
      <c r="Y136" s="1251"/>
      <c r="Z136" s="1265"/>
      <c r="AA136" s="1265"/>
      <c r="AB136" s="1265"/>
      <c r="AC136" s="1265"/>
      <c r="AD136" s="1265"/>
      <c r="AE136" s="1265"/>
      <c r="AF136" s="1265"/>
      <c r="AG136" s="1265"/>
      <c r="AH136" s="1265"/>
      <c r="AI136" s="1265"/>
      <c r="AJ136" s="1265"/>
      <c r="AK136" s="1265"/>
      <c r="AL136" s="1265"/>
      <c r="AM136" s="1265"/>
      <c r="AN136" s="1265"/>
      <c r="AO136" s="1265"/>
      <c r="AP136" s="1265"/>
      <c r="AQ136" s="1265"/>
      <c r="AR136" s="1265"/>
      <c r="AS136" s="1251"/>
      <c r="AT136" s="1251"/>
      <c r="AU136" s="1251"/>
      <c r="AV136" s="1251"/>
      <c r="AW136" s="1251"/>
      <c r="AX136" s="1251"/>
      <c r="AY136" s="1251"/>
      <c r="AZ136" s="1251"/>
      <c r="BA136" s="1251"/>
      <c r="BB136" s="1251"/>
      <c r="BC136" s="1251"/>
      <c r="BD136" s="1251"/>
      <c r="BE136" s="1251"/>
      <c r="BF136" s="1251"/>
      <c r="BG136" s="1251"/>
      <c r="BH136" s="1251"/>
      <c r="BI136" s="1251"/>
      <c r="BJ136" s="1251"/>
      <c r="BK136" s="1251"/>
      <c r="BL136" s="1251"/>
      <c r="BM136" s="1251"/>
      <c r="BN136" s="1251"/>
      <c r="BO136" s="1251"/>
      <c r="BP136" s="1251"/>
      <c r="BQ136" s="1251"/>
      <c r="BR136" s="1251"/>
      <c r="BS136" s="1251"/>
      <c r="BT136" s="1251"/>
      <c r="BU136" s="1251"/>
      <c r="BV136" s="1251"/>
      <c r="BW136" s="1251"/>
      <c r="BX136" s="1251"/>
      <c r="BY136" s="1251"/>
      <c r="BZ136" s="1251"/>
      <c r="CA136" s="1251"/>
      <c r="CB136" s="1251"/>
      <c r="CC136" s="1251"/>
      <c r="CD136" s="1251"/>
      <c r="CE136" s="1251"/>
      <c r="CF136" s="1251"/>
      <c r="CG136" s="1251"/>
      <c r="CH136" s="1251"/>
      <c r="CI136" s="1251"/>
      <c r="CJ136" s="1251"/>
      <c r="CK136" s="1251"/>
      <c r="CL136" s="1251"/>
      <c r="CM136" s="1251"/>
      <c r="CN136" s="1251"/>
      <c r="CO136" s="1251"/>
      <c r="CP136" s="1251"/>
      <c r="CQ136" s="1251"/>
      <c r="CR136" s="1251"/>
      <c r="CS136" s="1251"/>
      <c r="CT136" s="1251"/>
      <c r="CU136" s="1251"/>
      <c r="CV136" s="1251"/>
      <c r="CW136" s="1251"/>
      <c r="CX136" s="1251"/>
      <c r="CY136" s="1251"/>
      <c r="CZ136" s="1251"/>
      <c r="DA136" s="1251"/>
      <c r="DB136" s="1251"/>
      <c r="DC136" s="1251"/>
      <c r="DD136" s="1251"/>
      <c r="DE136" s="1251"/>
      <c r="DF136" s="1251"/>
      <c r="DG136" s="1251"/>
      <c r="DH136" s="1251"/>
      <c r="DI136" s="1251"/>
      <c r="DJ136" s="1251"/>
      <c r="DK136" s="1251"/>
      <c r="DL136" s="1251"/>
      <c r="DM136" s="1251"/>
      <c r="DN136" s="1251"/>
      <c r="DO136" s="1251"/>
      <c r="DP136" s="1251"/>
      <c r="DQ136" s="1251"/>
      <c r="DR136" s="1251"/>
      <c r="DS136" s="1251"/>
      <c r="DT136" s="1251"/>
      <c r="DU136" s="1251"/>
      <c r="DV136" s="1251"/>
      <c r="DW136" s="1251"/>
      <c r="DX136" s="1251"/>
      <c r="DY136" s="1251"/>
      <c r="DZ136" s="1251"/>
      <c r="EA136" s="1251"/>
      <c r="EB136" s="1251"/>
      <c r="EC136" s="1251"/>
      <c r="ED136" s="1251"/>
      <c r="EE136" s="1251"/>
      <c r="EF136" s="1251"/>
      <c r="EG136" s="1251"/>
      <c r="EH136" s="1251"/>
      <c r="EI136" s="1251"/>
      <c r="EJ136" s="1251"/>
      <c r="EK136" s="1251"/>
      <c r="EL136" s="1251"/>
      <c r="EM136" s="1251"/>
      <c r="EN136" s="1251"/>
      <c r="EO136" s="1251"/>
      <c r="EP136" s="1251"/>
      <c r="EQ136" s="1251"/>
      <c r="ER136" s="1251"/>
      <c r="ES136" s="1251"/>
      <c r="ET136" s="1251"/>
      <c r="EU136" s="1251"/>
      <c r="EV136" s="1251"/>
      <c r="EW136" s="1251"/>
      <c r="EX136" s="1251"/>
      <c r="EY136" s="1251"/>
      <c r="EZ136" s="1251"/>
      <c r="FA136" s="1251"/>
      <c r="FB136" s="1251"/>
      <c r="FC136" s="1251"/>
      <c r="FD136" s="1251"/>
      <c r="FE136" s="1251"/>
      <c r="FF136" s="1251"/>
      <c r="FG136" s="1251"/>
      <c r="FH136" s="1251"/>
      <c r="FI136" s="1251"/>
      <c r="FJ136" s="1251"/>
      <c r="FK136" s="1251"/>
      <c r="FL136" s="1251"/>
      <c r="FM136" s="1251"/>
      <c r="FN136" s="1251"/>
      <c r="FO136" s="1251"/>
      <c r="FP136" s="1251"/>
      <c r="FQ136" s="1251"/>
      <c r="FR136" s="1251"/>
      <c r="FS136" s="1251"/>
      <c r="FT136" s="1251"/>
      <c r="FU136" s="1251"/>
      <c r="FV136" s="1251"/>
      <c r="FW136" s="1251"/>
      <c r="FX136" s="1251"/>
      <c r="FY136" s="1251"/>
      <c r="FZ136" s="1251"/>
      <c r="GA136" s="1251"/>
      <c r="GB136" s="1251"/>
      <c r="GC136" s="1251"/>
      <c r="GD136" s="1251"/>
      <c r="GE136" s="1251"/>
      <c r="GF136" s="1251"/>
      <c r="GG136" s="1251"/>
      <c r="GH136" s="1251"/>
      <c r="GI136" s="1251"/>
      <c r="GJ136" s="1251"/>
      <c r="GK136" s="1251"/>
      <c r="GL136" s="1251"/>
      <c r="GM136" s="1251"/>
      <c r="GN136" s="1251"/>
      <c r="GO136" s="1251"/>
      <c r="GP136" s="1251"/>
      <c r="GQ136" s="1251"/>
      <c r="GR136" s="1251"/>
      <c r="GS136" s="1251"/>
      <c r="GT136" s="1251"/>
      <c r="GU136" s="1251"/>
      <c r="GV136" s="1251"/>
      <c r="GW136" s="1251"/>
      <c r="GX136" s="1251"/>
      <c r="GY136" s="1251"/>
      <c r="GZ136" s="1251"/>
      <c r="HA136" s="1251"/>
      <c r="HB136" s="1251"/>
      <c r="HC136" s="1251"/>
      <c r="HD136" s="1251"/>
      <c r="HE136" s="1251"/>
      <c r="HF136" s="1251"/>
      <c r="HG136" s="1251"/>
      <c r="HH136" s="1251"/>
      <c r="HI136" s="1251"/>
      <c r="HJ136" s="1251"/>
      <c r="HK136" s="1251"/>
      <c r="HL136" s="1251"/>
      <c r="HM136" s="1251"/>
      <c r="HN136" s="1251"/>
      <c r="HO136" s="1251"/>
      <c r="HP136" s="1251"/>
      <c r="HQ136" s="1251"/>
      <c r="HR136" s="1251"/>
      <c r="HS136" s="1251"/>
      <c r="HT136" s="1251"/>
      <c r="HU136" s="1251"/>
      <c r="HV136" s="1251"/>
      <c r="HW136" s="1251"/>
      <c r="HX136" s="1251"/>
      <c r="HY136" s="1251"/>
      <c r="HZ136" s="1251"/>
      <c r="IA136" s="1251"/>
      <c r="IB136" s="1251"/>
      <c r="IC136" s="1251"/>
      <c r="ID136" s="1251"/>
      <c r="IE136" s="1251"/>
      <c r="IF136" s="1251"/>
      <c r="IG136" s="1251"/>
      <c r="IH136" s="1251"/>
      <c r="II136" s="1251"/>
      <c r="IJ136" s="1251"/>
      <c r="IK136" s="1251"/>
      <c r="IL136" s="1251"/>
      <c r="IM136" s="1251"/>
      <c r="IN136" s="1251"/>
      <c r="IO136" s="1251"/>
      <c r="IP136" s="1251"/>
      <c r="IQ136" s="1251"/>
      <c r="IR136" s="1251"/>
      <c r="IS136" s="1251"/>
      <c r="IT136" s="1251"/>
      <c r="IU136" s="1251"/>
      <c r="IV136" s="1251"/>
      <c r="IW136" s="1251"/>
      <c r="IX136" s="1251"/>
      <c r="IY136" s="1251"/>
      <c r="IZ136" s="1251"/>
      <c r="JA136" s="1251"/>
      <c r="JB136" s="1251"/>
      <c r="JC136" s="1251"/>
      <c r="JD136" s="1251"/>
      <c r="JE136" s="1251"/>
      <c r="JF136" s="1251"/>
      <c r="JG136" s="1251"/>
      <c r="JH136" s="1251"/>
      <c r="JI136" s="1251"/>
      <c r="JJ136" s="1251"/>
      <c r="JK136" s="1251"/>
      <c r="JL136" s="1251"/>
      <c r="JM136" s="1251"/>
      <c r="JN136" s="1251"/>
      <c r="JO136" s="1251"/>
      <c r="JP136" s="1251"/>
      <c r="JQ136" s="1251"/>
      <c r="JR136" s="1251"/>
      <c r="JS136" s="1251"/>
      <c r="JT136" s="1251"/>
      <c r="JU136" s="1251"/>
      <c r="JV136" s="1251"/>
      <c r="JW136" s="1251"/>
      <c r="JX136" s="1251"/>
      <c r="JY136" s="1251"/>
      <c r="JZ136" s="1251"/>
      <c r="KA136" s="1251"/>
      <c r="KB136" s="1251"/>
      <c r="KC136" s="1251"/>
      <c r="KD136" s="1251"/>
      <c r="KE136" s="1251"/>
      <c r="KF136" s="1251"/>
      <c r="KG136" s="1251"/>
      <c r="KH136" s="1251"/>
      <c r="KI136" s="1251"/>
      <c r="KJ136" s="1251"/>
      <c r="KK136" s="1251"/>
      <c r="KL136" s="1251"/>
      <c r="KM136" s="1251"/>
      <c r="KN136" s="1251"/>
      <c r="KO136" s="1251"/>
      <c r="KP136" s="1251"/>
      <c r="KQ136" s="1251"/>
      <c r="KR136" s="1251"/>
      <c r="KS136" s="1251"/>
      <c r="KT136" s="1251"/>
      <c r="KU136" s="1251"/>
      <c r="KV136" s="1251"/>
      <c r="KW136" s="1251"/>
      <c r="KX136" s="1251"/>
      <c r="KY136" s="1251"/>
      <c r="KZ136" s="1251"/>
      <c r="LA136" s="1251"/>
      <c r="LB136" s="1251"/>
      <c r="LC136" s="1251"/>
      <c r="LD136" s="1251"/>
      <c r="LE136" s="1251"/>
      <c r="LF136" s="1251"/>
      <c r="LG136" s="1251"/>
      <c r="LH136" s="1251"/>
      <c r="LI136" s="1251"/>
      <c r="LJ136" s="1251"/>
      <c r="LK136" s="1251"/>
      <c r="LL136" s="1251"/>
      <c r="LM136" s="1251"/>
      <c r="LN136" s="1251"/>
      <c r="LO136" s="1251"/>
      <c r="LP136" s="1251"/>
      <c r="LQ136" s="1251"/>
      <c r="LR136" s="1251"/>
      <c r="LS136" s="1251"/>
      <c r="LT136" s="1251"/>
      <c r="LU136" s="1251"/>
      <c r="LV136" s="1251"/>
      <c r="LW136" s="1251"/>
      <c r="LX136" s="1251"/>
      <c r="LY136" s="1251"/>
      <c r="LZ136" s="1251"/>
      <c r="MA136" s="1251"/>
      <c r="MB136" s="1251"/>
      <c r="MC136" s="1251"/>
      <c r="MD136" s="1251"/>
      <c r="ME136" s="1251"/>
      <c r="MF136" s="1251"/>
      <c r="MG136" s="1251"/>
      <c r="MH136" s="1251"/>
      <c r="MI136" s="1251"/>
      <c r="MJ136" s="1251"/>
      <c r="MK136" s="1251"/>
      <c r="ML136" s="1251"/>
      <c r="MM136" s="1251"/>
      <c r="MN136" s="1251"/>
      <c r="MO136" s="1251"/>
      <c r="MP136" s="1251"/>
      <c r="MQ136" s="1251"/>
      <c r="MR136" s="1251"/>
      <c r="MS136" s="1251"/>
      <c r="MT136" s="1251"/>
      <c r="MU136" s="1251"/>
      <c r="MV136" s="1251"/>
      <c r="MW136" s="1251"/>
      <c r="MX136" s="1251"/>
      <c r="MY136" s="1251"/>
      <c r="MZ136" s="1251"/>
      <c r="NA136" s="1251"/>
      <c r="NB136" s="1251"/>
      <c r="NC136" s="1251"/>
      <c r="ND136" s="1251"/>
      <c r="NE136" s="1251"/>
      <c r="NF136" s="1251"/>
      <c r="NG136" s="1251"/>
      <c r="NH136" s="1251"/>
      <c r="NI136" s="1251"/>
      <c r="NJ136" s="1251"/>
      <c r="NK136" s="1251"/>
      <c r="NL136" s="1251"/>
      <c r="NM136" s="1251"/>
      <c r="NN136" s="1251"/>
      <c r="NO136" s="1251"/>
      <c r="NP136" s="1251"/>
      <c r="NQ136" s="1251"/>
      <c r="NR136" s="1251"/>
      <c r="NS136" s="1251"/>
      <c r="NT136" s="1251"/>
      <c r="NU136" s="1251"/>
      <c r="NV136" s="1251"/>
      <c r="NW136" s="1251"/>
      <c r="NX136" s="1251"/>
      <c r="NY136" s="1251"/>
      <c r="NZ136" s="1251"/>
      <c r="OA136" s="1251"/>
      <c r="OB136" s="1251"/>
      <c r="OC136" s="1251"/>
      <c r="OD136" s="1251"/>
      <c r="OE136" s="1251"/>
      <c r="OF136" s="1251"/>
      <c r="OG136" s="1251"/>
      <c r="OH136" s="1251"/>
      <c r="OI136" s="1251"/>
      <c r="OJ136" s="1251"/>
      <c r="OK136" s="1251"/>
      <c r="OL136" s="1251"/>
      <c r="OM136" s="1251"/>
      <c r="ON136" s="1251"/>
      <c r="OO136" s="1251"/>
      <c r="OP136" s="1251"/>
      <c r="OQ136" s="1251"/>
      <c r="OR136" s="1251"/>
      <c r="OS136" s="1251"/>
      <c r="OT136" s="1251"/>
      <c r="OU136" s="1251"/>
      <c r="OV136" s="1251"/>
      <c r="OW136" s="1251"/>
      <c r="OX136" s="1251"/>
      <c r="OY136" s="1251"/>
      <c r="OZ136" s="1251"/>
      <c r="PA136" s="1251"/>
      <c r="PB136" s="1251"/>
      <c r="PC136" s="1251"/>
      <c r="PD136" s="1251"/>
      <c r="PE136" s="1251"/>
      <c r="PF136" s="1251"/>
      <c r="PG136" s="1251"/>
      <c r="PH136" s="1251"/>
      <c r="PI136" s="1251"/>
      <c r="PJ136" s="1251"/>
      <c r="PK136" s="1251"/>
      <c r="PL136" s="1251"/>
      <c r="PM136" s="1251"/>
      <c r="PN136" s="1251"/>
      <c r="PO136" s="1251"/>
      <c r="PP136" s="1251"/>
      <c r="PQ136" s="1251"/>
      <c r="PR136" s="1251"/>
      <c r="PS136" s="1251"/>
      <c r="PT136" s="1251"/>
      <c r="PU136" s="1251"/>
      <c r="PV136" s="1251"/>
      <c r="PW136" s="1251"/>
      <c r="PX136" s="1251"/>
      <c r="PY136" s="1251"/>
      <c r="PZ136" s="1251"/>
      <c r="QA136" s="1251"/>
      <c r="QB136" s="1251"/>
      <c r="QC136" s="1251"/>
      <c r="QD136" s="1251"/>
      <c r="QE136" s="1251"/>
      <c r="QF136" s="1251"/>
      <c r="QG136" s="1251"/>
      <c r="QH136" s="1251"/>
      <c r="QI136" s="1251"/>
      <c r="QJ136" s="1251"/>
      <c r="QK136" s="1251"/>
      <c r="QL136" s="1251"/>
      <c r="QM136" s="1251"/>
      <c r="QN136" s="1251"/>
      <c r="QO136" s="1251"/>
      <c r="QP136" s="1251"/>
      <c r="QQ136" s="1251"/>
      <c r="QR136" s="1251"/>
      <c r="QS136" s="1251"/>
      <c r="QT136" s="1251"/>
      <c r="QU136" s="1251"/>
      <c r="QV136" s="1251"/>
      <c r="QW136" s="1251"/>
      <c r="QX136" s="1251"/>
      <c r="QY136" s="1251"/>
      <c r="QZ136" s="1251"/>
      <c r="RA136" s="1251"/>
      <c r="RB136" s="1251"/>
      <c r="RC136" s="1251"/>
      <c r="RD136" s="1251"/>
      <c r="RE136" s="1251"/>
      <c r="RF136" s="1251"/>
      <c r="RG136" s="1251"/>
      <c r="RH136" s="1251"/>
      <c r="RI136" s="1251"/>
      <c r="RJ136" s="1251"/>
      <c r="RK136" s="1251"/>
      <c r="RL136" s="1251"/>
      <c r="RM136" s="1251"/>
      <c r="RN136" s="1251"/>
      <c r="RO136" s="1251"/>
      <c r="RP136" s="1251"/>
      <c r="RQ136" s="1251"/>
      <c r="RR136" s="1251"/>
      <c r="RS136" s="1251"/>
      <c r="RT136" s="1251"/>
      <c r="RU136" s="1251"/>
      <c r="RV136" s="1251"/>
      <c r="RW136" s="1251"/>
      <c r="RX136" s="1251"/>
      <c r="RY136" s="1251"/>
      <c r="RZ136" s="1251"/>
      <c r="SA136" s="1251"/>
      <c r="SB136" s="1251"/>
      <c r="SC136" s="1251"/>
      <c r="SD136" s="1251"/>
      <c r="SE136" s="1251"/>
      <c r="SF136" s="1251"/>
      <c r="SG136" s="1251"/>
      <c r="SH136" s="1251"/>
      <c r="SI136" s="1251"/>
      <c r="SJ136" s="1251"/>
      <c r="SK136" s="1251"/>
      <c r="SL136" s="1251"/>
      <c r="SM136" s="1251"/>
      <c r="SN136" s="1251"/>
      <c r="SO136" s="1251"/>
      <c r="SP136" s="1251"/>
      <c r="SQ136" s="1251"/>
      <c r="SR136" s="1251"/>
      <c r="SS136" s="1251"/>
      <c r="ST136" s="1251"/>
      <c r="SU136" s="1251"/>
      <c r="SV136" s="1251"/>
      <c r="SW136" s="1251"/>
      <c r="SX136" s="1251"/>
      <c r="SY136" s="1251"/>
      <c r="SZ136" s="1251"/>
      <c r="TA136" s="1251"/>
      <c r="TB136" s="1251"/>
      <c r="TC136" s="1251"/>
      <c r="TD136" s="1251"/>
      <c r="TE136" s="1251"/>
      <c r="TF136" s="1251"/>
      <c r="TG136" s="1251"/>
      <c r="TH136" s="1251"/>
      <c r="TI136" s="1251"/>
      <c r="TJ136" s="1251"/>
      <c r="TK136" s="1251"/>
      <c r="TL136" s="1251"/>
      <c r="TM136" s="1251"/>
      <c r="TN136" s="1251"/>
      <c r="TO136" s="1251"/>
      <c r="TP136" s="1251"/>
      <c r="TQ136" s="1251"/>
      <c r="TR136" s="1251"/>
      <c r="TS136" s="1251"/>
      <c r="TT136" s="1251"/>
      <c r="TU136" s="1251"/>
      <c r="TV136" s="1251"/>
      <c r="TW136" s="1251"/>
      <c r="TX136" s="1251"/>
      <c r="TY136" s="1251"/>
      <c r="TZ136" s="1251"/>
      <c r="UA136" s="1251"/>
      <c r="UB136" s="1251"/>
      <c r="UC136" s="1251"/>
      <c r="UD136" s="1251"/>
      <c r="UE136" s="1251"/>
      <c r="UF136" s="1251"/>
      <c r="UG136" s="1251"/>
      <c r="UH136" s="1251"/>
      <c r="UI136" s="1251"/>
      <c r="UJ136" s="1251"/>
      <c r="UK136" s="1251"/>
      <c r="UL136" s="1251"/>
      <c r="UM136" s="1251"/>
      <c r="UN136" s="1251"/>
      <c r="UO136" s="1251"/>
      <c r="UP136" s="1251"/>
      <c r="UQ136" s="1251"/>
      <c r="UR136" s="1251"/>
      <c r="US136" s="1251"/>
      <c r="UT136" s="1251"/>
      <c r="UU136" s="1251"/>
      <c r="UV136" s="1251"/>
      <c r="UW136" s="1251"/>
      <c r="UX136" s="1251"/>
      <c r="UY136" s="1251"/>
      <c r="UZ136" s="1251"/>
      <c r="VA136" s="1251"/>
      <c r="VB136" s="1251"/>
      <c r="VC136" s="1251"/>
      <c r="VD136" s="1251"/>
      <c r="VE136" s="1251"/>
      <c r="VF136" s="1251"/>
      <c r="VG136" s="1251"/>
      <c r="VH136" s="1251"/>
      <c r="VI136" s="1251"/>
      <c r="VJ136" s="1251"/>
      <c r="VK136" s="1251"/>
      <c r="VL136" s="1251"/>
      <c r="VM136" s="1251"/>
      <c r="VN136" s="1251"/>
      <c r="VO136" s="1251"/>
      <c r="VP136" s="1251"/>
      <c r="VQ136" s="1251"/>
      <c r="VR136" s="1251"/>
      <c r="VS136" s="1251"/>
      <c r="VT136" s="1251"/>
      <c r="VU136" s="1251"/>
      <c r="VV136" s="1251"/>
      <c r="VW136" s="1251"/>
      <c r="VX136" s="1251"/>
      <c r="VY136" s="1251"/>
      <c r="VZ136" s="1251"/>
      <c r="WA136" s="1251"/>
      <c r="WB136" s="1251"/>
      <c r="WC136" s="1251"/>
      <c r="WD136" s="1251"/>
      <c r="WE136" s="1251"/>
      <c r="WF136" s="1251"/>
      <c r="WG136" s="1251"/>
      <c r="WH136" s="1251"/>
      <c r="WI136" s="1251"/>
      <c r="WJ136" s="1251"/>
      <c r="WK136" s="1251"/>
      <c r="WL136" s="1251"/>
      <c r="WM136" s="1251"/>
      <c r="WN136" s="1251"/>
      <c r="WO136" s="1251"/>
      <c r="WP136" s="1251"/>
      <c r="WQ136" s="1251"/>
      <c r="WR136" s="1251"/>
      <c r="WS136" s="1251"/>
      <c r="WT136" s="1251"/>
      <c r="WU136" s="1251"/>
      <c r="WV136" s="1251"/>
      <c r="WW136" s="1251"/>
      <c r="WX136" s="1251"/>
      <c r="WY136" s="1251"/>
      <c r="WZ136" s="1251"/>
      <c r="XA136" s="1251"/>
      <c r="XB136" s="1251"/>
      <c r="XC136" s="1251"/>
      <c r="XD136" s="1251"/>
      <c r="XE136" s="1251"/>
      <c r="XF136" s="1251"/>
      <c r="XG136" s="1251"/>
      <c r="XH136" s="1251"/>
      <c r="XI136" s="1251"/>
      <c r="XJ136" s="1251"/>
      <c r="XK136" s="1251"/>
      <c r="XL136" s="1251"/>
      <c r="XM136" s="1251"/>
      <c r="XN136" s="1251"/>
      <c r="XO136" s="1251"/>
      <c r="XP136" s="1251"/>
      <c r="XQ136" s="1251"/>
      <c r="XR136" s="1251"/>
      <c r="XS136" s="1251"/>
      <c r="XT136" s="1251"/>
      <c r="XU136" s="1251"/>
      <c r="XV136" s="1251"/>
      <c r="XW136" s="1251"/>
      <c r="XX136" s="1251"/>
      <c r="XY136" s="1251"/>
      <c r="XZ136" s="1251"/>
      <c r="YA136" s="1251"/>
      <c r="YB136" s="1251"/>
      <c r="YC136" s="1251"/>
      <c r="YD136" s="1251"/>
      <c r="YE136" s="1251"/>
      <c r="YF136" s="1251"/>
      <c r="YG136" s="1251"/>
      <c r="YH136" s="1251"/>
      <c r="YI136" s="1251"/>
      <c r="YJ136" s="1251"/>
      <c r="YK136" s="1251"/>
      <c r="YL136" s="1251"/>
      <c r="YM136" s="1251"/>
      <c r="YN136" s="1251"/>
      <c r="YO136" s="1251"/>
      <c r="YP136" s="1251"/>
      <c r="YQ136" s="1251"/>
      <c r="YR136" s="1251"/>
      <c r="YS136" s="1251"/>
      <c r="YT136" s="1251"/>
      <c r="YU136" s="1251"/>
      <c r="YV136" s="1251"/>
      <c r="YW136" s="1251"/>
      <c r="YX136" s="1251"/>
      <c r="YY136" s="1251"/>
      <c r="YZ136" s="1251"/>
      <c r="ZA136" s="1251"/>
      <c r="ZB136" s="1251"/>
      <c r="ZC136" s="1251"/>
      <c r="ZD136" s="1251"/>
      <c r="ZE136" s="1251"/>
      <c r="ZF136" s="1251"/>
      <c r="ZG136" s="1251"/>
      <c r="ZH136" s="1251"/>
      <c r="ZI136" s="1251"/>
      <c r="ZJ136" s="1251"/>
      <c r="ZK136" s="1251"/>
      <c r="ZL136" s="1251"/>
      <c r="ZM136" s="1251"/>
      <c r="ZN136" s="1251"/>
      <c r="ZO136" s="1251"/>
      <c r="ZP136" s="1251"/>
      <c r="ZQ136" s="1251"/>
      <c r="ZR136" s="1251"/>
      <c r="ZS136" s="1251"/>
      <c r="ZT136" s="1251"/>
      <c r="ZU136" s="1251"/>
      <c r="ZV136" s="1251"/>
      <c r="ZW136" s="1251"/>
      <c r="ZX136" s="1251"/>
      <c r="ZY136" s="1251"/>
      <c r="ZZ136" s="1251"/>
      <c r="AAA136" s="1251"/>
      <c r="AAB136" s="1251"/>
      <c r="AAC136" s="1251"/>
      <c r="AAD136" s="1251"/>
      <c r="AAE136" s="1251"/>
      <c r="AAF136" s="1251"/>
      <c r="AAG136" s="1251"/>
      <c r="AAH136" s="1251"/>
      <c r="AAI136" s="1251"/>
      <c r="AAJ136" s="1251"/>
      <c r="AAK136" s="1251"/>
      <c r="AAL136" s="1251"/>
      <c r="AAM136" s="1251"/>
      <c r="AAN136" s="1251"/>
      <c r="AAO136" s="1251"/>
      <c r="AAP136" s="1251"/>
      <c r="AAQ136" s="1251"/>
      <c r="AAR136" s="1251"/>
      <c r="AAS136" s="1251"/>
      <c r="AAT136" s="1251"/>
      <c r="AAU136" s="1251"/>
      <c r="AAV136" s="1251"/>
      <c r="AAW136" s="1251"/>
      <c r="AAX136" s="1251"/>
      <c r="AAY136" s="1251"/>
      <c r="AAZ136" s="1251"/>
      <c r="ABA136" s="1251"/>
      <c r="ABB136" s="1251"/>
      <c r="ABC136" s="1251"/>
      <c r="ABD136" s="1251"/>
      <c r="ABE136" s="1251"/>
      <c r="ABF136" s="1251"/>
      <c r="ABG136" s="1251"/>
      <c r="ABH136" s="1251"/>
      <c r="ABI136" s="1251"/>
      <c r="ABJ136" s="1251"/>
      <c r="ABK136" s="1251"/>
      <c r="ABL136" s="1251"/>
      <c r="ABM136" s="1251"/>
      <c r="ABN136" s="1251"/>
      <c r="ABO136" s="1251"/>
      <c r="ABP136" s="1251"/>
      <c r="ABQ136" s="1251"/>
      <c r="ABR136" s="1251"/>
      <c r="ABS136" s="1251"/>
      <c r="ABT136" s="1251"/>
      <c r="ABU136" s="1251"/>
      <c r="ABV136" s="1251"/>
      <c r="ABW136" s="1251"/>
      <c r="ABX136" s="1251"/>
      <c r="ABY136" s="1251"/>
      <c r="ABZ136" s="1251"/>
      <c r="ACA136" s="1251"/>
      <c r="ACB136" s="1251"/>
      <c r="ACC136" s="1251"/>
      <c r="ACD136" s="1251"/>
      <c r="ACE136" s="1251"/>
      <c r="ACF136" s="1251"/>
      <c r="ACG136" s="1251"/>
      <c r="ACH136" s="1251"/>
      <c r="ACI136" s="1251"/>
      <c r="ACJ136" s="1251"/>
      <c r="ACK136" s="1251"/>
      <c r="ACL136" s="1251"/>
      <c r="ACM136" s="1251"/>
      <c r="ACN136" s="1251"/>
      <c r="ACO136" s="1251"/>
      <c r="ACP136" s="1251"/>
      <c r="ACQ136" s="1251"/>
      <c r="ACR136" s="1251"/>
      <c r="ACS136" s="1251"/>
      <c r="ACT136" s="1251"/>
      <c r="ACU136" s="1251"/>
      <c r="ACV136" s="1251"/>
      <c r="ACW136" s="1251"/>
      <c r="ACX136" s="1251"/>
      <c r="ACY136" s="1251"/>
      <c r="ACZ136" s="1251"/>
      <c r="ADA136" s="1251"/>
      <c r="ADB136" s="1251"/>
      <c r="ADC136" s="1251"/>
      <c r="ADD136" s="1251"/>
      <c r="ADE136" s="1251"/>
      <c r="ADF136" s="1251"/>
      <c r="ADG136" s="1251"/>
      <c r="ADH136" s="1251"/>
      <c r="ADI136" s="1251"/>
      <c r="ADJ136" s="1251"/>
      <c r="ADK136" s="1251"/>
      <c r="ADL136" s="1251"/>
      <c r="ADM136" s="1251"/>
      <c r="ADN136" s="1251"/>
      <c r="ADO136" s="1251"/>
      <c r="ADP136" s="1251"/>
      <c r="ADQ136" s="1251"/>
      <c r="ADR136" s="1251"/>
      <c r="ADS136" s="1251"/>
      <c r="ADT136" s="1251"/>
      <c r="ADU136" s="1251"/>
      <c r="ADV136" s="1251"/>
      <c r="ADW136" s="1251"/>
      <c r="ADX136" s="1251"/>
      <c r="ADY136" s="1251"/>
      <c r="ADZ136" s="1251"/>
      <c r="AEA136" s="1251"/>
      <c r="AEB136" s="1251"/>
      <c r="AEC136" s="1251"/>
      <c r="AED136" s="1251"/>
      <c r="AEE136" s="1251"/>
      <c r="AEF136" s="1251"/>
      <c r="AEG136" s="1251"/>
      <c r="AEH136" s="1251"/>
      <c r="AEI136" s="1251"/>
      <c r="AEJ136" s="1251"/>
      <c r="AEK136" s="1251"/>
      <c r="AEL136" s="1251"/>
      <c r="AEM136" s="1251"/>
      <c r="AEN136" s="1251"/>
      <c r="AEO136" s="1251"/>
      <c r="AEP136" s="1251"/>
      <c r="AEQ136" s="1251"/>
      <c r="AER136" s="1251"/>
      <c r="AES136" s="1251"/>
      <c r="AET136" s="1251"/>
      <c r="AEU136" s="1251"/>
      <c r="AEV136" s="1251"/>
      <c r="AEW136" s="1251"/>
      <c r="AEX136" s="1251"/>
      <c r="AEY136" s="1251"/>
      <c r="AEZ136" s="1251"/>
      <c r="AFA136" s="1251"/>
      <c r="AFB136" s="1251"/>
      <c r="AFC136" s="1251"/>
      <c r="AFD136" s="1251"/>
      <c r="AFE136" s="1251"/>
      <c r="AFF136" s="1251"/>
      <c r="AFG136" s="1251"/>
      <c r="AFH136" s="1251"/>
      <c r="AFI136" s="1251"/>
      <c r="AFJ136" s="1251"/>
      <c r="AFK136" s="1251"/>
      <c r="AFL136" s="1251"/>
      <c r="AFM136" s="1251"/>
      <c r="AFN136" s="1251"/>
      <c r="AFO136" s="1251"/>
      <c r="AFP136" s="1251"/>
      <c r="AFQ136" s="1251"/>
      <c r="AFR136" s="1251"/>
      <c r="AFS136" s="1251"/>
      <c r="AFT136" s="1251"/>
      <c r="AFU136" s="1251"/>
      <c r="AFV136" s="1251"/>
      <c r="AFW136" s="1251"/>
      <c r="AFX136" s="1251"/>
      <c r="AFY136" s="1251"/>
      <c r="AFZ136" s="1251"/>
      <c r="AGA136" s="1251"/>
      <c r="AGB136" s="1251"/>
      <c r="AGC136" s="1251"/>
      <c r="AGD136" s="1251"/>
      <c r="AGE136" s="1251"/>
      <c r="AGF136" s="1251"/>
      <c r="AGG136" s="1251"/>
      <c r="AGH136" s="1251"/>
      <c r="AGI136" s="1251"/>
      <c r="AGJ136" s="1251"/>
      <c r="AGK136" s="1251"/>
      <c r="AGL136" s="1251"/>
      <c r="AGM136" s="1251"/>
      <c r="AGN136" s="1251"/>
      <c r="AGO136" s="1251"/>
      <c r="AGP136" s="1251"/>
      <c r="AGQ136" s="1251"/>
      <c r="AGR136" s="1251"/>
      <c r="AGS136" s="1251"/>
      <c r="AGT136" s="1251"/>
      <c r="AGU136" s="1251"/>
      <c r="AGV136" s="1251"/>
      <c r="AGW136" s="1251"/>
      <c r="AGX136" s="1251"/>
      <c r="AGY136" s="1251"/>
      <c r="AGZ136" s="1251"/>
      <c r="AHA136" s="1251"/>
      <c r="AHB136" s="1251"/>
      <c r="AHC136" s="1251"/>
      <c r="AHD136" s="1251"/>
      <c r="AHE136" s="1251"/>
      <c r="AHF136" s="1251"/>
      <c r="AHG136" s="1251"/>
      <c r="AHH136" s="1251"/>
      <c r="AHI136" s="1251"/>
      <c r="AHJ136" s="1251"/>
      <c r="AHK136" s="1251"/>
      <c r="AHL136" s="1251"/>
      <c r="AHM136" s="1251"/>
      <c r="AHN136" s="1251"/>
      <c r="AHO136" s="1251"/>
      <c r="AHP136" s="1251"/>
      <c r="AHQ136" s="1251"/>
      <c r="AHR136" s="1251"/>
      <c r="AHS136" s="1251"/>
      <c r="AHT136" s="1251"/>
      <c r="AHU136" s="1251"/>
      <c r="AHV136" s="1251"/>
      <c r="AHW136" s="1251"/>
      <c r="AHX136" s="1251"/>
      <c r="AHY136" s="1251"/>
      <c r="AHZ136" s="1251"/>
      <c r="AIA136" s="1251"/>
      <c r="AIB136" s="1251"/>
      <c r="AIC136" s="1251"/>
      <c r="AID136" s="1251"/>
      <c r="AIE136" s="1251"/>
      <c r="AIF136" s="1251"/>
      <c r="AIG136" s="1251"/>
      <c r="AIH136" s="1251"/>
      <c r="AII136" s="1251"/>
      <c r="AIJ136" s="1251"/>
      <c r="AIK136" s="1251"/>
      <c r="AIL136" s="1251"/>
      <c r="AIM136" s="1251"/>
      <c r="AIN136" s="1251"/>
      <c r="AIO136" s="1251"/>
      <c r="AIP136" s="1251"/>
      <c r="AIQ136" s="1251"/>
      <c r="AIR136" s="1251"/>
      <c r="AIS136" s="1251"/>
      <c r="AIT136" s="1251"/>
      <c r="AIU136" s="1251"/>
      <c r="AIV136" s="1251"/>
      <c r="AIW136" s="1251"/>
      <c r="AIX136" s="1251"/>
      <c r="AIY136" s="1251"/>
      <c r="AIZ136" s="1251"/>
      <c r="AJA136" s="1251"/>
      <c r="AJB136" s="1251"/>
      <c r="AJC136" s="1251"/>
      <c r="AJD136" s="1251"/>
      <c r="AJE136" s="1251"/>
      <c r="AJF136" s="1251"/>
      <c r="AJG136" s="1251"/>
      <c r="AJH136" s="1251"/>
      <c r="AJI136" s="1251"/>
      <c r="AJJ136" s="1251"/>
      <c r="AJK136" s="1251"/>
      <c r="AJL136" s="1251"/>
      <c r="AJM136" s="1251"/>
      <c r="AJN136" s="1251"/>
      <c r="AJO136" s="1251"/>
      <c r="AJP136" s="1251"/>
      <c r="AJQ136" s="1251"/>
      <c r="AJR136" s="1251"/>
      <c r="AJS136" s="1251"/>
      <c r="AJT136" s="1251"/>
      <c r="AJU136" s="1251"/>
      <c r="AJV136" s="1251"/>
      <c r="AJW136" s="1251"/>
      <c r="AJX136" s="1251"/>
      <c r="AJY136" s="1251"/>
      <c r="AJZ136" s="1251"/>
      <c r="AKA136" s="1251"/>
      <c r="AKB136" s="1251"/>
      <c r="AKC136" s="1251"/>
      <c r="AKD136" s="1251"/>
      <c r="AKE136" s="1251"/>
      <c r="AKF136" s="1251"/>
      <c r="AKG136" s="1251"/>
      <c r="AKH136" s="1251"/>
      <c r="AKI136" s="1251"/>
      <c r="AKJ136" s="1251"/>
      <c r="AKK136" s="1251"/>
      <c r="AKL136" s="1251"/>
      <c r="AKM136" s="1251"/>
      <c r="AKN136" s="1251"/>
      <c r="AKO136" s="1251"/>
      <c r="AKP136" s="1251"/>
      <c r="AKQ136" s="1251"/>
      <c r="AKR136" s="1251"/>
      <c r="AKS136" s="1251"/>
      <c r="AKT136" s="1251"/>
      <c r="AKU136" s="1251"/>
      <c r="AKV136" s="1251"/>
      <c r="AKW136" s="1251"/>
      <c r="AKX136" s="1251"/>
      <c r="AKY136" s="1251"/>
      <c r="AKZ136" s="1251"/>
      <c r="ALA136" s="1251"/>
      <c r="ALB136" s="1251"/>
      <c r="ALC136" s="1251"/>
      <c r="ALD136" s="1251"/>
      <c r="ALE136" s="1251"/>
      <c r="ALF136" s="1251"/>
      <c r="ALG136" s="1251"/>
      <c r="ALH136" s="1251"/>
      <c r="ALI136" s="1251"/>
      <c r="ALJ136" s="1251"/>
      <c r="ALK136" s="1251"/>
      <c r="ALL136" s="1251"/>
      <c r="ALM136" s="1251"/>
      <c r="ALN136" s="1251"/>
      <c r="ALO136" s="1251"/>
      <c r="ALP136" s="1251"/>
      <c r="ALQ136" s="1251"/>
      <c r="ALR136" s="1251"/>
      <c r="ALS136" s="1251"/>
      <c r="ALT136" s="1251"/>
      <c r="ALU136" s="1251"/>
      <c r="ALV136" s="1251"/>
      <c r="ALW136" s="1251"/>
      <c r="ALX136" s="1251"/>
      <c r="ALY136" s="1251"/>
      <c r="ALZ136" s="1251"/>
      <c r="AMA136" s="1251"/>
      <c r="AMB136" s="1251"/>
      <c r="AMC136" s="1251"/>
      <c r="AMD136" s="1251"/>
      <c r="AME136" s="1251"/>
      <c r="AMF136" s="1251"/>
      <c r="AMG136" s="1251"/>
      <c r="AMH136" s="1251"/>
      <c r="AMI136" s="1251"/>
      <c r="AMJ136" s="1251"/>
      <c r="AMK136" s="1251"/>
      <c r="AML136" s="1251"/>
      <c r="AMM136" s="1251"/>
      <c r="AMN136" s="1251"/>
      <c r="AMO136" s="1251"/>
      <c r="AMP136" s="1251"/>
      <c r="AMQ136" s="1251"/>
      <c r="AMR136" s="1251"/>
      <c r="AMS136" s="1251"/>
      <c r="AMT136" s="1251"/>
      <c r="AMU136" s="1251"/>
      <c r="AMV136" s="1251"/>
      <c r="AMW136" s="1251"/>
      <c r="AMX136" s="1251"/>
      <c r="AMY136" s="1251"/>
      <c r="AMZ136" s="1251"/>
      <c r="ANA136" s="1251"/>
      <c r="ANB136" s="1251"/>
      <c r="ANC136" s="1251"/>
      <c r="AND136" s="1251"/>
      <c r="ANE136" s="1251"/>
      <c r="ANF136" s="1251"/>
      <c r="ANG136" s="1251"/>
      <c r="ANH136" s="1251"/>
      <c r="ANI136" s="1251"/>
      <c r="ANJ136" s="1251"/>
      <c r="ANK136" s="1251"/>
      <c r="ANL136" s="1251"/>
      <c r="ANM136" s="1251"/>
      <c r="ANN136" s="1251"/>
      <c r="ANO136" s="1251"/>
      <c r="ANP136" s="1251"/>
      <c r="ANQ136" s="1251"/>
      <c r="ANR136" s="1251"/>
      <c r="ANS136" s="1251"/>
      <c r="ANT136" s="1251"/>
      <c r="ANU136" s="1251"/>
      <c r="ANV136" s="1251"/>
      <c r="ANW136" s="1251"/>
      <c r="ANX136" s="1251"/>
      <c r="ANY136" s="1251"/>
      <c r="ANZ136" s="1251"/>
      <c r="AOA136" s="1251"/>
      <c r="AOB136" s="1251"/>
      <c r="AOC136" s="1251"/>
      <c r="AOD136" s="1251"/>
      <c r="AOE136" s="1251"/>
      <c r="AOF136" s="1251"/>
      <c r="AOG136" s="1251"/>
      <c r="AOH136" s="1251"/>
      <c r="AOI136" s="1251"/>
      <c r="AOJ136" s="1251"/>
      <c r="AOK136" s="1251"/>
      <c r="AOL136" s="1251"/>
      <c r="AOM136" s="1251"/>
      <c r="AON136" s="1251"/>
      <c r="AOO136" s="1251"/>
      <c r="AOP136" s="1251"/>
      <c r="AOQ136" s="1251"/>
      <c r="AOR136" s="1251"/>
      <c r="AOS136" s="1251"/>
      <c r="AOT136" s="1251"/>
      <c r="AOU136" s="1251"/>
      <c r="AOV136" s="1251"/>
      <c r="AOW136" s="1251"/>
      <c r="AOX136" s="1251"/>
      <c r="AOY136" s="1251"/>
      <c r="AOZ136" s="1251"/>
      <c r="APA136" s="1251"/>
      <c r="APB136" s="1251"/>
      <c r="APC136" s="1251"/>
      <c r="APD136" s="1251"/>
      <c r="APE136" s="1251"/>
      <c r="APF136" s="1251"/>
      <c r="APG136" s="1251"/>
      <c r="APH136" s="1251"/>
      <c r="API136" s="1251"/>
      <c r="APJ136" s="1251"/>
      <c r="APK136" s="1251"/>
      <c r="APL136" s="1251"/>
      <c r="APM136" s="1251"/>
      <c r="APN136" s="1251"/>
      <c r="APO136" s="1251"/>
      <c r="APP136" s="1251"/>
      <c r="APQ136" s="1251"/>
      <c r="APR136" s="1251"/>
      <c r="APS136" s="1251"/>
      <c r="APT136" s="1251"/>
      <c r="APU136" s="1251"/>
      <c r="APV136" s="1251"/>
      <c r="APW136" s="1251"/>
      <c r="APX136" s="1251"/>
      <c r="APY136" s="1251"/>
      <c r="APZ136" s="1251"/>
      <c r="AQA136" s="1251"/>
      <c r="AQB136" s="1251"/>
      <c r="AQC136" s="1251"/>
      <c r="AQD136" s="1251"/>
      <c r="AQE136" s="1251"/>
      <c r="AQF136" s="1251"/>
      <c r="AQG136" s="1251"/>
      <c r="AQH136" s="1251"/>
      <c r="AQI136" s="1251"/>
      <c r="AQJ136" s="1251"/>
      <c r="AQK136" s="1251"/>
      <c r="AQL136" s="1251"/>
      <c r="AQM136" s="1251"/>
      <c r="AQN136" s="1251"/>
      <c r="AQO136" s="1251"/>
      <c r="AQP136" s="1251"/>
      <c r="AQQ136" s="1251"/>
      <c r="AQR136" s="1251"/>
      <c r="AQS136" s="1251"/>
      <c r="AQT136" s="1251"/>
      <c r="AQU136" s="1251"/>
      <c r="AQV136" s="1251"/>
      <c r="AQW136" s="1251"/>
      <c r="AQX136" s="1251"/>
      <c r="AQY136" s="1251"/>
      <c r="AQZ136" s="1251"/>
      <c r="ARA136" s="1251"/>
      <c r="ARB136" s="1251"/>
      <c r="ARC136" s="1251"/>
      <c r="ARD136" s="1251"/>
      <c r="ARE136" s="1251"/>
      <c r="ARF136" s="1251"/>
      <c r="ARG136" s="1251"/>
      <c r="ARH136" s="1251"/>
      <c r="ARI136" s="1251"/>
      <c r="ARJ136" s="1251"/>
      <c r="ARK136" s="1251"/>
      <c r="ARL136" s="1251"/>
      <c r="ARM136" s="1251"/>
      <c r="ARN136" s="1251"/>
      <c r="ARO136" s="1251"/>
      <c r="ARP136" s="1251"/>
      <c r="ARQ136" s="1251"/>
      <c r="ARR136" s="1251"/>
      <c r="ARS136" s="1251"/>
      <c r="ART136" s="1251"/>
      <c r="ARU136" s="1251"/>
      <c r="ARV136" s="1251"/>
      <c r="ARW136" s="1251"/>
      <c r="ARX136" s="1251"/>
      <c r="ARY136" s="1251"/>
      <c r="ARZ136" s="1251"/>
      <c r="ASA136" s="1251"/>
      <c r="ASB136" s="1251"/>
      <c r="ASC136" s="1251"/>
      <c r="ASD136" s="1251"/>
      <c r="ASE136" s="1251"/>
      <c r="ASF136" s="1251"/>
      <c r="ASG136" s="1251"/>
      <c r="ASH136" s="1251"/>
      <c r="ASI136" s="1251"/>
      <c r="ASJ136" s="1251"/>
      <c r="ASK136" s="1251"/>
      <c r="ASL136" s="1251"/>
      <c r="ASM136" s="1251"/>
      <c r="ASN136" s="1251"/>
      <c r="ASO136" s="1251"/>
      <c r="ASP136" s="1251"/>
      <c r="ASQ136" s="1251"/>
      <c r="ASR136" s="1251"/>
      <c r="ASS136" s="1251"/>
      <c r="AST136" s="1251"/>
      <c r="ASU136" s="1251"/>
      <c r="ASV136" s="1251"/>
      <c r="ASW136" s="1251"/>
      <c r="ASX136" s="1251"/>
      <c r="ASY136" s="1251"/>
      <c r="ASZ136" s="1251"/>
      <c r="ATA136" s="1251"/>
      <c r="ATB136" s="1251"/>
      <c r="ATC136" s="1251"/>
      <c r="ATD136" s="1251"/>
      <c r="ATE136" s="1251"/>
      <c r="ATF136" s="1251"/>
      <c r="ATG136" s="1251"/>
      <c r="ATH136" s="1251"/>
      <c r="ATI136" s="1251"/>
      <c r="ATJ136" s="1251"/>
      <c r="ATK136" s="1251"/>
      <c r="ATL136" s="1251"/>
      <c r="ATM136" s="1251"/>
      <c r="ATN136" s="1251"/>
      <c r="ATO136" s="1251"/>
      <c r="ATP136" s="1251"/>
      <c r="ATQ136" s="1251"/>
      <c r="ATR136" s="1251"/>
      <c r="ATS136" s="1251"/>
      <c r="ATT136" s="1251"/>
      <c r="ATU136" s="1251"/>
      <c r="ATV136" s="1251"/>
      <c r="ATW136" s="1251"/>
      <c r="ATX136" s="1251"/>
      <c r="ATY136" s="1251"/>
      <c r="ATZ136" s="1251"/>
      <c r="AUA136" s="1251"/>
      <c r="AUB136" s="1251"/>
      <c r="AUC136" s="1251"/>
      <c r="AUD136" s="1251"/>
      <c r="AUE136" s="1251"/>
      <c r="AUF136" s="1251"/>
      <c r="AUG136" s="1251"/>
      <c r="AUH136" s="1251"/>
      <c r="AUI136" s="1251"/>
      <c r="AUJ136" s="1251"/>
      <c r="AUK136" s="1251"/>
      <c r="AUL136" s="1251"/>
      <c r="AUM136" s="1251"/>
      <c r="AUN136" s="1251"/>
      <c r="AUO136" s="1251"/>
      <c r="AUP136" s="1251"/>
      <c r="AUQ136" s="1251"/>
      <c r="AUR136" s="1251"/>
      <c r="AUS136" s="1251"/>
      <c r="AUT136" s="1251"/>
      <c r="AUU136" s="1251"/>
      <c r="AUV136" s="1251"/>
      <c r="AUW136" s="1251"/>
      <c r="AUX136" s="1251"/>
      <c r="AUY136" s="1251"/>
      <c r="AUZ136" s="1251"/>
      <c r="AVA136" s="1251"/>
      <c r="AVB136" s="1251"/>
      <c r="AVC136" s="1251"/>
      <c r="AVD136" s="1251"/>
      <c r="AVE136" s="1251"/>
      <c r="AVF136" s="1251"/>
      <c r="AVG136" s="1251"/>
      <c r="AVH136" s="1251"/>
      <c r="AVI136" s="1251"/>
      <c r="AVJ136" s="1251"/>
      <c r="AVK136" s="1251"/>
      <c r="AVL136" s="1251"/>
      <c r="AVM136" s="1251"/>
      <c r="AVN136" s="1251"/>
      <c r="AVO136" s="1251"/>
      <c r="AVP136" s="1251"/>
      <c r="AVQ136" s="1251"/>
      <c r="AVR136" s="1251"/>
      <c r="AVS136" s="1251"/>
      <c r="AVT136" s="1251"/>
      <c r="AVU136" s="1251"/>
      <c r="AVV136" s="1251"/>
      <c r="AVW136" s="1251"/>
      <c r="AVX136" s="1251"/>
      <c r="AVY136" s="1251"/>
      <c r="AVZ136" s="1251"/>
      <c r="AWA136" s="1251"/>
      <c r="AWB136" s="1251"/>
      <c r="AWC136" s="1251"/>
      <c r="AWD136" s="1251"/>
      <c r="AWE136" s="1251"/>
      <c r="AWF136" s="1251"/>
      <c r="AWG136" s="1251"/>
      <c r="AWH136" s="1251"/>
      <c r="AWI136" s="1251"/>
      <c r="AWJ136" s="1251"/>
      <c r="AWK136" s="1251"/>
      <c r="AWL136" s="1251"/>
      <c r="AWM136" s="1251"/>
      <c r="AWN136" s="1251"/>
      <c r="AWO136" s="1251"/>
      <c r="AWP136" s="1251"/>
      <c r="AWQ136" s="1251"/>
      <c r="AWR136" s="1251"/>
      <c r="AWS136" s="1251"/>
      <c r="AWT136" s="1251"/>
      <c r="AWU136" s="1251"/>
      <c r="AWV136" s="1251"/>
      <c r="AWW136" s="1251"/>
      <c r="AWX136" s="1251"/>
      <c r="AWY136" s="1251"/>
      <c r="AWZ136" s="1251"/>
      <c r="AXA136" s="1251"/>
      <c r="AXB136" s="1251"/>
      <c r="AXC136" s="1251"/>
      <c r="AXD136" s="1251"/>
      <c r="AXE136" s="1251"/>
      <c r="AXF136" s="1251"/>
      <c r="AXG136" s="1251"/>
      <c r="AXH136" s="1251"/>
      <c r="AXI136" s="1251"/>
      <c r="AXJ136" s="1251"/>
      <c r="AXK136" s="1251"/>
      <c r="AXL136" s="1251"/>
      <c r="AXM136" s="1251"/>
      <c r="AXN136" s="1251"/>
      <c r="AXO136" s="1251"/>
      <c r="AXP136" s="1251"/>
      <c r="AXQ136" s="1251"/>
      <c r="AXR136" s="1251"/>
      <c r="AXS136" s="1251"/>
      <c r="AXT136" s="1251"/>
      <c r="AXU136" s="1251"/>
      <c r="AXV136" s="1251"/>
      <c r="AXW136" s="1251"/>
      <c r="AXX136" s="1251"/>
      <c r="AXY136" s="1251"/>
      <c r="AXZ136" s="1251"/>
      <c r="AYA136" s="1251"/>
      <c r="AYB136" s="1251"/>
      <c r="AYC136" s="1251"/>
      <c r="AYD136" s="1251"/>
      <c r="AYE136" s="1251"/>
      <c r="AYF136" s="1251"/>
      <c r="AYG136" s="1251"/>
      <c r="AYH136" s="1251"/>
      <c r="AYI136" s="1251"/>
      <c r="AYJ136" s="1251"/>
      <c r="AYK136" s="1251"/>
      <c r="AYL136" s="1251"/>
      <c r="AYM136" s="1251"/>
      <c r="AYN136" s="1251"/>
      <c r="AYO136" s="1251"/>
      <c r="AYP136" s="1251"/>
      <c r="AYQ136" s="1251"/>
      <c r="AYR136" s="1251"/>
      <c r="AYS136" s="1251"/>
      <c r="AYT136" s="1251"/>
      <c r="AYU136" s="1251"/>
      <c r="AYV136" s="1251"/>
      <c r="AYW136" s="1251"/>
      <c r="AYX136" s="1251"/>
      <c r="AYY136" s="1251"/>
      <c r="AYZ136" s="1251"/>
      <c r="AZA136" s="1251"/>
      <c r="AZB136" s="1251"/>
      <c r="AZC136" s="1251"/>
      <c r="AZD136" s="1251"/>
      <c r="AZE136" s="1251"/>
      <c r="AZF136" s="1251"/>
      <c r="AZG136" s="1251"/>
      <c r="AZH136" s="1251"/>
      <c r="AZI136" s="1251"/>
      <c r="AZJ136" s="1251"/>
      <c r="AZK136" s="1251"/>
      <c r="AZL136" s="1251"/>
      <c r="AZM136" s="1251"/>
      <c r="AZN136" s="1251"/>
      <c r="AZO136" s="1251"/>
      <c r="AZP136" s="1251"/>
      <c r="AZQ136" s="1251"/>
      <c r="AZR136" s="1251"/>
      <c r="AZS136" s="1251"/>
      <c r="AZT136" s="1251"/>
      <c r="AZU136" s="1251"/>
      <c r="AZV136" s="1251"/>
      <c r="AZW136" s="1251"/>
      <c r="AZX136" s="1251"/>
      <c r="AZY136" s="1251"/>
      <c r="AZZ136" s="1251"/>
      <c r="BAA136" s="1251"/>
      <c r="BAB136" s="1251"/>
      <c r="BAC136" s="1251"/>
      <c r="BAD136" s="1251"/>
      <c r="BAE136" s="1251"/>
      <c r="BAF136" s="1251"/>
      <c r="BAG136" s="1251"/>
      <c r="BAH136" s="1251"/>
      <c r="BAI136" s="1251"/>
      <c r="BAJ136" s="1251"/>
      <c r="BAK136" s="1251"/>
      <c r="BAL136" s="1251"/>
      <c r="BAM136" s="1251"/>
      <c r="BAN136" s="1251"/>
      <c r="BAO136" s="1251"/>
      <c r="BAP136" s="1251"/>
      <c r="BAQ136" s="1251"/>
      <c r="BAR136" s="1251"/>
      <c r="BAS136" s="1251"/>
      <c r="BAT136" s="1251"/>
      <c r="BAU136" s="1251"/>
      <c r="BAV136" s="1251"/>
      <c r="BAW136" s="1251"/>
      <c r="BAX136" s="1251"/>
      <c r="BAY136" s="1251"/>
      <c r="BAZ136" s="1251"/>
      <c r="BBA136" s="1251"/>
      <c r="BBB136" s="1251"/>
      <c r="BBC136" s="1251"/>
      <c r="BBD136" s="1251"/>
      <c r="BBE136" s="1251"/>
      <c r="BBF136" s="1251"/>
      <c r="BBG136" s="1251"/>
      <c r="BBH136" s="1251"/>
      <c r="BBI136" s="1251"/>
      <c r="BBJ136" s="1251"/>
      <c r="BBK136" s="1251"/>
      <c r="BBL136" s="1251"/>
      <c r="BBM136" s="1251"/>
      <c r="BBN136" s="1251"/>
      <c r="BBO136" s="1251"/>
      <c r="BBP136" s="1251"/>
      <c r="BBQ136" s="1251"/>
      <c r="BBR136" s="1251"/>
      <c r="BBS136" s="1251"/>
      <c r="BBT136" s="1251"/>
      <c r="BBU136" s="1251"/>
      <c r="BBV136" s="1251"/>
      <c r="BBW136" s="1251"/>
      <c r="BBX136" s="1251"/>
      <c r="BBY136" s="1251"/>
      <c r="BBZ136" s="1251"/>
      <c r="BCA136" s="1251"/>
      <c r="BCB136" s="1251"/>
      <c r="BCC136" s="1251"/>
      <c r="BCD136" s="1251"/>
      <c r="BCE136" s="1251"/>
      <c r="BCF136" s="1251"/>
      <c r="BCG136" s="1251"/>
      <c r="BCH136" s="1251"/>
      <c r="BCI136" s="1251"/>
      <c r="BCJ136" s="1251"/>
      <c r="BCK136" s="1251"/>
      <c r="BCL136" s="1251"/>
      <c r="BCM136" s="1251"/>
      <c r="BCN136" s="1251"/>
      <c r="BCO136" s="1251"/>
      <c r="BCP136" s="1251"/>
      <c r="BCQ136" s="1251"/>
      <c r="BCR136" s="1251"/>
      <c r="BCS136" s="1251"/>
      <c r="BCT136" s="1251"/>
      <c r="BCU136" s="1251"/>
      <c r="BCV136" s="1251"/>
      <c r="BCW136" s="1251"/>
      <c r="BCX136" s="1251"/>
      <c r="BCY136" s="1251"/>
      <c r="BCZ136" s="1251"/>
      <c r="BDA136" s="1251"/>
      <c r="BDB136" s="1251"/>
      <c r="BDC136" s="1251"/>
      <c r="BDD136" s="1251"/>
      <c r="BDE136" s="1251"/>
      <c r="BDF136" s="1251"/>
      <c r="BDG136" s="1251"/>
      <c r="BDH136" s="1251"/>
      <c r="BDI136" s="1251"/>
      <c r="BDJ136" s="1251"/>
      <c r="BDK136" s="1251"/>
      <c r="BDL136" s="1251"/>
      <c r="BDM136" s="1251"/>
      <c r="BDN136" s="1251"/>
      <c r="BDO136" s="1251"/>
      <c r="BDP136" s="1251"/>
      <c r="BDQ136" s="1251"/>
      <c r="BDR136" s="1251"/>
      <c r="BDS136" s="1251"/>
      <c r="BDT136" s="1251"/>
      <c r="BDU136" s="1251"/>
      <c r="BDV136" s="1251"/>
      <c r="BDW136" s="1251"/>
      <c r="BDX136" s="1251"/>
      <c r="BDY136" s="1251"/>
      <c r="BDZ136" s="1251"/>
      <c r="BEA136" s="1251"/>
      <c r="BEB136" s="1251"/>
      <c r="BEC136" s="1251"/>
      <c r="BED136" s="1251"/>
      <c r="BEE136" s="1251"/>
      <c r="BEF136" s="1251"/>
      <c r="BEG136" s="1251"/>
      <c r="BEH136" s="1251"/>
      <c r="BEI136" s="1251"/>
      <c r="BEJ136" s="1251"/>
      <c r="BEK136" s="1251"/>
      <c r="BEL136" s="1251"/>
      <c r="BEM136" s="1251"/>
      <c r="BEN136" s="1251"/>
      <c r="BEO136" s="1251"/>
      <c r="BEP136" s="1251"/>
      <c r="BEQ136" s="1251"/>
      <c r="BER136" s="1251"/>
      <c r="BES136" s="1251"/>
      <c r="BET136" s="1251"/>
      <c r="BEU136" s="1251"/>
      <c r="BEV136" s="1251"/>
      <c r="BEW136" s="1251"/>
      <c r="BEX136" s="1251"/>
      <c r="BEY136" s="1251"/>
      <c r="BEZ136" s="1251"/>
      <c r="BFA136" s="1251"/>
      <c r="BFB136" s="1251"/>
      <c r="BFC136" s="1251"/>
      <c r="BFD136" s="1251"/>
      <c r="BFE136" s="1251"/>
      <c r="BFF136" s="1251"/>
      <c r="BFG136" s="1251"/>
      <c r="BFH136" s="1251"/>
      <c r="BFI136" s="1251"/>
      <c r="BFJ136" s="1251"/>
      <c r="BFK136" s="1251"/>
      <c r="BFL136" s="1251"/>
      <c r="BFM136" s="1251"/>
      <c r="BFN136" s="1251"/>
      <c r="BFO136" s="1251"/>
      <c r="BFP136" s="1251"/>
      <c r="BFQ136" s="1251"/>
      <c r="BFR136" s="1251"/>
      <c r="BFS136" s="1251"/>
      <c r="BFT136" s="1251"/>
      <c r="BFU136" s="1251"/>
      <c r="BFV136" s="1251"/>
      <c r="BFW136" s="1251"/>
      <c r="BFX136" s="1251"/>
      <c r="BFY136" s="1251"/>
      <c r="BFZ136" s="1251"/>
      <c r="BGA136" s="1251"/>
      <c r="BGB136" s="1251"/>
      <c r="BGC136" s="1251"/>
      <c r="BGD136" s="1251"/>
      <c r="BGE136" s="1251"/>
      <c r="BGF136" s="1251"/>
      <c r="BGG136" s="1251"/>
      <c r="BGH136" s="1251"/>
      <c r="BGI136" s="1251"/>
      <c r="BGJ136" s="1251"/>
      <c r="BGK136" s="1251"/>
      <c r="BGL136" s="1251"/>
      <c r="BGM136" s="1251"/>
      <c r="BGN136" s="1251"/>
      <c r="BGO136" s="1251"/>
      <c r="BGP136" s="1251"/>
      <c r="BGQ136" s="1251"/>
      <c r="BGR136" s="1251"/>
      <c r="BGS136" s="1251"/>
      <c r="BGT136" s="1251"/>
      <c r="BGU136" s="1251"/>
      <c r="BGV136" s="1251"/>
      <c r="BGW136" s="1251"/>
      <c r="BGX136" s="1251"/>
      <c r="BGY136" s="1251"/>
      <c r="BGZ136" s="1251"/>
      <c r="BHA136" s="1251"/>
      <c r="BHB136" s="1251"/>
      <c r="BHC136" s="1251"/>
      <c r="BHD136" s="1251"/>
      <c r="BHE136" s="1251"/>
      <c r="BHF136" s="1251"/>
      <c r="BHG136" s="1251"/>
      <c r="BHH136" s="1251"/>
      <c r="BHI136" s="1251"/>
      <c r="BHJ136" s="1251"/>
      <c r="BHK136" s="1251"/>
      <c r="BHL136" s="1251"/>
      <c r="BHM136" s="1251"/>
      <c r="BHN136" s="1251"/>
      <c r="BHO136" s="1251"/>
      <c r="BHP136" s="1251"/>
      <c r="BHQ136" s="1251"/>
      <c r="BHR136" s="1251"/>
      <c r="BHS136" s="1251"/>
      <c r="BHT136" s="1251"/>
      <c r="BHU136" s="1251"/>
      <c r="BHV136" s="1251"/>
      <c r="BHW136" s="1251"/>
      <c r="BHX136" s="1251"/>
      <c r="BHY136" s="1251"/>
      <c r="BHZ136" s="1251"/>
      <c r="BIA136" s="1251"/>
      <c r="BIB136" s="1251"/>
      <c r="BIC136" s="1251"/>
      <c r="BID136" s="1251"/>
      <c r="BIE136" s="1251"/>
      <c r="BIF136" s="1251"/>
      <c r="BIG136" s="1251"/>
      <c r="BIH136" s="1251"/>
      <c r="BII136" s="1251"/>
      <c r="BIJ136" s="1251"/>
      <c r="BIK136" s="1251"/>
      <c r="BIL136" s="1251"/>
      <c r="BIM136" s="1251"/>
      <c r="BIN136" s="1251"/>
      <c r="BIO136" s="1251"/>
      <c r="BIP136" s="1251"/>
      <c r="BIQ136" s="1251"/>
      <c r="BIR136" s="1251"/>
      <c r="BIS136" s="1251"/>
      <c r="BIT136" s="1251"/>
      <c r="BIU136" s="1251"/>
      <c r="BIV136" s="1251"/>
      <c r="BIW136" s="1251"/>
      <c r="BIX136" s="1251"/>
      <c r="BIY136" s="1251"/>
      <c r="BIZ136" s="1251"/>
      <c r="BJA136" s="1251"/>
      <c r="BJB136" s="1251"/>
      <c r="BJC136" s="1251"/>
      <c r="BJD136" s="1251"/>
      <c r="BJE136" s="1251"/>
      <c r="BJF136" s="1251"/>
      <c r="BJG136" s="1251"/>
      <c r="BJH136" s="1251"/>
      <c r="BJI136" s="1251"/>
      <c r="BJJ136" s="1251"/>
      <c r="BJK136" s="1251"/>
      <c r="BJL136" s="1251"/>
      <c r="BJM136" s="1251"/>
      <c r="BJN136" s="1251"/>
      <c r="BJO136" s="1251"/>
      <c r="BJP136" s="1251"/>
      <c r="BJQ136" s="1251"/>
      <c r="BJR136" s="1251"/>
      <c r="BJS136" s="1251"/>
      <c r="BJT136" s="1251"/>
      <c r="BJU136" s="1251"/>
      <c r="BJV136" s="1251"/>
      <c r="BJW136" s="1251"/>
      <c r="BJX136" s="1251"/>
      <c r="BJY136" s="1251"/>
      <c r="BJZ136" s="1251"/>
      <c r="BKA136" s="1251"/>
      <c r="BKB136" s="1251"/>
      <c r="BKC136" s="1251"/>
      <c r="BKD136" s="1251"/>
      <c r="BKE136" s="1251"/>
      <c r="BKF136" s="1251"/>
      <c r="BKG136" s="1251"/>
      <c r="BKH136" s="1251"/>
      <c r="BKI136" s="1251"/>
      <c r="BKJ136" s="1251"/>
      <c r="BKK136" s="1251"/>
      <c r="BKL136" s="1251"/>
      <c r="BKM136" s="1251"/>
      <c r="BKN136" s="1251"/>
      <c r="BKO136" s="1251"/>
      <c r="BKP136" s="1251"/>
      <c r="BKQ136" s="1251"/>
      <c r="BKR136" s="1251"/>
      <c r="BKS136" s="1251"/>
      <c r="BKT136" s="1251"/>
      <c r="BKU136" s="1251"/>
      <c r="BKV136" s="1251"/>
      <c r="BKW136" s="1251"/>
      <c r="BKX136" s="1251"/>
      <c r="BKY136" s="1251"/>
      <c r="BKZ136" s="1251"/>
      <c r="BLA136" s="1251"/>
      <c r="BLB136" s="1251"/>
      <c r="BLC136" s="1251"/>
      <c r="BLD136" s="1251"/>
      <c r="BLE136" s="1251"/>
      <c r="BLF136" s="1251"/>
      <c r="BLG136" s="1251"/>
      <c r="BLH136" s="1251"/>
      <c r="BLI136" s="1251"/>
      <c r="BLJ136" s="1251"/>
      <c r="BLK136" s="1251"/>
      <c r="BLL136" s="1251"/>
      <c r="BLM136" s="1251"/>
      <c r="BLN136" s="1251"/>
      <c r="BLO136" s="1251"/>
      <c r="BLP136" s="1251"/>
      <c r="BLQ136" s="1251"/>
      <c r="BLR136" s="1251"/>
      <c r="BLS136" s="1251"/>
      <c r="BLT136" s="1251"/>
      <c r="BLU136" s="1251"/>
      <c r="BLV136" s="1251"/>
      <c r="BLW136" s="1251"/>
      <c r="BLX136" s="1251"/>
      <c r="BLY136" s="1251"/>
      <c r="BLZ136" s="1251"/>
      <c r="BMA136" s="1251"/>
      <c r="BMB136" s="1251"/>
      <c r="BMC136" s="1251"/>
      <c r="BMD136" s="1251"/>
      <c r="BME136" s="1251"/>
      <c r="BMF136" s="1251"/>
      <c r="BMG136" s="1251"/>
      <c r="BMH136" s="1251"/>
      <c r="BMI136" s="1251"/>
      <c r="BMJ136" s="1251"/>
      <c r="BMK136" s="1251"/>
      <c r="BML136" s="1251"/>
      <c r="BMM136" s="1251"/>
      <c r="BMN136" s="1251"/>
      <c r="BMO136" s="1251"/>
      <c r="BMP136" s="1251"/>
      <c r="BMQ136" s="1251"/>
      <c r="BMR136" s="1251"/>
      <c r="BMS136" s="1251"/>
      <c r="BMT136" s="1251"/>
      <c r="BMU136" s="1251"/>
      <c r="BMV136" s="1251"/>
      <c r="BMW136" s="1251"/>
      <c r="BMX136" s="1251"/>
      <c r="BMY136" s="1251"/>
      <c r="BMZ136" s="1251"/>
      <c r="BNA136" s="1251"/>
      <c r="BNB136" s="1251"/>
      <c r="BNC136" s="1251"/>
      <c r="BND136" s="1251"/>
      <c r="BNE136" s="1251"/>
      <c r="BNF136" s="1251"/>
      <c r="BNG136" s="1251"/>
      <c r="BNH136" s="1251"/>
      <c r="BNI136" s="1251"/>
      <c r="BNJ136" s="1251"/>
      <c r="BNK136" s="1251"/>
      <c r="BNL136" s="1251"/>
      <c r="BNM136" s="1251"/>
      <c r="BNN136" s="1251"/>
      <c r="BNO136" s="1251"/>
      <c r="BNP136" s="1251"/>
      <c r="BNQ136" s="1251"/>
      <c r="BNR136" s="1251"/>
      <c r="BNS136" s="1251"/>
      <c r="BNT136" s="1251"/>
      <c r="BNU136" s="1251"/>
      <c r="BNV136" s="1251"/>
      <c r="BNW136" s="1251"/>
      <c r="BNX136" s="1251"/>
      <c r="BNY136" s="1251"/>
      <c r="BNZ136" s="1251"/>
      <c r="BOA136" s="1251"/>
      <c r="BOB136" s="1251"/>
      <c r="BOC136" s="1251"/>
      <c r="BOD136" s="1251"/>
      <c r="BOE136" s="1251"/>
      <c r="BOF136" s="1251"/>
      <c r="BOG136" s="1251"/>
      <c r="BOH136" s="1251"/>
      <c r="BOI136" s="1251"/>
      <c r="BOJ136" s="1251"/>
      <c r="BOK136" s="1251"/>
      <c r="BOL136" s="1251"/>
      <c r="BOM136" s="1251"/>
      <c r="BON136" s="1251"/>
      <c r="BOO136" s="1251"/>
      <c r="BOP136" s="1251"/>
      <c r="BOQ136" s="1251"/>
      <c r="BOR136" s="1251"/>
      <c r="BOS136" s="1251"/>
      <c r="BOT136" s="1251"/>
      <c r="BOU136" s="1251"/>
      <c r="BOV136" s="1251"/>
      <c r="BOW136" s="1251"/>
      <c r="BOX136" s="1251"/>
      <c r="BOY136" s="1251"/>
      <c r="BOZ136" s="1251"/>
      <c r="BPA136" s="1251"/>
      <c r="BPB136" s="1251"/>
      <c r="BPC136" s="1251"/>
      <c r="BPD136" s="1251"/>
      <c r="BPE136" s="1251"/>
      <c r="BPF136" s="1251"/>
      <c r="BPG136" s="1251"/>
      <c r="BPH136" s="1251"/>
      <c r="BPI136" s="1251"/>
      <c r="BPJ136" s="1251"/>
      <c r="BPK136" s="1251"/>
      <c r="BPL136" s="1251"/>
      <c r="BPM136" s="1251"/>
      <c r="BPN136" s="1251"/>
      <c r="BPO136" s="1251"/>
      <c r="BPP136" s="1251"/>
      <c r="BPQ136" s="1251"/>
      <c r="BPR136" s="1251"/>
      <c r="BPS136" s="1251"/>
      <c r="BPT136" s="1251"/>
      <c r="BPU136" s="1251"/>
      <c r="BPV136" s="1251"/>
      <c r="BPW136" s="1251"/>
      <c r="BPX136" s="1251"/>
      <c r="BPY136" s="1251"/>
      <c r="BPZ136" s="1251"/>
      <c r="BQA136" s="1251"/>
      <c r="BQB136" s="1251"/>
      <c r="BQC136" s="1251"/>
      <c r="BQD136" s="1251"/>
      <c r="BQE136" s="1251"/>
      <c r="BQF136" s="1251"/>
      <c r="BQG136" s="1251"/>
      <c r="BQH136" s="1251"/>
      <c r="BQI136" s="1251"/>
      <c r="BQJ136" s="1251"/>
      <c r="BQK136" s="1251"/>
      <c r="BQL136" s="1251"/>
      <c r="BQM136" s="1251"/>
      <c r="BQN136" s="1251"/>
      <c r="BQO136" s="1251"/>
      <c r="BQP136" s="1251"/>
      <c r="BQQ136" s="1251"/>
      <c r="BQR136" s="1251"/>
      <c r="BQS136" s="1251"/>
      <c r="BQT136" s="1251"/>
      <c r="BQU136" s="1251"/>
      <c r="BQV136" s="1251"/>
      <c r="BQW136" s="1251"/>
      <c r="BQX136" s="1251"/>
      <c r="BQY136" s="1251"/>
      <c r="BQZ136" s="1251"/>
      <c r="BRA136" s="1251"/>
      <c r="BRB136" s="1251"/>
      <c r="BRC136" s="1251"/>
      <c r="BRD136" s="1251"/>
      <c r="BRE136" s="1251"/>
      <c r="BRF136" s="1251"/>
      <c r="BRG136" s="1251"/>
      <c r="BRH136" s="1251"/>
      <c r="BRI136" s="1251"/>
      <c r="BRJ136" s="1251"/>
      <c r="BRK136" s="1251"/>
      <c r="BRL136" s="1251"/>
      <c r="BRM136" s="1251"/>
      <c r="BRN136" s="1251"/>
      <c r="BRO136" s="1251"/>
      <c r="BRP136" s="1251"/>
      <c r="BRQ136" s="1251"/>
      <c r="BRR136" s="1251"/>
      <c r="BRS136" s="1251"/>
      <c r="BRT136" s="1251"/>
      <c r="BRU136" s="1251"/>
      <c r="BRV136" s="1251"/>
      <c r="BRW136" s="1251"/>
      <c r="BRX136" s="1251"/>
      <c r="BRY136" s="1251"/>
      <c r="BRZ136" s="1251"/>
      <c r="BSA136" s="1251"/>
      <c r="BSB136" s="1251"/>
      <c r="BSC136" s="1251"/>
      <c r="BSD136" s="1251"/>
      <c r="BSE136" s="1251"/>
      <c r="BSF136" s="1251"/>
      <c r="BSG136" s="1251"/>
      <c r="BSH136" s="1251"/>
      <c r="BSI136" s="1251"/>
      <c r="BSJ136" s="1251"/>
      <c r="BSK136" s="1251"/>
      <c r="BSL136" s="1251"/>
      <c r="BSM136" s="1251"/>
      <c r="BSN136" s="1251"/>
      <c r="BSO136" s="1251"/>
      <c r="BSP136" s="1251"/>
      <c r="BSQ136" s="1251"/>
      <c r="BSR136" s="1251"/>
      <c r="BSS136" s="1251"/>
      <c r="BST136" s="1251"/>
      <c r="BSU136" s="1251"/>
      <c r="BSV136" s="1251"/>
      <c r="BSW136" s="1251"/>
      <c r="BSX136" s="1251"/>
      <c r="BSY136" s="1251"/>
      <c r="BSZ136" s="1251"/>
      <c r="BTA136" s="1251"/>
      <c r="BTB136" s="1251"/>
      <c r="BTC136" s="1251"/>
      <c r="BTD136" s="1251"/>
      <c r="BTE136" s="1251"/>
      <c r="BTF136" s="1251"/>
      <c r="BTG136" s="1251"/>
      <c r="BTH136" s="1251"/>
      <c r="BTI136" s="1251"/>
    </row>
    <row r="137" spans="1:1881" s="1261" customFormat="1" ht="75.75" hidden="1" customHeight="1" x14ac:dyDescent="0.3">
      <c r="A137" s="1265">
        <v>655</v>
      </c>
      <c r="B137" s="308" t="s">
        <v>37</v>
      </c>
      <c r="C137" s="308" t="s">
        <v>1385</v>
      </c>
      <c r="D137" s="308" t="s">
        <v>806</v>
      </c>
      <c r="E137" s="1249" t="e">
        <f>HLOOKUP($D$2,'2020 Data(H)'!$C$1:$CZ$426,308,FALSE)</f>
        <v>#N/A</v>
      </c>
      <c r="F137" s="1263">
        <v>0</v>
      </c>
      <c r="G137" s="727"/>
      <c r="H137" s="17"/>
      <c r="I137" s="760"/>
      <c r="J137" s="1251"/>
      <c r="K137" s="1251"/>
      <c r="L137" s="1251"/>
      <c r="M137" s="1251"/>
      <c r="N137" s="1253"/>
      <c r="O137" s="1251"/>
      <c r="P137" s="1251"/>
      <c r="Q137" s="1251"/>
      <c r="R137" s="1251"/>
      <c r="S137" s="1251"/>
      <c r="T137" s="1251"/>
      <c r="U137" s="1251"/>
      <c r="V137" s="1251"/>
      <c r="W137" s="1251"/>
      <c r="X137" s="1251"/>
      <c r="Y137" s="1251"/>
      <c r="Z137" s="1265"/>
      <c r="AA137" s="1265"/>
      <c r="AB137" s="1265"/>
      <c r="AC137" s="1265"/>
      <c r="AD137" s="1265"/>
      <c r="AE137" s="1265"/>
      <c r="AF137" s="1265"/>
      <c r="AG137" s="1265"/>
      <c r="AH137" s="1265"/>
      <c r="AI137" s="1265"/>
      <c r="AJ137" s="1265"/>
      <c r="AK137" s="1265"/>
      <c r="AL137" s="1265"/>
      <c r="AM137" s="1265"/>
      <c r="AN137" s="1265"/>
      <c r="AO137" s="1265"/>
      <c r="AP137" s="1265"/>
      <c r="AQ137" s="1265"/>
      <c r="AR137" s="1265"/>
      <c r="AS137" s="1251"/>
      <c r="AT137" s="1251"/>
      <c r="AU137" s="1251"/>
      <c r="AV137" s="1251"/>
      <c r="AW137" s="1251"/>
      <c r="AX137" s="1251"/>
      <c r="AY137" s="1251"/>
      <c r="AZ137" s="1251"/>
      <c r="BA137" s="1251"/>
      <c r="BB137" s="1251"/>
      <c r="BC137" s="1251"/>
      <c r="BD137" s="1251"/>
      <c r="BE137" s="1251"/>
      <c r="BF137" s="1251"/>
      <c r="BG137" s="1251"/>
      <c r="BH137" s="1251"/>
      <c r="BI137" s="1251"/>
      <c r="BJ137" s="1251"/>
      <c r="BK137" s="1251"/>
      <c r="BL137" s="1251"/>
      <c r="BM137" s="1251"/>
      <c r="BN137" s="1251"/>
      <c r="BO137" s="1251"/>
      <c r="BP137" s="1251"/>
      <c r="BQ137" s="1251"/>
      <c r="BR137" s="1251"/>
      <c r="BS137" s="1251"/>
      <c r="BT137" s="1251"/>
      <c r="BU137" s="1251"/>
      <c r="BV137" s="1251"/>
      <c r="BW137" s="1251"/>
      <c r="BX137" s="1251"/>
      <c r="BY137" s="1251"/>
      <c r="BZ137" s="1251"/>
      <c r="CA137" s="1251"/>
      <c r="CB137" s="1251"/>
      <c r="CC137" s="1251"/>
      <c r="CD137" s="1251"/>
      <c r="CE137" s="1251"/>
      <c r="CF137" s="1251"/>
      <c r="CG137" s="1251"/>
      <c r="CH137" s="1251"/>
      <c r="CI137" s="1251"/>
      <c r="CJ137" s="1251"/>
      <c r="CK137" s="1251"/>
      <c r="CL137" s="1251"/>
      <c r="CM137" s="1251"/>
      <c r="CN137" s="1251"/>
      <c r="CO137" s="1251"/>
      <c r="CP137" s="1251"/>
      <c r="CQ137" s="1251"/>
      <c r="CR137" s="1251"/>
      <c r="CS137" s="1251"/>
      <c r="CT137" s="1251"/>
      <c r="CU137" s="1251"/>
      <c r="CV137" s="1251"/>
      <c r="CW137" s="1251"/>
      <c r="CX137" s="1251"/>
      <c r="CY137" s="1251"/>
      <c r="CZ137" s="1251"/>
      <c r="DA137" s="1251"/>
      <c r="DB137" s="1251"/>
      <c r="DC137" s="1251"/>
      <c r="DD137" s="1251"/>
      <c r="DE137" s="1251"/>
      <c r="DF137" s="1251"/>
      <c r="DG137" s="1251"/>
      <c r="DH137" s="1251"/>
      <c r="DI137" s="1251"/>
      <c r="DJ137" s="1251"/>
      <c r="DK137" s="1251"/>
      <c r="DL137" s="1251"/>
      <c r="DM137" s="1251"/>
      <c r="DN137" s="1251"/>
      <c r="DO137" s="1251"/>
      <c r="DP137" s="1251"/>
      <c r="DQ137" s="1251"/>
      <c r="DR137" s="1251"/>
      <c r="DS137" s="1251"/>
      <c r="DT137" s="1251"/>
      <c r="DU137" s="1251"/>
      <c r="DV137" s="1251"/>
      <c r="DW137" s="1251"/>
      <c r="DX137" s="1251"/>
      <c r="DY137" s="1251"/>
      <c r="DZ137" s="1251"/>
      <c r="EA137" s="1251"/>
      <c r="EB137" s="1251"/>
      <c r="EC137" s="1251"/>
      <c r="ED137" s="1251"/>
      <c r="EE137" s="1251"/>
      <c r="EF137" s="1251"/>
      <c r="EG137" s="1251"/>
      <c r="EH137" s="1251"/>
      <c r="EI137" s="1251"/>
      <c r="EJ137" s="1251"/>
      <c r="EK137" s="1251"/>
      <c r="EL137" s="1251"/>
      <c r="EM137" s="1251"/>
      <c r="EN137" s="1251"/>
      <c r="EO137" s="1251"/>
      <c r="EP137" s="1251"/>
      <c r="EQ137" s="1251"/>
      <c r="ER137" s="1251"/>
      <c r="ES137" s="1251"/>
      <c r="ET137" s="1251"/>
      <c r="EU137" s="1251"/>
      <c r="EV137" s="1251"/>
      <c r="EW137" s="1251"/>
      <c r="EX137" s="1251"/>
      <c r="EY137" s="1251"/>
      <c r="EZ137" s="1251"/>
      <c r="FA137" s="1251"/>
      <c r="FB137" s="1251"/>
      <c r="FC137" s="1251"/>
      <c r="FD137" s="1251"/>
      <c r="FE137" s="1251"/>
      <c r="FF137" s="1251"/>
      <c r="FG137" s="1251"/>
      <c r="FH137" s="1251"/>
      <c r="FI137" s="1251"/>
      <c r="FJ137" s="1251"/>
      <c r="FK137" s="1251"/>
      <c r="FL137" s="1251"/>
      <c r="FM137" s="1251"/>
      <c r="FN137" s="1251"/>
      <c r="FO137" s="1251"/>
      <c r="FP137" s="1251"/>
      <c r="FQ137" s="1251"/>
      <c r="FR137" s="1251"/>
      <c r="FS137" s="1251"/>
      <c r="FT137" s="1251"/>
      <c r="FU137" s="1251"/>
      <c r="FV137" s="1251"/>
      <c r="FW137" s="1251"/>
      <c r="FX137" s="1251"/>
      <c r="FY137" s="1251"/>
      <c r="FZ137" s="1251"/>
      <c r="GA137" s="1251"/>
      <c r="GB137" s="1251"/>
      <c r="GC137" s="1251"/>
      <c r="GD137" s="1251"/>
      <c r="GE137" s="1251"/>
      <c r="GF137" s="1251"/>
      <c r="GG137" s="1251"/>
      <c r="GH137" s="1251"/>
      <c r="GI137" s="1251"/>
      <c r="GJ137" s="1251"/>
      <c r="GK137" s="1251"/>
      <c r="GL137" s="1251"/>
      <c r="GM137" s="1251"/>
      <c r="GN137" s="1251"/>
      <c r="GO137" s="1251"/>
      <c r="GP137" s="1251"/>
      <c r="GQ137" s="1251"/>
      <c r="GR137" s="1251"/>
      <c r="GS137" s="1251"/>
      <c r="GT137" s="1251"/>
      <c r="GU137" s="1251"/>
      <c r="GV137" s="1251"/>
      <c r="GW137" s="1251"/>
      <c r="GX137" s="1251"/>
      <c r="GY137" s="1251"/>
      <c r="GZ137" s="1251"/>
      <c r="HA137" s="1251"/>
      <c r="HB137" s="1251"/>
      <c r="HC137" s="1251"/>
      <c r="HD137" s="1251"/>
      <c r="HE137" s="1251"/>
      <c r="HF137" s="1251"/>
      <c r="HG137" s="1251"/>
      <c r="HH137" s="1251"/>
      <c r="HI137" s="1251"/>
      <c r="HJ137" s="1251"/>
      <c r="HK137" s="1251"/>
      <c r="HL137" s="1251"/>
      <c r="HM137" s="1251"/>
      <c r="HN137" s="1251"/>
      <c r="HO137" s="1251"/>
      <c r="HP137" s="1251"/>
      <c r="HQ137" s="1251"/>
      <c r="HR137" s="1251"/>
      <c r="HS137" s="1251"/>
      <c r="HT137" s="1251"/>
      <c r="HU137" s="1251"/>
      <c r="HV137" s="1251"/>
      <c r="HW137" s="1251"/>
      <c r="HX137" s="1251"/>
      <c r="HY137" s="1251"/>
      <c r="HZ137" s="1251"/>
      <c r="IA137" s="1251"/>
      <c r="IB137" s="1251"/>
      <c r="IC137" s="1251"/>
      <c r="ID137" s="1251"/>
      <c r="IE137" s="1251"/>
      <c r="IF137" s="1251"/>
      <c r="IG137" s="1251"/>
      <c r="IH137" s="1251"/>
      <c r="II137" s="1251"/>
      <c r="IJ137" s="1251"/>
      <c r="IK137" s="1251"/>
      <c r="IL137" s="1251"/>
      <c r="IM137" s="1251"/>
      <c r="IN137" s="1251"/>
      <c r="IO137" s="1251"/>
      <c r="IP137" s="1251"/>
      <c r="IQ137" s="1251"/>
      <c r="IR137" s="1251"/>
      <c r="IS137" s="1251"/>
      <c r="IT137" s="1251"/>
      <c r="IU137" s="1251"/>
      <c r="IV137" s="1251"/>
      <c r="IW137" s="1251"/>
      <c r="IX137" s="1251"/>
      <c r="IY137" s="1251"/>
      <c r="IZ137" s="1251"/>
      <c r="JA137" s="1251"/>
      <c r="JB137" s="1251"/>
      <c r="JC137" s="1251"/>
      <c r="JD137" s="1251"/>
      <c r="JE137" s="1251"/>
      <c r="JF137" s="1251"/>
      <c r="JG137" s="1251"/>
      <c r="JH137" s="1251"/>
      <c r="JI137" s="1251"/>
      <c r="JJ137" s="1251"/>
      <c r="JK137" s="1251"/>
      <c r="JL137" s="1251"/>
      <c r="JM137" s="1251"/>
      <c r="JN137" s="1251"/>
      <c r="JO137" s="1251"/>
      <c r="JP137" s="1251"/>
      <c r="JQ137" s="1251"/>
      <c r="JR137" s="1251"/>
      <c r="JS137" s="1251"/>
      <c r="JT137" s="1251"/>
      <c r="JU137" s="1251"/>
      <c r="JV137" s="1251"/>
      <c r="JW137" s="1251"/>
      <c r="JX137" s="1251"/>
      <c r="JY137" s="1251"/>
      <c r="JZ137" s="1251"/>
      <c r="KA137" s="1251"/>
      <c r="KB137" s="1251"/>
      <c r="KC137" s="1251"/>
      <c r="KD137" s="1251"/>
      <c r="KE137" s="1251"/>
      <c r="KF137" s="1251"/>
      <c r="KG137" s="1251"/>
      <c r="KH137" s="1251"/>
      <c r="KI137" s="1251"/>
      <c r="KJ137" s="1251"/>
      <c r="KK137" s="1251"/>
      <c r="KL137" s="1251"/>
      <c r="KM137" s="1251"/>
      <c r="KN137" s="1251"/>
      <c r="KO137" s="1251"/>
      <c r="KP137" s="1251"/>
      <c r="KQ137" s="1251"/>
      <c r="KR137" s="1251"/>
      <c r="KS137" s="1251"/>
      <c r="KT137" s="1251"/>
      <c r="KU137" s="1251"/>
      <c r="KV137" s="1251"/>
      <c r="KW137" s="1251"/>
      <c r="KX137" s="1251"/>
      <c r="KY137" s="1251"/>
      <c r="KZ137" s="1251"/>
      <c r="LA137" s="1251"/>
      <c r="LB137" s="1251"/>
      <c r="LC137" s="1251"/>
      <c r="LD137" s="1251"/>
      <c r="LE137" s="1251"/>
      <c r="LF137" s="1251"/>
      <c r="LG137" s="1251"/>
      <c r="LH137" s="1251"/>
      <c r="LI137" s="1251"/>
      <c r="LJ137" s="1251"/>
      <c r="LK137" s="1251"/>
      <c r="LL137" s="1251"/>
      <c r="LM137" s="1251"/>
      <c r="LN137" s="1251"/>
      <c r="LO137" s="1251"/>
      <c r="LP137" s="1251"/>
      <c r="LQ137" s="1251"/>
      <c r="LR137" s="1251"/>
      <c r="LS137" s="1251"/>
      <c r="LT137" s="1251"/>
      <c r="LU137" s="1251"/>
      <c r="LV137" s="1251"/>
      <c r="LW137" s="1251"/>
      <c r="LX137" s="1251"/>
      <c r="LY137" s="1251"/>
      <c r="LZ137" s="1251"/>
      <c r="MA137" s="1251"/>
      <c r="MB137" s="1251"/>
      <c r="MC137" s="1251"/>
      <c r="MD137" s="1251"/>
      <c r="ME137" s="1251"/>
      <c r="MF137" s="1251"/>
      <c r="MG137" s="1251"/>
      <c r="MH137" s="1251"/>
      <c r="MI137" s="1251"/>
      <c r="MJ137" s="1251"/>
      <c r="MK137" s="1251"/>
      <c r="ML137" s="1251"/>
      <c r="MM137" s="1251"/>
      <c r="MN137" s="1251"/>
      <c r="MO137" s="1251"/>
      <c r="MP137" s="1251"/>
      <c r="MQ137" s="1251"/>
      <c r="MR137" s="1251"/>
      <c r="MS137" s="1251"/>
      <c r="MT137" s="1251"/>
      <c r="MU137" s="1251"/>
      <c r="MV137" s="1251"/>
      <c r="MW137" s="1251"/>
      <c r="MX137" s="1251"/>
      <c r="MY137" s="1251"/>
      <c r="MZ137" s="1251"/>
      <c r="NA137" s="1251"/>
      <c r="NB137" s="1251"/>
      <c r="NC137" s="1251"/>
      <c r="ND137" s="1251"/>
      <c r="NE137" s="1251"/>
      <c r="NF137" s="1251"/>
      <c r="NG137" s="1251"/>
      <c r="NH137" s="1251"/>
      <c r="NI137" s="1251"/>
      <c r="NJ137" s="1251"/>
      <c r="NK137" s="1251"/>
      <c r="NL137" s="1251"/>
      <c r="NM137" s="1251"/>
      <c r="NN137" s="1251"/>
      <c r="NO137" s="1251"/>
      <c r="NP137" s="1251"/>
      <c r="NQ137" s="1251"/>
      <c r="NR137" s="1251"/>
      <c r="NS137" s="1251"/>
      <c r="NT137" s="1251"/>
      <c r="NU137" s="1251"/>
      <c r="NV137" s="1251"/>
      <c r="NW137" s="1251"/>
      <c r="NX137" s="1251"/>
      <c r="NY137" s="1251"/>
      <c r="NZ137" s="1251"/>
      <c r="OA137" s="1251"/>
      <c r="OB137" s="1251"/>
      <c r="OC137" s="1251"/>
      <c r="OD137" s="1251"/>
      <c r="OE137" s="1251"/>
      <c r="OF137" s="1251"/>
      <c r="OG137" s="1251"/>
      <c r="OH137" s="1251"/>
      <c r="OI137" s="1251"/>
      <c r="OJ137" s="1251"/>
      <c r="OK137" s="1251"/>
      <c r="OL137" s="1251"/>
      <c r="OM137" s="1251"/>
      <c r="ON137" s="1251"/>
      <c r="OO137" s="1251"/>
      <c r="OP137" s="1251"/>
      <c r="OQ137" s="1251"/>
      <c r="OR137" s="1251"/>
      <c r="OS137" s="1251"/>
      <c r="OT137" s="1251"/>
      <c r="OU137" s="1251"/>
      <c r="OV137" s="1251"/>
      <c r="OW137" s="1251"/>
      <c r="OX137" s="1251"/>
      <c r="OY137" s="1251"/>
      <c r="OZ137" s="1251"/>
      <c r="PA137" s="1251"/>
      <c r="PB137" s="1251"/>
      <c r="PC137" s="1251"/>
      <c r="PD137" s="1251"/>
      <c r="PE137" s="1251"/>
      <c r="PF137" s="1251"/>
      <c r="PG137" s="1251"/>
      <c r="PH137" s="1251"/>
      <c r="PI137" s="1251"/>
      <c r="PJ137" s="1251"/>
      <c r="PK137" s="1251"/>
      <c r="PL137" s="1251"/>
      <c r="PM137" s="1251"/>
      <c r="PN137" s="1251"/>
      <c r="PO137" s="1251"/>
      <c r="PP137" s="1251"/>
      <c r="PQ137" s="1251"/>
      <c r="PR137" s="1251"/>
      <c r="PS137" s="1251"/>
      <c r="PT137" s="1251"/>
      <c r="PU137" s="1251"/>
      <c r="PV137" s="1251"/>
      <c r="PW137" s="1251"/>
      <c r="PX137" s="1251"/>
      <c r="PY137" s="1251"/>
      <c r="PZ137" s="1251"/>
      <c r="QA137" s="1251"/>
      <c r="QB137" s="1251"/>
      <c r="QC137" s="1251"/>
      <c r="QD137" s="1251"/>
      <c r="QE137" s="1251"/>
      <c r="QF137" s="1251"/>
      <c r="QG137" s="1251"/>
      <c r="QH137" s="1251"/>
      <c r="QI137" s="1251"/>
      <c r="QJ137" s="1251"/>
      <c r="QK137" s="1251"/>
      <c r="QL137" s="1251"/>
      <c r="QM137" s="1251"/>
      <c r="QN137" s="1251"/>
      <c r="QO137" s="1251"/>
      <c r="QP137" s="1251"/>
      <c r="QQ137" s="1251"/>
      <c r="QR137" s="1251"/>
      <c r="QS137" s="1251"/>
      <c r="QT137" s="1251"/>
      <c r="QU137" s="1251"/>
      <c r="QV137" s="1251"/>
      <c r="QW137" s="1251"/>
      <c r="QX137" s="1251"/>
      <c r="QY137" s="1251"/>
      <c r="QZ137" s="1251"/>
      <c r="RA137" s="1251"/>
      <c r="RB137" s="1251"/>
      <c r="RC137" s="1251"/>
      <c r="RD137" s="1251"/>
      <c r="RE137" s="1251"/>
      <c r="RF137" s="1251"/>
      <c r="RG137" s="1251"/>
      <c r="RH137" s="1251"/>
      <c r="RI137" s="1251"/>
      <c r="RJ137" s="1251"/>
      <c r="RK137" s="1251"/>
      <c r="RL137" s="1251"/>
      <c r="RM137" s="1251"/>
      <c r="RN137" s="1251"/>
      <c r="RO137" s="1251"/>
      <c r="RP137" s="1251"/>
      <c r="RQ137" s="1251"/>
      <c r="RR137" s="1251"/>
      <c r="RS137" s="1251"/>
      <c r="RT137" s="1251"/>
      <c r="RU137" s="1251"/>
      <c r="RV137" s="1251"/>
      <c r="RW137" s="1251"/>
      <c r="RX137" s="1251"/>
      <c r="RY137" s="1251"/>
      <c r="RZ137" s="1251"/>
      <c r="SA137" s="1251"/>
      <c r="SB137" s="1251"/>
      <c r="SC137" s="1251"/>
      <c r="SD137" s="1251"/>
      <c r="SE137" s="1251"/>
      <c r="SF137" s="1251"/>
      <c r="SG137" s="1251"/>
      <c r="SH137" s="1251"/>
      <c r="SI137" s="1251"/>
      <c r="SJ137" s="1251"/>
      <c r="SK137" s="1251"/>
      <c r="SL137" s="1251"/>
      <c r="SM137" s="1251"/>
      <c r="SN137" s="1251"/>
      <c r="SO137" s="1251"/>
      <c r="SP137" s="1251"/>
      <c r="SQ137" s="1251"/>
      <c r="SR137" s="1251"/>
      <c r="SS137" s="1251"/>
      <c r="ST137" s="1251"/>
      <c r="SU137" s="1251"/>
      <c r="SV137" s="1251"/>
      <c r="SW137" s="1251"/>
      <c r="SX137" s="1251"/>
      <c r="SY137" s="1251"/>
      <c r="SZ137" s="1251"/>
      <c r="TA137" s="1251"/>
      <c r="TB137" s="1251"/>
      <c r="TC137" s="1251"/>
      <c r="TD137" s="1251"/>
      <c r="TE137" s="1251"/>
      <c r="TF137" s="1251"/>
      <c r="TG137" s="1251"/>
      <c r="TH137" s="1251"/>
      <c r="TI137" s="1251"/>
      <c r="TJ137" s="1251"/>
      <c r="TK137" s="1251"/>
      <c r="TL137" s="1251"/>
      <c r="TM137" s="1251"/>
      <c r="TN137" s="1251"/>
      <c r="TO137" s="1251"/>
      <c r="TP137" s="1251"/>
      <c r="TQ137" s="1251"/>
      <c r="TR137" s="1251"/>
      <c r="TS137" s="1251"/>
      <c r="TT137" s="1251"/>
      <c r="TU137" s="1251"/>
      <c r="TV137" s="1251"/>
      <c r="TW137" s="1251"/>
      <c r="TX137" s="1251"/>
      <c r="TY137" s="1251"/>
      <c r="TZ137" s="1251"/>
      <c r="UA137" s="1251"/>
      <c r="UB137" s="1251"/>
      <c r="UC137" s="1251"/>
      <c r="UD137" s="1251"/>
      <c r="UE137" s="1251"/>
      <c r="UF137" s="1251"/>
      <c r="UG137" s="1251"/>
      <c r="UH137" s="1251"/>
      <c r="UI137" s="1251"/>
      <c r="UJ137" s="1251"/>
      <c r="UK137" s="1251"/>
      <c r="UL137" s="1251"/>
      <c r="UM137" s="1251"/>
      <c r="UN137" s="1251"/>
      <c r="UO137" s="1251"/>
      <c r="UP137" s="1251"/>
      <c r="UQ137" s="1251"/>
      <c r="UR137" s="1251"/>
      <c r="US137" s="1251"/>
      <c r="UT137" s="1251"/>
      <c r="UU137" s="1251"/>
      <c r="UV137" s="1251"/>
      <c r="UW137" s="1251"/>
      <c r="UX137" s="1251"/>
      <c r="UY137" s="1251"/>
      <c r="UZ137" s="1251"/>
      <c r="VA137" s="1251"/>
      <c r="VB137" s="1251"/>
      <c r="VC137" s="1251"/>
      <c r="VD137" s="1251"/>
      <c r="VE137" s="1251"/>
      <c r="VF137" s="1251"/>
      <c r="VG137" s="1251"/>
      <c r="VH137" s="1251"/>
      <c r="VI137" s="1251"/>
      <c r="VJ137" s="1251"/>
      <c r="VK137" s="1251"/>
      <c r="VL137" s="1251"/>
      <c r="VM137" s="1251"/>
      <c r="VN137" s="1251"/>
      <c r="VO137" s="1251"/>
      <c r="VP137" s="1251"/>
      <c r="VQ137" s="1251"/>
      <c r="VR137" s="1251"/>
      <c r="VS137" s="1251"/>
      <c r="VT137" s="1251"/>
      <c r="VU137" s="1251"/>
      <c r="VV137" s="1251"/>
      <c r="VW137" s="1251"/>
      <c r="VX137" s="1251"/>
      <c r="VY137" s="1251"/>
      <c r="VZ137" s="1251"/>
      <c r="WA137" s="1251"/>
      <c r="WB137" s="1251"/>
      <c r="WC137" s="1251"/>
      <c r="WD137" s="1251"/>
      <c r="WE137" s="1251"/>
      <c r="WF137" s="1251"/>
      <c r="WG137" s="1251"/>
      <c r="WH137" s="1251"/>
      <c r="WI137" s="1251"/>
      <c r="WJ137" s="1251"/>
      <c r="WK137" s="1251"/>
      <c r="WL137" s="1251"/>
      <c r="WM137" s="1251"/>
      <c r="WN137" s="1251"/>
      <c r="WO137" s="1251"/>
      <c r="WP137" s="1251"/>
      <c r="WQ137" s="1251"/>
      <c r="WR137" s="1251"/>
      <c r="WS137" s="1251"/>
      <c r="WT137" s="1251"/>
      <c r="WU137" s="1251"/>
      <c r="WV137" s="1251"/>
      <c r="WW137" s="1251"/>
      <c r="WX137" s="1251"/>
      <c r="WY137" s="1251"/>
      <c r="WZ137" s="1251"/>
      <c r="XA137" s="1251"/>
      <c r="XB137" s="1251"/>
      <c r="XC137" s="1251"/>
      <c r="XD137" s="1251"/>
      <c r="XE137" s="1251"/>
      <c r="XF137" s="1251"/>
      <c r="XG137" s="1251"/>
      <c r="XH137" s="1251"/>
      <c r="XI137" s="1251"/>
      <c r="XJ137" s="1251"/>
      <c r="XK137" s="1251"/>
      <c r="XL137" s="1251"/>
      <c r="XM137" s="1251"/>
      <c r="XN137" s="1251"/>
      <c r="XO137" s="1251"/>
      <c r="XP137" s="1251"/>
      <c r="XQ137" s="1251"/>
      <c r="XR137" s="1251"/>
      <c r="XS137" s="1251"/>
      <c r="XT137" s="1251"/>
      <c r="XU137" s="1251"/>
      <c r="XV137" s="1251"/>
      <c r="XW137" s="1251"/>
      <c r="XX137" s="1251"/>
      <c r="XY137" s="1251"/>
      <c r="XZ137" s="1251"/>
      <c r="YA137" s="1251"/>
      <c r="YB137" s="1251"/>
      <c r="YC137" s="1251"/>
      <c r="YD137" s="1251"/>
      <c r="YE137" s="1251"/>
      <c r="YF137" s="1251"/>
      <c r="YG137" s="1251"/>
      <c r="YH137" s="1251"/>
      <c r="YI137" s="1251"/>
      <c r="YJ137" s="1251"/>
      <c r="YK137" s="1251"/>
      <c r="YL137" s="1251"/>
      <c r="YM137" s="1251"/>
      <c r="YN137" s="1251"/>
      <c r="YO137" s="1251"/>
      <c r="YP137" s="1251"/>
      <c r="YQ137" s="1251"/>
      <c r="YR137" s="1251"/>
      <c r="YS137" s="1251"/>
      <c r="YT137" s="1251"/>
      <c r="YU137" s="1251"/>
      <c r="YV137" s="1251"/>
      <c r="YW137" s="1251"/>
      <c r="YX137" s="1251"/>
      <c r="YY137" s="1251"/>
      <c r="YZ137" s="1251"/>
      <c r="ZA137" s="1251"/>
      <c r="ZB137" s="1251"/>
      <c r="ZC137" s="1251"/>
      <c r="ZD137" s="1251"/>
      <c r="ZE137" s="1251"/>
      <c r="ZF137" s="1251"/>
      <c r="ZG137" s="1251"/>
      <c r="ZH137" s="1251"/>
      <c r="ZI137" s="1251"/>
      <c r="ZJ137" s="1251"/>
      <c r="ZK137" s="1251"/>
      <c r="ZL137" s="1251"/>
      <c r="ZM137" s="1251"/>
      <c r="ZN137" s="1251"/>
      <c r="ZO137" s="1251"/>
      <c r="ZP137" s="1251"/>
      <c r="ZQ137" s="1251"/>
      <c r="ZR137" s="1251"/>
      <c r="ZS137" s="1251"/>
      <c r="ZT137" s="1251"/>
      <c r="ZU137" s="1251"/>
      <c r="ZV137" s="1251"/>
      <c r="ZW137" s="1251"/>
      <c r="ZX137" s="1251"/>
      <c r="ZY137" s="1251"/>
      <c r="ZZ137" s="1251"/>
      <c r="AAA137" s="1251"/>
      <c r="AAB137" s="1251"/>
      <c r="AAC137" s="1251"/>
      <c r="AAD137" s="1251"/>
      <c r="AAE137" s="1251"/>
      <c r="AAF137" s="1251"/>
      <c r="AAG137" s="1251"/>
      <c r="AAH137" s="1251"/>
      <c r="AAI137" s="1251"/>
      <c r="AAJ137" s="1251"/>
      <c r="AAK137" s="1251"/>
      <c r="AAL137" s="1251"/>
      <c r="AAM137" s="1251"/>
      <c r="AAN137" s="1251"/>
      <c r="AAO137" s="1251"/>
      <c r="AAP137" s="1251"/>
      <c r="AAQ137" s="1251"/>
      <c r="AAR137" s="1251"/>
      <c r="AAS137" s="1251"/>
      <c r="AAT137" s="1251"/>
      <c r="AAU137" s="1251"/>
      <c r="AAV137" s="1251"/>
      <c r="AAW137" s="1251"/>
      <c r="AAX137" s="1251"/>
      <c r="AAY137" s="1251"/>
      <c r="AAZ137" s="1251"/>
      <c r="ABA137" s="1251"/>
      <c r="ABB137" s="1251"/>
      <c r="ABC137" s="1251"/>
      <c r="ABD137" s="1251"/>
      <c r="ABE137" s="1251"/>
      <c r="ABF137" s="1251"/>
      <c r="ABG137" s="1251"/>
      <c r="ABH137" s="1251"/>
      <c r="ABI137" s="1251"/>
      <c r="ABJ137" s="1251"/>
      <c r="ABK137" s="1251"/>
      <c r="ABL137" s="1251"/>
      <c r="ABM137" s="1251"/>
      <c r="ABN137" s="1251"/>
      <c r="ABO137" s="1251"/>
      <c r="ABP137" s="1251"/>
      <c r="ABQ137" s="1251"/>
      <c r="ABR137" s="1251"/>
      <c r="ABS137" s="1251"/>
      <c r="ABT137" s="1251"/>
      <c r="ABU137" s="1251"/>
      <c r="ABV137" s="1251"/>
      <c r="ABW137" s="1251"/>
      <c r="ABX137" s="1251"/>
      <c r="ABY137" s="1251"/>
      <c r="ABZ137" s="1251"/>
      <c r="ACA137" s="1251"/>
      <c r="ACB137" s="1251"/>
      <c r="ACC137" s="1251"/>
      <c r="ACD137" s="1251"/>
      <c r="ACE137" s="1251"/>
      <c r="ACF137" s="1251"/>
      <c r="ACG137" s="1251"/>
      <c r="ACH137" s="1251"/>
      <c r="ACI137" s="1251"/>
      <c r="ACJ137" s="1251"/>
      <c r="ACK137" s="1251"/>
      <c r="ACL137" s="1251"/>
      <c r="ACM137" s="1251"/>
      <c r="ACN137" s="1251"/>
      <c r="ACO137" s="1251"/>
      <c r="ACP137" s="1251"/>
      <c r="ACQ137" s="1251"/>
      <c r="ACR137" s="1251"/>
      <c r="ACS137" s="1251"/>
      <c r="ACT137" s="1251"/>
      <c r="ACU137" s="1251"/>
      <c r="ACV137" s="1251"/>
      <c r="ACW137" s="1251"/>
      <c r="ACX137" s="1251"/>
      <c r="ACY137" s="1251"/>
      <c r="ACZ137" s="1251"/>
      <c r="ADA137" s="1251"/>
      <c r="ADB137" s="1251"/>
      <c r="ADC137" s="1251"/>
      <c r="ADD137" s="1251"/>
      <c r="ADE137" s="1251"/>
      <c r="ADF137" s="1251"/>
      <c r="ADG137" s="1251"/>
      <c r="ADH137" s="1251"/>
      <c r="ADI137" s="1251"/>
      <c r="ADJ137" s="1251"/>
      <c r="ADK137" s="1251"/>
      <c r="ADL137" s="1251"/>
      <c r="ADM137" s="1251"/>
      <c r="ADN137" s="1251"/>
      <c r="ADO137" s="1251"/>
      <c r="ADP137" s="1251"/>
      <c r="ADQ137" s="1251"/>
      <c r="ADR137" s="1251"/>
      <c r="ADS137" s="1251"/>
      <c r="ADT137" s="1251"/>
      <c r="ADU137" s="1251"/>
      <c r="ADV137" s="1251"/>
      <c r="ADW137" s="1251"/>
      <c r="ADX137" s="1251"/>
      <c r="ADY137" s="1251"/>
      <c r="ADZ137" s="1251"/>
      <c r="AEA137" s="1251"/>
      <c r="AEB137" s="1251"/>
      <c r="AEC137" s="1251"/>
      <c r="AED137" s="1251"/>
      <c r="AEE137" s="1251"/>
      <c r="AEF137" s="1251"/>
      <c r="AEG137" s="1251"/>
      <c r="AEH137" s="1251"/>
      <c r="AEI137" s="1251"/>
      <c r="AEJ137" s="1251"/>
      <c r="AEK137" s="1251"/>
      <c r="AEL137" s="1251"/>
      <c r="AEM137" s="1251"/>
      <c r="AEN137" s="1251"/>
      <c r="AEO137" s="1251"/>
      <c r="AEP137" s="1251"/>
      <c r="AEQ137" s="1251"/>
      <c r="AER137" s="1251"/>
      <c r="AES137" s="1251"/>
      <c r="AET137" s="1251"/>
      <c r="AEU137" s="1251"/>
      <c r="AEV137" s="1251"/>
      <c r="AEW137" s="1251"/>
      <c r="AEX137" s="1251"/>
      <c r="AEY137" s="1251"/>
      <c r="AEZ137" s="1251"/>
      <c r="AFA137" s="1251"/>
      <c r="AFB137" s="1251"/>
      <c r="AFC137" s="1251"/>
      <c r="AFD137" s="1251"/>
      <c r="AFE137" s="1251"/>
      <c r="AFF137" s="1251"/>
      <c r="AFG137" s="1251"/>
      <c r="AFH137" s="1251"/>
      <c r="AFI137" s="1251"/>
      <c r="AFJ137" s="1251"/>
      <c r="AFK137" s="1251"/>
      <c r="AFL137" s="1251"/>
      <c r="AFM137" s="1251"/>
      <c r="AFN137" s="1251"/>
      <c r="AFO137" s="1251"/>
      <c r="AFP137" s="1251"/>
      <c r="AFQ137" s="1251"/>
      <c r="AFR137" s="1251"/>
      <c r="AFS137" s="1251"/>
      <c r="AFT137" s="1251"/>
      <c r="AFU137" s="1251"/>
      <c r="AFV137" s="1251"/>
      <c r="AFW137" s="1251"/>
      <c r="AFX137" s="1251"/>
      <c r="AFY137" s="1251"/>
      <c r="AFZ137" s="1251"/>
      <c r="AGA137" s="1251"/>
      <c r="AGB137" s="1251"/>
      <c r="AGC137" s="1251"/>
      <c r="AGD137" s="1251"/>
      <c r="AGE137" s="1251"/>
      <c r="AGF137" s="1251"/>
      <c r="AGG137" s="1251"/>
      <c r="AGH137" s="1251"/>
      <c r="AGI137" s="1251"/>
      <c r="AGJ137" s="1251"/>
      <c r="AGK137" s="1251"/>
      <c r="AGL137" s="1251"/>
      <c r="AGM137" s="1251"/>
      <c r="AGN137" s="1251"/>
      <c r="AGO137" s="1251"/>
      <c r="AGP137" s="1251"/>
      <c r="AGQ137" s="1251"/>
      <c r="AGR137" s="1251"/>
      <c r="AGS137" s="1251"/>
      <c r="AGT137" s="1251"/>
      <c r="AGU137" s="1251"/>
      <c r="AGV137" s="1251"/>
      <c r="AGW137" s="1251"/>
      <c r="AGX137" s="1251"/>
      <c r="AGY137" s="1251"/>
      <c r="AGZ137" s="1251"/>
      <c r="AHA137" s="1251"/>
      <c r="AHB137" s="1251"/>
      <c r="AHC137" s="1251"/>
      <c r="AHD137" s="1251"/>
      <c r="AHE137" s="1251"/>
      <c r="AHF137" s="1251"/>
      <c r="AHG137" s="1251"/>
      <c r="AHH137" s="1251"/>
      <c r="AHI137" s="1251"/>
      <c r="AHJ137" s="1251"/>
      <c r="AHK137" s="1251"/>
      <c r="AHL137" s="1251"/>
      <c r="AHM137" s="1251"/>
      <c r="AHN137" s="1251"/>
      <c r="AHO137" s="1251"/>
      <c r="AHP137" s="1251"/>
      <c r="AHQ137" s="1251"/>
      <c r="AHR137" s="1251"/>
      <c r="AHS137" s="1251"/>
      <c r="AHT137" s="1251"/>
      <c r="AHU137" s="1251"/>
      <c r="AHV137" s="1251"/>
      <c r="AHW137" s="1251"/>
      <c r="AHX137" s="1251"/>
      <c r="AHY137" s="1251"/>
      <c r="AHZ137" s="1251"/>
      <c r="AIA137" s="1251"/>
      <c r="AIB137" s="1251"/>
      <c r="AIC137" s="1251"/>
      <c r="AID137" s="1251"/>
      <c r="AIE137" s="1251"/>
      <c r="AIF137" s="1251"/>
      <c r="AIG137" s="1251"/>
      <c r="AIH137" s="1251"/>
      <c r="AII137" s="1251"/>
      <c r="AIJ137" s="1251"/>
      <c r="AIK137" s="1251"/>
      <c r="AIL137" s="1251"/>
      <c r="AIM137" s="1251"/>
      <c r="AIN137" s="1251"/>
      <c r="AIO137" s="1251"/>
      <c r="AIP137" s="1251"/>
      <c r="AIQ137" s="1251"/>
      <c r="AIR137" s="1251"/>
      <c r="AIS137" s="1251"/>
      <c r="AIT137" s="1251"/>
      <c r="AIU137" s="1251"/>
      <c r="AIV137" s="1251"/>
      <c r="AIW137" s="1251"/>
      <c r="AIX137" s="1251"/>
      <c r="AIY137" s="1251"/>
      <c r="AIZ137" s="1251"/>
      <c r="AJA137" s="1251"/>
      <c r="AJB137" s="1251"/>
      <c r="AJC137" s="1251"/>
      <c r="AJD137" s="1251"/>
      <c r="AJE137" s="1251"/>
      <c r="AJF137" s="1251"/>
      <c r="AJG137" s="1251"/>
      <c r="AJH137" s="1251"/>
      <c r="AJI137" s="1251"/>
      <c r="AJJ137" s="1251"/>
      <c r="AJK137" s="1251"/>
      <c r="AJL137" s="1251"/>
      <c r="AJM137" s="1251"/>
      <c r="AJN137" s="1251"/>
      <c r="AJO137" s="1251"/>
      <c r="AJP137" s="1251"/>
      <c r="AJQ137" s="1251"/>
      <c r="AJR137" s="1251"/>
      <c r="AJS137" s="1251"/>
      <c r="AJT137" s="1251"/>
      <c r="AJU137" s="1251"/>
      <c r="AJV137" s="1251"/>
      <c r="AJW137" s="1251"/>
      <c r="AJX137" s="1251"/>
      <c r="AJY137" s="1251"/>
      <c r="AJZ137" s="1251"/>
      <c r="AKA137" s="1251"/>
      <c r="AKB137" s="1251"/>
      <c r="AKC137" s="1251"/>
      <c r="AKD137" s="1251"/>
      <c r="AKE137" s="1251"/>
      <c r="AKF137" s="1251"/>
      <c r="AKG137" s="1251"/>
      <c r="AKH137" s="1251"/>
      <c r="AKI137" s="1251"/>
      <c r="AKJ137" s="1251"/>
      <c r="AKK137" s="1251"/>
      <c r="AKL137" s="1251"/>
      <c r="AKM137" s="1251"/>
      <c r="AKN137" s="1251"/>
      <c r="AKO137" s="1251"/>
      <c r="AKP137" s="1251"/>
      <c r="AKQ137" s="1251"/>
      <c r="AKR137" s="1251"/>
      <c r="AKS137" s="1251"/>
      <c r="AKT137" s="1251"/>
      <c r="AKU137" s="1251"/>
      <c r="AKV137" s="1251"/>
      <c r="AKW137" s="1251"/>
      <c r="AKX137" s="1251"/>
      <c r="AKY137" s="1251"/>
      <c r="AKZ137" s="1251"/>
      <c r="ALA137" s="1251"/>
      <c r="ALB137" s="1251"/>
      <c r="ALC137" s="1251"/>
      <c r="ALD137" s="1251"/>
      <c r="ALE137" s="1251"/>
      <c r="ALF137" s="1251"/>
      <c r="ALG137" s="1251"/>
      <c r="ALH137" s="1251"/>
      <c r="ALI137" s="1251"/>
      <c r="ALJ137" s="1251"/>
      <c r="ALK137" s="1251"/>
      <c r="ALL137" s="1251"/>
      <c r="ALM137" s="1251"/>
      <c r="ALN137" s="1251"/>
      <c r="ALO137" s="1251"/>
      <c r="ALP137" s="1251"/>
      <c r="ALQ137" s="1251"/>
      <c r="ALR137" s="1251"/>
      <c r="ALS137" s="1251"/>
      <c r="ALT137" s="1251"/>
      <c r="ALU137" s="1251"/>
      <c r="ALV137" s="1251"/>
      <c r="ALW137" s="1251"/>
      <c r="ALX137" s="1251"/>
      <c r="ALY137" s="1251"/>
      <c r="ALZ137" s="1251"/>
      <c r="AMA137" s="1251"/>
      <c r="AMB137" s="1251"/>
      <c r="AMC137" s="1251"/>
      <c r="AMD137" s="1251"/>
      <c r="AME137" s="1251"/>
      <c r="AMF137" s="1251"/>
      <c r="AMG137" s="1251"/>
      <c r="AMH137" s="1251"/>
      <c r="AMI137" s="1251"/>
      <c r="AMJ137" s="1251"/>
      <c r="AMK137" s="1251"/>
      <c r="AML137" s="1251"/>
      <c r="AMM137" s="1251"/>
      <c r="AMN137" s="1251"/>
      <c r="AMO137" s="1251"/>
      <c r="AMP137" s="1251"/>
      <c r="AMQ137" s="1251"/>
      <c r="AMR137" s="1251"/>
      <c r="AMS137" s="1251"/>
      <c r="AMT137" s="1251"/>
      <c r="AMU137" s="1251"/>
      <c r="AMV137" s="1251"/>
      <c r="AMW137" s="1251"/>
      <c r="AMX137" s="1251"/>
      <c r="AMY137" s="1251"/>
      <c r="AMZ137" s="1251"/>
      <c r="ANA137" s="1251"/>
      <c r="ANB137" s="1251"/>
      <c r="ANC137" s="1251"/>
      <c r="AND137" s="1251"/>
      <c r="ANE137" s="1251"/>
      <c r="ANF137" s="1251"/>
      <c r="ANG137" s="1251"/>
      <c r="ANH137" s="1251"/>
      <c r="ANI137" s="1251"/>
      <c r="ANJ137" s="1251"/>
      <c r="ANK137" s="1251"/>
      <c r="ANL137" s="1251"/>
      <c r="ANM137" s="1251"/>
      <c r="ANN137" s="1251"/>
      <c r="ANO137" s="1251"/>
      <c r="ANP137" s="1251"/>
      <c r="ANQ137" s="1251"/>
      <c r="ANR137" s="1251"/>
      <c r="ANS137" s="1251"/>
      <c r="ANT137" s="1251"/>
      <c r="ANU137" s="1251"/>
      <c r="ANV137" s="1251"/>
      <c r="ANW137" s="1251"/>
      <c r="ANX137" s="1251"/>
      <c r="ANY137" s="1251"/>
      <c r="ANZ137" s="1251"/>
      <c r="AOA137" s="1251"/>
      <c r="AOB137" s="1251"/>
      <c r="AOC137" s="1251"/>
      <c r="AOD137" s="1251"/>
      <c r="AOE137" s="1251"/>
      <c r="AOF137" s="1251"/>
      <c r="AOG137" s="1251"/>
      <c r="AOH137" s="1251"/>
      <c r="AOI137" s="1251"/>
      <c r="AOJ137" s="1251"/>
      <c r="AOK137" s="1251"/>
      <c r="AOL137" s="1251"/>
      <c r="AOM137" s="1251"/>
      <c r="AON137" s="1251"/>
      <c r="AOO137" s="1251"/>
      <c r="AOP137" s="1251"/>
      <c r="AOQ137" s="1251"/>
      <c r="AOR137" s="1251"/>
      <c r="AOS137" s="1251"/>
      <c r="AOT137" s="1251"/>
      <c r="AOU137" s="1251"/>
      <c r="AOV137" s="1251"/>
      <c r="AOW137" s="1251"/>
      <c r="AOX137" s="1251"/>
      <c r="AOY137" s="1251"/>
      <c r="AOZ137" s="1251"/>
      <c r="APA137" s="1251"/>
      <c r="APB137" s="1251"/>
      <c r="APC137" s="1251"/>
      <c r="APD137" s="1251"/>
      <c r="APE137" s="1251"/>
      <c r="APF137" s="1251"/>
      <c r="APG137" s="1251"/>
      <c r="APH137" s="1251"/>
      <c r="API137" s="1251"/>
      <c r="APJ137" s="1251"/>
      <c r="APK137" s="1251"/>
      <c r="APL137" s="1251"/>
      <c r="APM137" s="1251"/>
      <c r="APN137" s="1251"/>
      <c r="APO137" s="1251"/>
      <c r="APP137" s="1251"/>
      <c r="APQ137" s="1251"/>
      <c r="APR137" s="1251"/>
      <c r="APS137" s="1251"/>
      <c r="APT137" s="1251"/>
      <c r="APU137" s="1251"/>
      <c r="APV137" s="1251"/>
      <c r="APW137" s="1251"/>
      <c r="APX137" s="1251"/>
      <c r="APY137" s="1251"/>
      <c r="APZ137" s="1251"/>
      <c r="AQA137" s="1251"/>
      <c r="AQB137" s="1251"/>
      <c r="AQC137" s="1251"/>
      <c r="AQD137" s="1251"/>
      <c r="AQE137" s="1251"/>
      <c r="AQF137" s="1251"/>
      <c r="AQG137" s="1251"/>
      <c r="AQH137" s="1251"/>
      <c r="AQI137" s="1251"/>
      <c r="AQJ137" s="1251"/>
      <c r="AQK137" s="1251"/>
      <c r="AQL137" s="1251"/>
      <c r="AQM137" s="1251"/>
      <c r="AQN137" s="1251"/>
      <c r="AQO137" s="1251"/>
      <c r="AQP137" s="1251"/>
      <c r="AQQ137" s="1251"/>
      <c r="AQR137" s="1251"/>
      <c r="AQS137" s="1251"/>
      <c r="AQT137" s="1251"/>
      <c r="AQU137" s="1251"/>
      <c r="AQV137" s="1251"/>
      <c r="AQW137" s="1251"/>
      <c r="AQX137" s="1251"/>
      <c r="AQY137" s="1251"/>
      <c r="AQZ137" s="1251"/>
      <c r="ARA137" s="1251"/>
      <c r="ARB137" s="1251"/>
      <c r="ARC137" s="1251"/>
      <c r="ARD137" s="1251"/>
      <c r="ARE137" s="1251"/>
      <c r="ARF137" s="1251"/>
      <c r="ARG137" s="1251"/>
      <c r="ARH137" s="1251"/>
      <c r="ARI137" s="1251"/>
      <c r="ARJ137" s="1251"/>
      <c r="ARK137" s="1251"/>
      <c r="ARL137" s="1251"/>
      <c r="ARM137" s="1251"/>
      <c r="ARN137" s="1251"/>
      <c r="ARO137" s="1251"/>
      <c r="ARP137" s="1251"/>
      <c r="ARQ137" s="1251"/>
      <c r="ARR137" s="1251"/>
      <c r="ARS137" s="1251"/>
      <c r="ART137" s="1251"/>
      <c r="ARU137" s="1251"/>
      <c r="ARV137" s="1251"/>
      <c r="ARW137" s="1251"/>
      <c r="ARX137" s="1251"/>
      <c r="ARY137" s="1251"/>
      <c r="ARZ137" s="1251"/>
      <c r="ASA137" s="1251"/>
      <c r="ASB137" s="1251"/>
      <c r="ASC137" s="1251"/>
      <c r="ASD137" s="1251"/>
      <c r="ASE137" s="1251"/>
      <c r="ASF137" s="1251"/>
      <c r="ASG137" s="1251"/>
      <c r="ASH137" s="1251"/>
      <c r="ASI137" s="1251"/>
      <c r="ASJ137" s="1251"/>
      <c r="ASK137" s="1251"/>
      <c r="ASL137" s="1251"/>
      <c r="ASM137" s="1251"/>
      <c r="ASN137" s="1251"/>
      <c r="ASO137" s="1251"/>
      <c r="ASP137" s="1251"/>
      <c r="ASQ137" s="1251"/>
      <c r="ASR137" s="1251"/>
      <c r="ASS137" s="1251"/>
      <c r="AST137" s="1251"/>
      <c r="ASU137" s="1251"/>
      <c r="ASV137" s="1251"/>
      <c r="ASW137" s="1251"/>
      <c r="ASX137" s="1251"/>
      <c r="ASY137" s="1251"/>
      <c r="ASZ137" s="1251"/>
      <c r="ATA137" s="1251"/>
      <c r="ATB137" s="1251"/>
      <c r="ATC137" s="1251"/>
      <c r="ATD137" s="1251"/>
      <c r="ATE137" s="1251"/>
      <c r="ATF137" s="1251"/>
      <c r="ATG137" s="1251"/>
      <c r="ATH137" s="1251"/>
      <c r="ATI137" s="1251"/>
      <c r="ATJ137" s="1251"/>
      <c r="ATK137" s="1251"/>
      <c r="ATL137" s="1251"/>
      <c r="ATM137" s="1251"/>
      <c r="ATN137" s="1251"/>
      <c r="ATO137" s="1251"/>
      <c r="ATP137" s="1251"/>
      <c r="ATQ137" s="1251"/>
      <c r="ATR137" s="1251"/>
      <c r="ATS137" s="1251"/>
      <c r="ATT137" s="1251"/>
      <c r="ATU137" s="1251"/>
      <c r="ATV137" s="1251"/>
      <c r="ATW137" s="1251"/>
      <c r="ATX137" s="1251"/>
      <c r="ATY137" s="1251"/>
      <c r="ATZ137" s="1251"/>
      <c r="AUA137" s="1251"/>
      <c r="AUB137" s="1251"/>
      <c r="AUC137" s="1251"/>
      <c r="AUD137" s="1251"/>
      <c r="AUE137" s="1251"/>
      <c r="AUF137" s="1251"/>
      <c r="AUG137" s="1251"/>
      <c r="AUH137" s="1251"/>
      <c r="AUI137" s="1251"/>
      <c r="AUJ137" s="1251"/>
      <c r="AUK137" s="1251"/>
      <c r="AUL137" s="1251"/>
      <c r="AUM137" s="1251"/>
      <c r="AUN137" s="1251"/>
      <c r="AUO137" s="1251"/>
      <c r="AUP137" s="1251"/>
      <c r="AUQ137" s="1251"/>
      <c r="AUR137" s="1251"/>
      <c r="AUS137" s="1251"/>
      <c r="AUT137" s="1251"/>
      <c r="AUU137" s="1251"/>
      <c r="AUV137" s="1251"/>
      <c r="AUW137" s="1251"/>
      <c r="AUX137" s="1251"/>
      <c r="AUY137" s="1251"/>
      <c r="AUZ137" s="1251"/>
      <c r="AVA137" s="1251"/>
      <c r="AVB137" s="1251"/>
      <c r="AVC137" s="1251"/>
      <c r="AVD137" s="1251"/>
      <c r="AVE137" s="1251"/>
      <c r="AVF137" s="1251"/>
      <c r="AVG137" s="1251"/>
      <c r="AVH137" s="1251"/>
      <c r="AVI137" s="1251"/>
      <c r="AVJ137" s="1251"/>
      <c r="AVK137" s="1251"/>
      <c r="AVL137" s="1251"/>
      <c r="AVM137" s="1251"/>
      <c r="AVN137" s="1251"/>
      <c r="AVO137" s="1251"/>
      <c r="AVP137" s="1251"/>
      <c r="AVQ137" s="1251"/>
      <c r="AVR137" s="1251"/>
      <c r="AVS137" s="1251"/>
      <c r="AVT137" s="1251"/>
      <c r="AVU137" s="1251"/>
      <c r="AVV137" s="1251"/>
      <c r="AVW137" s="1251"/>
      <c r="AVX137" s="1251"/>
      <c r="AVY137" s="1251"/>
      <c r="AVZ137" s="1251"/>
      <c r="AWA137" s="1251"/>
      <c r="AWB137" s="1251"/>
      <c r="AWC137" s="1251"/>
      <c r="AWD137" s="1251"/>
      <c r="AWE137" s="1251"/>
      <c r="AWF137" s="1251"/>
      <c r="AWG137" s="1251"/>
      <c r="AWH137" s="1251"/>
      <c r="AWI137" s="1251"/>
      <c r="AWJ137" s="1251"/>
      <c r="AWK137" s="1251"/>
      <c r="AWL137" s="1251"/>
      <c r="AWM137" s="1251"/>
      <c r="AWN137" s="1251"/>
      <c r="AWO137" s="1251"/>
      <c r="AWP137" s="1251"/>
      <c r="AWQ137" s="1251"/>
      <c r="AWR137" s="1251"/>
      <c r="AWS137" s="1251"/>
      <c r="AWT137" s="1251"/>
      <c r="AWU137" s="1251"/>
      <c r="AWV137" s="1251"/>
      <c r="AWW137" s="1251"/>
      <c r="AWX137" s="1251"/>
      <c r="AWY137" s="1251"/>
      <c r="AWZ137" s="1251"/>
      <c r="AXA137" s="1251"/>
      <c r="AXB137" s="1251"/>
      <c r="AXC137" s="1251"/>
      <c r="AXD137" s="1251"/>
      <c r="AXE137" s="1251"/>
      <c r="AXF137" s="1251"/>
      <c r="AXG137" s="1251"/>
      <c r="AXH137" s="1251"/>
      <c r="AXI137" s="1251"/>
      <c r="AXJ137" s="1251"/>
      <c r="AXK137" s="1251"/>
      <c r="AXL137" s="1251"/>
      <c r="AXM137" s="1251"/>
      <c r="AXN137" s="1251"/>
      <c r="AXO137" s="1251"/>
      <c r="AXP137" s="1251"/>
      <c r="AXQ137" s="1251"/>
      <c r="AXR137" s="1251"/>
      <c r="AXS137" s="1251"/>
      <c r="AXT137" s="1251"/>
      <c r="AXU137" s="1251"/>
      <c r="AXV137" s="1251"/>
      <c r="AXW137" s="1251"/>
      <c r="AXX137" s="1251"/>
      <c r="AXY137" s="1251"/>
      <c r="AXZ137" s="1251"/>
      <c r="AYA137" s="1251"/>
      <c r="AYB137" s="1251"/>
      <c r="AYC137" s="1251"/>
      <c r="AYD137" s="1251"/>
      <c r="AYE137" s="1251"/>
      <c r="AYF137" s="1251"/>
      <c r="AYG137" s="1251"/>
      <c r="AYH137" s="1251"/>
      <c r="AYI137" s="1251"/>
      <c r="AYJ137" s="1251"/>
      <c r="AYK137" s="1251"/>
      <c r="AYL137" s="1251"/>
      <c r="AYM137" s="1251"/>
      <c r="AYN137" s="1251"/>
      <c r="AYO137" s="1251"/>
      <c r="AYP137" s="1251"/>
      <c r="AYQ137" s="1251"/>
      <c r="AYR137" s="1251"/>
      <c r="AYS137" s="1251"/>
      <c r="AYT137" s="1251"/>
      <c r="AYU137" s="1251"/>
      <c r="AYV137" s="1251"/>
      <c r="AYW137" s="1251"/>
      <c r="AYX137" s="1251"/>
      <c r="AYY137" s="1251"/>
      <c r="AYZ137" s="1251"/>
      <c r="AZA137" s="1251"/>
      <c r="AZB137" s="1251"/>
      <c r="AZC137" s="1251"/>
      <c r="AZD137" s="1251"/>
      <c r="AZE137" s="1251"/>
      <c r="AZF137" s="1251"/>
      <c r="AZG137" s="1251"/>
      <c r="AZH137" s="1251"/>
      <c r="AZI137" s="1251"/>
      <c r="AZJ137" s="1251"/>
      <c r="AZK137" s="1251"/>
      <c r="AZL137" s="1251"/>
      <c r="AZM137" s="1251"/>
      <c r="AZN137" s="1251"/>
      <c r="AZO137" s="1251"/>
      <c r="AZP137" s="1251"/>
      <c r="AZQ137" s="1251"/>
      <c r="AZR137" s="1251"/>
      <c r="AZS137" s="1251"/>
      <c r="AZT137" s="1251"/>
      <c r="AZU137" s="1251"/>
      <c r="AZV137" s="1251"/>
      <c r="AZW137" s="1251"/>
      <c r="AZX137" s="1251"/>
      <c r="AZY137" s="1251"/>
      <c r="AZZ137" s="1251"/>
      <c r="BAA137" s="1251"/>
      <c r="BAB137" s="1251"/>
      <c r="BAC137" s="1251"/>
      <c r="BAD137" s="1251"/>
      <c r="BAE137" s="1251"/>
      <c r="BAF137" s="1251"/>
      <c r="BAG137" s="1251"/>
      <c r="BAH137" s="1251"/>
      <c r="BAI137" s="1251"/>
      <c r="BAJ137" s="1251"/>
      <c r="BAK137" s="1251"/>
      <c r="BAL137" s="1251"/>
      <c r="BAM137" s="1251"/>
      <c r="BAN137" s="1251"/>
      <c r="BAO137" s="1251"/>
      <c r="BAP137" s="1251"/>
      <c r="BAQ137" s="1251"/>
      <c r="BAR137" s="1251"/>
      <c r="BAS137" s="1251"/>
      <c r="BAT137" s="1251"/>
      <c r="BAU137" s="1251"/>
      <c r="BAV137" s="1251"/>
      <c r="BAW137" s="1251"/>
      <c r="BAX137" s="1251"/>
      <c r="BAY137" s="1251"/>
      <c r="BAZ137" s="1251"/>
      <c r="BBA137" s="1251"/>
      <c r="BBB137" s="1251"/>
      <c r="BBC137" s="1251"/>
      <c r="BBD137" s="1251"/>
      <c r="BBE137" s="1251"/>
      <c r="BBF137" s="1251"/>
      <c r="BBG137" s="1251"/>
      <c r="BBH137" s="1251"/>
      <c r="BBI137" s="1251"/>
      <c r="BBJ137" s="1251"/>
      <c r="BBK137" s="1251"/>
      <c r="BBL137" s="1251"/>
      <c r="BBM137" s="1251"/>
      <c r="BBN137" s="1251"/>
      <c r="BBO137" s="1251"/>
      <c r="BBP137" s="1251"/>
      <c r="BBQ137" s="1251"/>
      <c r="BBR137" s="1251"/>
      <c r="BBS137" s="1251"/>
      <c r="BBT137" s="1251"/>
      <c r="BBU137" s="1251"/>
      <c r="BBV137" s="1251"/>
      <c r="BBW137" s="1251"/>
      <c r="BBX137" s="1251"/>
      <c r="BBY137" s="1251"/>
      <c r="BBZ137" s="1251"/>
      <c r="BCA137" s="1251"/>
      <c r="BCB137" s="1251"/>
      <c r="BCC137" s="1251"/>
      <c r="BCD137" s="1251"/>
      <c r="BCE137" s="1251"/>
      <c r="BCF137" s="1251"/>
      <c r="BCG137" s="1251"/>
      <c r="BCH137" s="1251"/>
      <c r="BCI137" s="1251"/>
      <c r="BCJ137" s="1251"/>
      <c r="BCK137" s="1251"/>
      <c r="BCL137" s="1251"/>
      <c r="BCM137" s="1251"/>
      <c r="BCN137" s="1251"/>
      <c r="BCO137" s="1251"/>
      <c r="BCP137" s="1251"/>
      <c r="BCQ137" s="1251"/>
      <c r="BCR137" s="1251"/>
      <c r="BCS137" s="1251"/>
      <c r="BCT137" s="1251"/>
      <c r="BCU137" s="1251"/>
      <c r="BCV137" s="1251"/>
      <c r="BCW137" s="1251"/>
      <c r="BCX137" s="1251"/>
      <c r="BCY137" s="1251"/>
      <c r="BCZ137" s="1251"/>
      <c r="BDA137" s="1251"/>
      <c r="BDB137" s="1251"/>
      <c r="BDC137" s="1251"/>
      <c r="BDD137" s="1251"/>
      <c r="BDE137" s="1251"/>
      <c r="BDF137" s="1251"/>
      <c r="BDG137" s="1251"/>
      <c r="BDH137" s="1251"/>
      <c r="BDI137" s="1251"/>
      <c r="BDJ137" s="1251"/>
      <c r="BDK137" s="1251"/>
      <c r="BDL137" s="1251"/>
      <c r="BDM137" s="1251"/>
      <c r="BDN137" s="1251"/>
      <c r="BDO137" s="1251"/>
      <c r="BDP137" s="1251"/>
      <c r="BDQ137" s="1251"/>
      <c r="BDR137" s="1251"/>
      <c r="BDS137" s="1251"/>
      <c r="BDT137" s="1251"/>
      <c r="BDU137" s="1251"/>
      <c r="BDV137" s="1251"/>
      <c r="BDW137" s="1251"/>
      <c r="BDX137" s="1251"/>
      <c r="BDY137" s="1251"/>
      <c r="BDZ137" s="1251"/>
      <c r="BEA137" s="1251"/>
      <c r="BEB137" s="1251"/>
      <c r="BEC137" s="1251"/>
      <c r="BED137" s="1251"/>
      <c r="BEE137" s="1251"/>
      <c r="BEF137" s="1251"/>
      <c r="BEG137" s="1251"/>
      <c r="BEH137" s="1251"/>
      <c r="BEI137" s="1251"/>
      <c r="BEJ137" s="1251"/>
      <c r="BEK137" s="1251"/>
      <c r="BEL137" s="1251"/>
      <c r="BEM137" s="1251"/>
      <c r="BEN137" s="1251"/>
      <c r="BEO137" s="1251"/>
      <c r="BEP137" s="1251"/>
      <c r="BEQ137" s="1251"/>
      <c r="BER137" s="1251"/>
      <c r="BES137" s="1251"/>
      <c r="BET137" s="1251"/>
      <c r="BEU137" s="1251"/>
      <c r="BEV137" s="1251"/>
      <c r="BEW137" s="1251"/>
      <c r="BEX137" s="1251"/>
      <c r="BEY137" s="1251"/>
      <c r="BEZ137" s="1251"/>
      <c r="BFA137" s="1251"/>
      <c r="BFB137" s="1251"/>
      <c r="BFC137" s="1251"/>
      <c r="BFD137" s="1251"/>
      <c r="BFE137" s="1251"/>
      <c r="BFF137" s="1251"/>
      <c r="BFG137" s="1251"/>
      <c r="BFH137" s="1251"/>
      <c r="BFI137" s="1251"/>
      <c r="BFJ137" s="1251"/>
      <c r="BFK137" s="1251"/>
      <c r="BFL137" s="1251"/>
      <c r="BFM137" s="1251"/>
      <c r="BFN137" s="1251"/>
      <c r="BFO137" s="1251"/>
      <c r="BFP137" s="1251"/>
      <c r="BFQ137" s="1251"/>
      <c r="BFR137" s="1251"/>
      <c r="BFS137" s="1251"/>
      <c r="BFT137" s="1251"/>
      <c r="BFU137" s="1251"/>
      <c r="BFV137" s="1251"/>
      <c r="BFW137" s="1251"/>
      <c r="BFX137" s="1251"/>
      <c r="BFY137" s="1251"/>
      <c r="BFZ137" s="1251"/>
      <c r="BGA137" s="1251"/>
      <c r="BGB137" s="1251"/>
      <c r="BGC137" s="1251"/>
      <c r="BGD137" s="1251"/>
      <c r="BGE137" s="1251"/>
      <c r="BGF137" s="1251"/>
      <c r="BGG137" s="1251"/>
      <c r="BGH137" s="1251"/>
      <c r="BGI137" s="1251"/>
      <c r="BGJ137" s="1251"/>
      <c r="BGK137" s="1251"/>
      <c r="BGL137" s="1251"/>
      <c r="BGM137" s="1251"/>
      <c r="BGN137" s="1251"/>
      <c r="BGO137" s="1251"/>
      <c r="BGP137" s="1251"/>
      <c r="BGQ137" s="1251"/>
      <c r="BGR137" s="1251"/>
      <c r="BGS137" s="1251"/>
      <c r="BGT137" s="1251"/>
      <c r="BGU137" s="1251"/>
      <c r="BGV137" s="1251"/>
      <c r="BGW137" s="1251"/>
      <c r="BGX137" s="1251"/>
      <c r="BGY137" s="1251"/>
      <c r="BGZ137" s="1251"/>
      <c r="BHA137" s="1251"/>
      <c r="BHB137" s="1251"/>
      <c r="BHC137" s="1251"/>
      <c r="BHD137" s="1251"/>
      <c r="BHE137" s="1251"/>
      <c r="BHF137" s="1251"/>
      <c r="BHG137" s="1251"/>
      <c r="BHH137" s="1251"/>
      <c r="BHI137" s="1251"/>
      <c r="BHJ137" s="1251"/>
      <c r="BHK137" s="1251"/>
      <c r="BHL137" s="1251"/>
      <c r="BHM137" s="1251"/>
      <c r="BHN137" s="1251"/>
      <c r="BHO137" s="1251"/>
      <c r="BHP137" s="1251"/>
      <c r="BHQ137" s="1251"/>
      <c r="BHR137" s="1251"/>
      <c r="BHS137" s="1251"/>
      <c r="BHT137" s="1251"/>
      <c r="BHU137" s="1251"/>
      <c r="BHV137" s="1251"/>
      <c r="BHW137" s="1251"/>
      <c r="BHX137" s="1251"/>
      <c r="BHY137" s="1251"/>
      <c r="BHZ137" s="1251"/>
      <c r="BIA137" s="1251"/>
      <c r="BIB137" s="1251"/>
      <c r="BIC137" s="1251"/>
      <c r="BID137" s="1251"/>
      <c r="BIE137" s="1251"/>
      <c r="BIF137" s="1251"/>
      <c r="BIG137" s="1251"/>
      <c r="BIH137" s="1251"/>
      <c r="BII137" s="1251"/>
      <c r="BIJ137" s="1251"/>
      <c r="BIK137" s="1251"/>
      <c r="BIL137" s="1251"/>
      <c r="BIM137" s="1251"/>
      <c r="BIN137" s="1251"/>
      <c r="BIO137" s="1251"/>
      <c r="BIP137" s="1251"/>
      <c r="BIQ137" s="1251"/>
      <c r="BIR137" s="1251"/>
      <c r="BIS137" s="1251"/>
      <c r="BIT137" s="1251"/>
      <c r="BIU137" s="1251"/>
      <c r="BIV137" s="1251"/>
      <c r="BIW137" s="1251"/>
      <c r="BIX137" s="1251"/>
      <c r="BIY137" s="1251"/>
      <c r="BIZ137" s="1251"/>
      <c r="BJA137" s="1251"/>
      <c r="BJB137" s="1251"/>
      <c r="BJC137" s="1251"/>
      <c r="BJD137" s="1251"/>
      <c r="BJE137" s="1251"/>
      <c r="BJF137" s="1251"/>
      <c r="BJG137" s="1251"/>
      <c r="BJH137" s="1251"/>
      <c r="BJI137" s="1251"/>
      <c r="BJJ137" s="1251"/>
      <c r="BJK137" s="1251"/>
      <c r="BJL137" s="1251"/>
      <c r="BJM137" s="1251"/>
      <c r="BJN137" s="1251"/>
      <c r="BJO137" s="1251"/>
      <c r="BJP137" s="1251"/>
      <c r="BJQ137" s="1251"/>
      <c r="BJR137" s="1251"/>
      <c r="BJS137" s="1251"/>
      <c r="BJT137" s="1251"/>
      <c r="BJU137" s="1251"/>
      <c r="BJV137" s="1251"/>
      <c r="BJW137" s="1251"/>
      <c r="BJX137" s="1251"/>
      <c r="BJY137" s="1251"/>
      <c r="BJZ137" s="1251"/>
      <c r="BKA137" s="1251"/>
      <c r="BKB137" s="1251"/>
      <c r="BKC137" s="1251"/>
      <c r="BKD137" s="1251"/>
      <c r="BKE137" s="1251"/>
      <c r="BKF137" s="1251"/>
      <c r="BKG137" s="1251"/>
      <c r="BKH137" s="1251"/>
      <c r="BKI137" s="1251"/>
      <c r="BKJ137" s="1251"/>
      <c r="BKK137" s="1251"/>
      <c r="BKL137" s="1251"/>
      <c r="BKM137" s="1251"/>
      <c r="BKN137" s="1251"/>
      <c r="BKO137" s="1251"/>
      <c r="BKP137" s="1251"/>
      <c r="BKQ137" s="1251"/>
      <c r="BKR137" s="1251"/>
      <c r="BKS137" s="1251"/>
      <c r="BKT137" s="1251"/>
      <c r="BKU137" s="1251"/>
      <c r="BKV137" s="1251"/>
      <c r="BKW137" s="1251"/>
      <c r="BKX137" s="1251"/>
      <c r="BKY137" s="1251"/>
      <c r="BKZ137" s="1251"/>
      <c r="BLA137" s="1251"/>
      <c r="BLB137" s="1251"/>
      <c r="BLC137" s="1251"/>
      <c r="BLD137" s="1251"/>
      <c r="BLE137" s="1251"/>
      <c r="BLF137" s="1251"/>
      <c r="BLG137" s="1251"/>
      <c r="BLH137" s="1251"/>
      <c r="BLI137" s="1251"/>
      <c r="BLJ137" s="1251"/>
      <c r="BLK137" s="1251"/>
      <c r="BLL137" s="1251"/>
      <c r="BLM137" s="1251"/>
      <c r="BLN137" s="1251"/>
      <c r="BLO137" s="1251"/>
      <c r="BLP137" s="1251"/>
      <c r="BLQ137" s="1251"/>
      <c r="BLR137" s="1251"/>
      <c r="BLS137" s="1251"/>
      <c r="BLT137" s="1251"/>
      <c r="BLU137" s="1251"/>
      <c r="BLV137" s="1251"/>
      <c r="BLW137" s="1251"/>
      <c r="BLX137" s="1251"/>
      <c r="BLY137" s="1251"/>
      <c r="BLZ137" s="1251"/>
      <c r="BMA137" s="1251"/>
      <c r="BMB137" s="1251"/>
      <c r="BMC137" s="1251"/>
      <c r="BMD137" s="1251"/>
      <c r="BME137" s="1251"/>
      <c r="BMF137" s="1251"/>
      <c r="BMG137" s="1251"/>
      <c r="BMH137" s="1251"/>
      <c r="BMI137" s="1251"/>
      <c r="BMJ137" s="1251"/>
      <c r="BMK137" s="1251"/>
      <c r="BML137" s="1251"/>
      <c r="BMM137" s="1251"/>
      <c r="BMN137" s="1251"/>
      <c r="BMO137" s="1251"/>
      <c r="BMP137" s="1251"/>
      <c r="BMQ137" s="1251"/>
      <c r="BMR137" s="1251"/>
      <c r="BMS137" s="1251"/>
      <c r="BMT137" s="1251"/>
      <c r="BMU137" s="1251"/>
      <c r="BMV137" s="1251"/>
      <c r="BMW137" s="1251"/>
      <c r="BMX137" s="1251"/>
      <c r="BMY137" s="1251"/>
      <c r="BMZ137" s="1251"/>
      <c r="BNA137" s="1251"/>
      <c r="BNB137" s="1251"/>
      <c r="BNC137" s="1251"/>
      <c r="BND137" s="1251"/>
      <c r="BNE137" s="1251"/>
      <c r="BNF137" s="1251"/>
      <c r="BNG137" s="1251"/>
      <c r="BNH137" s="1251"/>
      <c r="BNI137" s="1251"/>
      <c r="BNJ137" s="1251"/>
      <c r="BNK137" s="1251"/>
      <c r="BNL137" s="1251"/>
      <c r="BNM137" s="1251"/>
      <c r="BNN137" s="1251"/>
      <c r="BNO137" s="1251"/>
      <c r="BNP137" s="1251"/>
      <c r="BNQ137" s="1251"/>
      <c r="BNR137" s="1251"/>
      <c r="BNS137" s="1251"/>
      <c r="BNT137" s="1251"/>
      <c r="BNU137" s="1251"/>
      <c r="BNV137" s="1251"/>
      <c r="BNW137" s="1251"/>
      <c r="BNX137" s="1251"/>
      <c r="BNY137" s="1251"/>
      <c r="BNZ137" s="1251"/>
      <c r="BOA137" s="1251"/>
      <c r="BOB137" s="1251"/>
      <c r="BOC137" s="1251"/>
      <c r="BOD137" s="1251"/>
      <c r="BOE137" s="1251"/>
      <c r="BOF137" s="1251"/>
      <c r="BOG137" s="1251"/>
      <c r="BOH137" s="1251"/>
      <c r="BOI137" s="1251"/>
      <c r="BOJ137" s="1251"/>
      <c r="BOK137" s="1251"/>
      <c r="BOL137" s="1251"/>
      <c r="BOM137" s="1251"/>
      <c r="BON137" s="1251"/>
      <c r="BOO137" s="1251"/>
      <c r="BOP137" s="1251"/>
      <c r="BOQ137" s="1251"/>
      <c r="BOR137" s="1251"/>
      <c r="BOS137" s="1251"/>
      <c r="BOT137" s="1251"/>
      <c r="BOU137" s="1251"/>
      <c r="BOV137" s="1251"/>
      <c r="BOW137" s="1251"/>
      <c r="BOX137" s="1251"/>
      <c r="BOY137" s="1251"/>
      <c r="BOZ137" s="1251"/>
      <c r="BPA137" s="1251"/>
      <c r="BPB137" s="1251"/>
      <c r="BPC137" s="1251"/>
      <c r="BPD137" s="1251"/>
      <c r="BPE137" s="1251"/>
      <c r="BPF137" s="1251"/>
      <c r="BPG137" s="1251"/>
      <c r="BPH137" s="1251"/>
      <c r="BPI137" s="1251"/>
      <c r="BPJ137" s="1251"/>
      <c r="BPK137" s="1251"/>
      <c r="BPL137" s="1251"/>
      <c r="BPM137" s="1251"/>
      <c r="BPN137" s="1251"/>
      <c r="BPO137" s="1251"/>
      <c r="BPP137" s="1251"/>
      <c r="BPQ137" s="1251"/>
      <c r="BPR137" s="1251"/>
      <c r="BPS137" s="1251"/>
      <c r="BPT137" s="1251"/>
      <c r="BPU137" s="1251"/>
      <c r="BPV137" s="1251"/>
      <c r="BPW137" s="1251"/>
      <c r="BPX137" s="1251"/>
      <c r="BPY137" s="1251"/>
      <c r="BPZ137" s="1251"/>
      <c r="BQA137" s="1251"/>
      <c r="BQB137" s="1251"/>
      <c r="BQC137" s="1251"/>
      <c r="BQD137" s="1251"/>
      <c r="BQE137" s="1251"/>
      <c r="BQF137" s="1251"/>
      <c r="BQG137" s="1251"/>
      <c r="BQH137" s="1251"/>
      <c r="BQI137" s="1251"/>
      <c r="BQJ137" s="1251"/>
      <c r="BQK137" s="1251"/>
      <c r="BQL137" s="1251"/>
      <c r="BQM137" s="1251"/>
      <c r="BQN137" s="1251"/>
      <c r="BQO137" s="1251"/>
      <c r="BQP137" s="1251"/>
      <c r="BQQ137" s="1251"/>
      <c r="BQR137" s="1251"/>
      <c r="BQS137" s="1251"/>
      <c r="BQT137" s="1251"/>
      <c r="BQU137" s="1251"/>
      <c r="BQV137" s="1251"/>
      <c r="BQW137" s="1251"/>
      <c r="BQX137" s="1251"/>
      <c r="BQY137" s="1251"/>
      <c r="BQZ137" s="1251"/>
      <c r="BRA137" s="1251"/>
      <c r="BRB137" s="1251"/>
      <c r="BRC137" s="1251"/>
      <c r="BRD137" s="1251"/>
      <c r="BRE137" s="1251"/>
      <c r="BRF137" s="1251"/>
      <c r="BRG137" s="1251"/>
      <c r="BRH137" s="1251"/>
      <c r="BRI137" s="1251"/>
      <c r="BRJ137" s="1251"/>
      <c r="BRK137" s="1251"/>
      <c r="BRL137" s="1251"/>
      <c r="BRM137" s="1251"/>
      <c r="BRN137" s="1251"/>
      <c r="BRO137" s="1251"/>
      <c r="BRP137" s="1251"/>
      <c r="BRQ137" s="1251"/>
      <c r="BRR137" s="1251"/>
      <c r="BRS137" s="1251"/>
      <c r="BRT137" s="1251"/>
      <c r="BRU137" s="1251"/>
      <c r="BRV137" s="1251"/>
      <c r="BRW137" s="1251"/>
      <c r="BRX137" s="1251"/>
      <c r="BRY137" s="1251"/>
      <c r="BRZ137" s="1251"/>
      <c r="BSA137" s="1251"/>
      <c r="BSB137" s="1251"/>
      <c r="BSC137" s="1251"/>
      <c r="BSD137" s="1251"/>
      <c r="BSE137" s="1251"/>
      <c r="BSF137" s="1251"/>
      <c r="BSG137" s="1251"/>
      <c r="BSH137" s="1251"/>
      <c r="BSI137" s="1251"/>
      <c r="BSJ137" s="1251"/>
      <c r="BSK137" s="1251"/>
      <c r="BSL137" s="1251"/>
      <c r="BSM137" s="1251"/>
      <c r="BSN137" s="1251"/>
      <c r="BSO137" s="1251"/>
      <c r="BSP137" s="1251"/>
      <c r="BSQ137" s="1251"/>
      <c r="BSR137" s="1251"/>
      <c r="BSS137" s="1251"/>
      <c r="BST137" s="1251"/>
      <c r="BSU137" s="1251"/>
      <c r="BSV137" s="1251"/>
      <c r="BSW137" s="1251"/>
      <c r="BSX137" s="1251"/>
      <c r="BSY137" s="1251"/>
      <c r="BSZ137" s="1251"/>
      <c r="BTA137" s="1251"/>
      <c r="BTB137" s="1251"/>
      <c r="BTC137" s="1251"/>
      <c r="BTD137" s="1251"/>
      <c r="BTE137" s="1251"/>
      <c r="BTF137" s="1251"/>
      <c r="BTG137" s="1251"/>
      <c r="BTH137" s="1251"/>
      <c r="BTI137" s="1251"/>
    </row>
    <row r="138" spans="1:1881" s="1261" customFormat="1" ht="48" hidden="1" customHeight="1" x14ac:dyDescent="0.3">
      <c r="A138" s="1248">
        <v>381</v>
      </c>
      <c r="B138" s="659" t="s">
        <v>37</v>
      </c>
      <c r="C138" s="659" t="s">
        <v>1385</v>
      </c>
      <c r="D138" s="106" t="s">
        <v>130</v>
      </c>
      <c r="E138" s="1249" t="e">
        <f>HLOOKUP($D$2,'2020 Data(H)'!$C$1:$CZ$426,140,FALSE)</f>
        <v>#N/A</v>
      </c>
      <c r="F138" s="1263">
        <v>0</v>
      </c>
      <c r="G138" s="727">
        <f>IF(F136&gt;F138,"Error: Please review components of current assets above. Account numbers 654&gt;381",)</f>
        <v>0</v>
      </c>
      <c r="H138" s="17"/>
      <c r="I138" s="760"/>
      <c r="J138" s="1251"/>
      <c r="K138" s="1251"/>
      <c r="L138" s="1251"/>
      <c r="M138" s="1251"/>
      <c r="N138" s="1253"/>
      <c r="O138" s="1251"/>
      <c r="P138" s="1251"/>
      <c r="Q138" s="1251"/>
      <c r="R138" s="1251"/>
      <c r="S138" s="1251"/>
      <c r="T138" s="1251"/>
      <c r="U138" s="1251"/>
      <c r="V138" s="1251"/>
      <c r="W138" s="1251"/>
      <c r="X138" s="1251"/>
      <c r="Y138" s="1251"/>
      <c r="Z138" s="1248"/>
      <c r="AA138" s="1248"/>
      <c r="AB138" s="1248"/>
      <c r="AC138" s="1248"/>
      <c r="AD138" s="1248"/>
      <c r="AE138" s="1248"/>
      <c r="AF138" s="1248"/>
      <c r="AG138" s="1248"/>
      <c r="AH138" s="1248"/>
      <c r="AI138" s="1248"/>
      <c r="AJ138" s="1248"/>
      <c r="AK138" s="1248"/>
      <c r="AL138" s="1248"/>
      <c r="AM138" s="1248"/>
      <c r="AN138" s="1248"/>
      <c r="AO138" s="1248"/>
      <c r="AP138" s="1248"/>
      <c r="AQ138" s="1248"/>
      <c r="AR138" s="1248"/>
      <c r="AS138" s="1251"/>
      <c r="AT138" s="1251"/>
      <c r="AU138" s="1251"/>
      <c r="AV138" s="1251"/>
      <c r="AW138" s="1251"/>
      <c r="AX138" s="1251"/>
      <c r="AY138" s="1251"/>
      <c r="AZ138" s="1251"/>
      <c r="BA138" s="1251"/>
      <c r="BB138" s="1251"/>
      <c r="BC138" s="1251"/>
      <c r="BD138" s="1251"/>
      <c r="BE138" s="1251"/>
      <c r="BF138" s="1251"/>
      <c r="BG138" s="1251"/>
      <c r="BH138" s="1251"/>
      <c r="BI138" s="1251"/>
      <c r="BJ138" s="1251"/>
      <c r="BK138" s="1251"/>
      <c r="BL138" s="1251"/>
      <c r="BM138" s="1251"/>
      <c r="BN138" s="1251"/>
      <c r="BO138" s="1251"/>
      <c r="BP138" s="1251"/>
      <c r="BQ138" s="1251"/>
      <c r="BR138" s="1251"/>
      <c r="BS138" s="1251"/>
      <c r="BT138" s="1251"/>
      <c r="BU138" s="1251"/>
      <c r="BV138" s="1251"/>
      <c r="BW138" s="1251"/>
      <c r="BX138" s="1251"/>
      <c r="BY138" s="1251"/>
      <c r="BZ138" s="1251"/>
      <c r="CA138" s="1251"/>
      <c r="CB138" s="1251"/>
      <c r="CC138" s="1251"/>
      <c r="CD138" s="1251"/>
      <c r="CE138" s="1251"/>
      <c r="CF138" s="1251"/>
      <c r="CG138" s="1251"/>
      <c r="CH138" s="1251"/>
      <c r="CI138" s="1251"/>
      <c r="CJ138" s="1251"/>
      <c r="CK138" s="1251"/>
      <c r="CL138" s="1251"/>
      <c r="CM138" s="1251"/>
      <c r="CN138" s="1251"/>
      <c r="CO138" s="1251"/>
      <c r="CP138" s="1251"/>
      <c r="CQ138" s="1251"/>
      <c r="CR138" s="1251"/>
      <c r="CS138" s="1251"/>
      <c r="CT138" s="1251"/>
      <c r="CU138" s="1251"/>
      <c r="CV138" s="1251"/>
      <c r="CW138" s="1251"/>
      <c r="CX138" s="1251"/>
      <c r="CY138" s="1251"/>
      <c r="CZ138" s="1251"/>
      <c r="DA138" s="1251"/>
      <c r="DB138" s="1251"/>
      <c r="DC138" s="1251"/>
      <c r="DD138" s="1251"/>
      <c r="DE138" s="1251"/>
      <c r="DF138" s="1251"/>
      <c r="DG138" s="1251"/>
      <c r="DH138" s="1251"/>
      <c r="DI138" s="1251"/>
      <c r="DJ138" s="1251"/>
      <c r="DK138" s="1251"/>
      <c r="DL138" s="1251"/>
      <c r="DM138" s="1251"/>
      <c r="DN138" s="1251"/>
      <c r="DO138" s="1251"/>
      <c r="DP138" s="1251"/>
      <c r="DQ138" s="1251"/>
      <c r="DR138" s="1251"/>
      <c r="DS138" s="1251"/>
      <c r="DT138" s="1251"/>
      <c r="DU138" s="1251"/>
      <c r="DV138" s="1251"/>
      <c r="DW138" s="1251"/>
      <c r="DX138" s="1251"/>
      <c r="DY138" s="1251"/>
      <c r="DZ138" s="1251"/>
      <c r="EA138" s="1251"/>
      <c r="EB138" s="1251"/>
      <c r="EC138" s="1251"/>
      <c r="ED138" s="1251"/>
      <c r="EE138" s="1251"/>
      <c r="EF138" s="1251"/>
      <c r="EG138" s="1251"/>
      <c r="EH138" s="1251"/>
      <c r="EI138" s="1251"/>
      <c r="EJ138" s="1251"/>
      <c r="EK138" s="1251"/>
      <c r="EL138" s="1251"/>
      <c r="EM138" s="1251"/>
      <c r="EN138" s="1251"/>
      <c r="EO138" s="1251"/>
      <c r="EP138" s="1251"/>
      <c r="EQ138" s="1251"/>
      <c r="ER138" s="1251"/>
      <c r="ES138" s="1251"/>
      <c r="ET138" s="1251"/>
      <c r="EU138" s="1251"/>
      <c r="EV138" s="1251"/>
      <c r="EW138" s="1251"/>
      <c r="EX138" s="1251"/>
      <c r="EY138" s="1251"/>
      <c r="EZ138" s="1251"/>
      <c r="FA138" s="1251"/>
      <c r="FB138" s="1251"/>
      <c r="FC138" s="1251"/>
      <c r="FD138" s="1251"/>
      <c r="FE138" s="1251"/>
      <c r="FF138" s="1251"/>
      <c r="FG138" s="1251"/>
      <c r="FH138" s="1251"/>
      <c r="FI138" s="1251"/>
      <c r="FJ138" s="1251"/>
      <c r="FK138" s="1251"/>
      <c r="FL138" s="1251"/>
      <c r="FM138" s="1251"/>
      <c r="FN138" s="1251"/>
      <c r="FO138" s="1251"/>
      <c r="FP138" s="1251"/>
      <c r="FQ138" s="1251"/>
      <c r="FR138" s="1251"/>
      <c r="FS138" s="1251"/>
      <c r="FT138" s="1251"/>
      <c r="FU138" s="1251"/>
      <c r="FV138" s="1251"/>
      <c r="FW138" s="1251"/>
      <c r="FX138" s="1251"/>
      <c r="FY138" s="1251"/>
      <c r="FZ138" s="1251"/>
      <c r="GA138" s="1251"/>
      <c r="GB138" s="1251"/>
      <c r="GC138" s="1251"/>
      <c r="GD138" s="1251"/>
      <c r="GE138" s="1251"/>
      <c r="GF138" s="1251"/>
      <c r="GG138" s="1251"/>
      <c r="GH138" s="1251"/>
      <c r="GI138" s="1251"/>
      <c r="GJ138" s="1251"/>
      <c r="GK138" s="1251"/>
      <c r="GL138" s="1251"/>
      <c r="GM138" s="1251"/>
      <c r="GN138" s="1251"/>
      <c r="GO138" s="1251"/>
      <c r="GP138" s="1251"/>
      <c r="GQ138" s="1251"/>
      <c r="GR138" s="1251"/>
      <c r="GS138" s="1251"/>
      <c r="GT138" s="1251"/>
      <c r="GU138" s="1251"/>
      <c r="GV138" s="1251"/>
      <c r="GW138" s="1251"/>
      <c r="GX138" s="1251"/>
      <c r="GY138" s="1251"/>
      <c r="GZ138" s="1251"/>
      <c r="HA138" s="1251"/>
      <c r="HB138" s="1251"/>
      <c r="HC138" s="1251"/>
      <c r="HD138" s="1251"/>
      <c r="HE138" s="1251"/>
      <c r="HF138" s="1251"/>
      <c r="HG138" s="1251"/>
      <c r="HH138" s="1251"/>
      <c r="HI138" s="1251"/>
      <c r="HJ138" s="1251"/>
      <c r="HK138" s="1251"/>
      <c r="HL138" s="1251"/>
      <c r="HM138" s="1251"/>
      <c r="HN138" s="1251"/>
      <c r="HO138" s="1251"/>
      <c r="HP138" s="1251"/>
      <c r="HQ138" s="1251"/>
      <c r="HR138" s="1251"/>
      <c r="HS138" s="1251"/>
      <c r="HT138" s="1251"/>
      <c r="HU138" s="1251"/>
      <c r="HV138" s="1251"/>
      <c r="HW138" s="1251"/>
      <c r="HX138" s="1251"/>
      <c r="HY138" s="1251"/>
      <c r="HZ138" s="1251"/>
      <c r="IA138" s="1251"/>
      <c r="IB138" s="1251"/>
      <c r="IC138" s="1251"/>
      <c r="ID138" s="1251"/>
      <c r="IE138" s="1251"/>
      <c r="IF138" s="1251"/>
      <c r="IG138" s="1251"/>
      <c r="IH138" s="1251"/>
      <c r="II138" s="1251"/>
      <c r="IJ138" s="1251"/>
      <c r="IK138" s="1251"/>
      <c r="IL138" s="1251"/>
      <c r="IM138" s="1251"/>
      <c r="IN138" s="1251"/>
      <c r="IO138" s="1251"/>
      <c r="IP138" s="1251"/>
      <c r="IQ138" s="1251"/>
      <c r="IR138" s="1251"/>
      <c r="IS138" s="1251"/>
      <c r="IT138" s="1251"/>
      <c r="IU138" s="1251"/>
      <c r="IV138" s="1251"/>
      <c r="IW138" s="1251"/>
      <c r="IX138" s="1251"/>
      <c r="IY138" s="1251"/>
      <c r="IZ138" s="1251"/>
      <c r="JA138" s="1251"/>
      <c r="JB138" s="1251"/>
      <c r="JC138" s="1251"/>
      <c r="JD138" s="1251"/>
      <c r="JE138" s="1251"/>
      <c r="JF138" s="1251"/>
      <c r="JG138" s="1251"/>
      <c r="JH138" s="1251"/>
      <c r="JI138" s="1251"/>
      <c r="JJ138" s="1251"/>
      <c r="JK138" s="1251"/>
      <c r="JL138" s="1251"/>
      <c r="JM138" s="1251"/>
      <c r="JN138" s="1251"/>
      <c r="JO138" s="1251"/>
      <c r="JP138" s="1251"/>
      <c r="JQ138" s="1251"/>
      <c r="JR138" s="1251"/>
      <c r="JS138" s="1251"/>
      <c r="JT138" s="1251"/>
      <c r="JU138" s="1251"/>
      <c r="JV138" s="1251"/>
      <c r="JW138" s="1251"/>
      <c r="JX138" s="1251"/>
      <c r="JY138" s="1251"/>
      <c r="JZ138" s="1251"/>
      <c r="KA138" s="1251"/>
      <c r="KB138" s="1251"/>
      <c r="KC138" s="1251"/>
      <c r="KD138" s="1251"/>
      <c r="KE138" s="1251"/>
      <c r="KF138" s="1251"/>
      <c r="KG138" s="1251"/>
      <c r="KH138" s="1251"/>
      <c r="KI138" s="1251"/>
      <c r="KJ138" s="1251"/>
      <c r="KK138" s="1251"/>
      <c r="KL138" s="1251"/>
      <c r="KM138" s="1251"/>
      <c r="KN138" s="1251"/>
      <c r="KO138" s="1251"/>
      <c r="KP138" s="1251"/>
      <c r="KQ138" s="1251"/>
      <c r="KR138" s="1251"/>
      <c r="KS138" s="1251"/>
      <c r="KT138" s="1251"/>
      <c r="KU138" s="1251"/>
      <c r="KV138" s="1251"/>
      <c r="KW138" s="1251"/>
      <c r="KX138" s="1251"/>
      <c r="KY138" s="1251"/>
      <c r="KZ138" s="1251"/>
      <c r="LA138" s="1251"/>
      <c r="LB138" s="1251"/>
      <c r="LC138" s="1251"/>
      <c r="LD138" s="1251"/>
      <c r="LE138" s="1251"/>
      <c r="LF138" s="1251"/>
      <c r="LG138" s="1251"/>
      <c r="LH138" s="1251"/>
      <c r="LI138" s="1251"/>
      <c r="LJ138" s="1251"/>
      <c r="LK138" s="1251"/>
      <c r="LL138" s="1251"/>
      <c r="LM138" s="1251"/>
      <c r="LN138" s="1251"/>
      <c r="LO138" s="1251"/>
      <c r="LP138" s="1251"/>
      <c r="LQ138" s="1251"/>
      <c r="LR138" s="1251"/>
      <c r="LS138" s="1251"/>
      <c r="LT138" s="1251"/>
      <c r="LU138" s="1251"/>
      <c r="LV138" s="1251"/>
      <c r="LW138" s="1251"/>
      <c r="LX138" s="1251"/>
      <c r="LY138" s="1251"/>
      <c r="LZ138" s="1251"/>
      <c r="MA138" s="1251"/>
      <c r="MB138" s="1251"/>
      <c r="MC138" s="1251"/>
      <c r="MD138" s="1251"/>
      <c r="ME138" s="1251"/>
      <c r="MF138" s="1251"/>
      <c r="MG138" s="1251"/>
      <c r="MH138" s="1251"/>
      <c r="MI138" s="1251"/>
      <c r="MJ138" s="1251"/>
      <c r="MK138" s="1251"/>
      <c r="ML138" s="1251"/>
      <c r="MM138" s="1251"/>
      <c r="MN138" s="1251"/>
      <c r="MO138" s="1251"/>
      <c r="MP138" s="1251"/>
      <c r="MQ138" s="1251"/>
      <c r="MR138" s="1251"/>
      <c r="MS138" s="1251"/>
      <c r="MT138" s="1251"/>
      <c r="MU138" s="1251"/>
      <c r="MV138" s="1251"/>
      <c r="MW138" s="1251"/>
      <c r="MX138" s="1251"/>
      <c r="MY138" s="1251"/>
      <c r="MZ138" s="1251"/>
      <c r="NA138" s="1251"/>
      <c r="NB138" s="1251"/>
      <c r="NC138" s="1251"/>
      <c r="ND138" s="1251"/>
      <c r="NE138" s="1251"/>
      <c r="NF138" s="1251"/>
      <c r="NG138" s="1251"/>
      <c r="NH138" s="1251"/>
      <c r="NI138" s="1251"/>
      <c r="NJ138" s="1251"/>
      <c r="NK138" s="1251"/>
      <c r="NL138" s="1251"/>
      <c r="NM138" s="1251"/>
      <c r="NN138" s="1251"/>
      <c r="NO138" s="1251"/>
      <c r="NP138" s="1251"/>
      <c r="NQ138" s="1251"/>
      <c r="NR138" s="1251"/>
      <c r="NS138" s="1251"/>
      <c r="NT138" s="1251"/>
      <c r="NU138" s="1251"/>
      <c r="NV138" s="1251"/>
      <c r="NW138" s="1251"/>
      <c r="NX138" s="1251"/>
      <c r="NY138" s="1251"/>
      <c r="NZ138" s="1251"/>
      <c r="OA138" s="1251"/>
      <c r="OB138" s="1251"/>
      <c r="OC138" s="1251"/>
      <c r="OD138" s="1251"/>
      <c r="OE138" s="1251"/>
      <c r="OF138" s="1251"/>
      <c r="OG138" s="1251"/>
      <c r="OH138" s="1251"/>
      <c r="OI138" s="1251"/>
      <c r="OJ138" s="1251"/>
      <c r="OK138" s="1251"/>
      <c r="OL138" s="1251"/>
      <c r="OM138" s="1251"/>
      <c r="ON138" s="1251"/>
      <c r="OO138" s="1251"/>
      <c r="OP138" s="1251"/>
      <c r="OQ138" s="1251"/>
      <c r="OR138" s="1251"/>
      <c r="OS138" s="1251"/>
      <c r="OT138" s="1251"/>
      <c r="OU138" s="1251"/>
      <c r="OV138" s="1251"/>
      <c r="OW138" s="1251"/>
      <c r="OX138" s="1251"/>
      <c r="OY138" s="1251"/>
      <c r="OZ138" s="1251"/>
      <c r="PA138" s="1251"/>
      <c r="PB138" s="1251"/>
      <c r="PC138" s="1251"/>
      <c r="PD138" s="1251"/>
      <c r="PE138" s="1251"/>
      <c r="PF138" s="1251"/>
      <c r="PG138" s="1251"/>
      <c r="PH138" s="1251"/>
      <c r="PI138" s="1251"/>
      <c r="PJ138" s="1251"/>
      <c r="PK138" s="1251"/>
      <c r="PL138" s="1251"/>
      <c r="PM138" s="1251"/>
      <c r="PN138" s="1251"/>
      <c r="PO138" s="1251"/>
      <c r="PP138" s="1251"/>
      <c r="PQ138" s="1251"/>
      <c r="PR138" s="1251"/>
      <c r="PS138" s="1251"/>
      <c r="PT138" s="1251"/>
      <c r="PU138" s="1251"/>
      <c r="PV138" s="1251"/>
      <c r="PW138" s="1251"/>
      <c r="PX138" s="1251"/>
      <c r="PY138" s="1251"/>
      <c r="PZ138" s="1251"/>
      <c r="QA138" s="1251"/>
      <c r="QB138" s="1251"/>
      <c r="QC138" s="1251"/>
      <c r="QD138" s="1251"/>
      <c r="QE138" s="1251"/>
      <c r="QF138" s="1251"/>
      <c r="QG138" s="1251"/>
      <c r="QH138" s="1251"/>
      <c r="QI138" s="1251"/>
      <c r="QJ138" s="1251"/>
      <c r="QK138" s="1251"/>
      <c r="QL138" s="1251"/>
      <c r="QM138" s="1251"/>
      <c r="QN138" s="1251"/>
      <c r="QO138" s="1251"/>
      <c r="QP138" s="1251"/>
      <c r="QQ138" s="1251"/>
      <c r="QR138" s="1251"/>
      <c r="QS138" s="1251"/>
      <c r="QT138" s="1251"/>
      <c r="QU138" s="1251"/>
      <c r="QV138" s="1251"/>
      <c r="QW138" s="1251"/>
      <c r="QX138" s="1251"/>
      <c r="QY138" s="1251"/>
      <c r="QZ138" s="1251"/>
      <c r="RA138" s="1251"/>
      <c r="RB138" s="1251"/>
      <c r="RC138" s="1251"/>
      <c r="RD138" s="1251"/>
      <c r="RE138" s="1251"/>
      <c r="RF138" s="1251"/>
      <c r="RG138" s="1251"/>
      <c r="RH138" s="1251"/>
      <c r="RI138" s="1251"/>
      <c r="RJ138" s="1251"/>
      <c r="RK138" s="1251"/>
      <c r="RL138" s="1251"/>
      <c r="RM138" s="1251"/>
      <c r="RN138" s="1251"/>
      <c r="RO138" s="1251"/>
      <c r="RP138" s="1251"/>
      <c r="RQ138" s="1251"/>
      <c r="RR138" s="1251"/>
      <c r="RS138" s="1251"/>
      <c r="RT138" s="1251"/>
      <c r="RU138" s="1251"/>
      <c r="RV138" s="1251"/>
      <c r="RW138" s="1251"/>
      <c r="RX138" s="1251"/>
      <c r="RY138" s="1251"/>
      <c r="RZ138" s="1251"/>
      <c r="SA138" s="1251"/>
      <c r="SB138" s="1251"/>
      <c r="SC138" s="1251"/>
      <c r="SD138" s="1251"/>
      <c r="SE138" s="1251"/>
      <c r="SF138" s="1251"/>
      <c r="SG138" s="1251"/>
      <c r="SH138" s="1251"/>
      <c r="SI138" s="1251"/>
      <c r="SJ138" s="1251"/>
      <c r="SK138" s="1251"/>
      <c r="SL138" s="1251"/>
      <c r="SM138" s="1251"/>
      <c r="SN138" s="1251"/>
      <c r="SO138" s="1251"/>
      <c r="SP138" s="1251"/>
      <c r="SQ138" s="1251"/>
      <c r="SR138" s="1251"/>
      <c r="SS138" s="1251"/>
      <c r="ST138" s="1251"/>
      <c r="SU138" s="1251"/>
      <c r="SV138" s="1251"/>
      <c r="SW138" s="1251"/>
      <c r="SX138" s="1251"/>
      <c r="SY138" s="1251"/>
      <c r="SZ138" s="1251"/>
      <c r="TA138" s="1251"/>
      <c r="TB138" s="1251"/>
      <c r="TC138" s="1251"/>
      <c r="TD138" s="1251"/>
      <c r="TE138" s="1251"/>
      <c r="TF138" s="1251"/>
      <c r="TG138" s="1251"/>
      <c r="TH138" s="1251"/>
      <c r="TI138" s="1251"/>
      <c r="TJ138" s="1251"/>
      <c r="TK138" s="1251"/>
      <c r="TL138" s="1251"/>
      <c r="TM138" s="1251"/>
      <c r="TN138" s="1251"/>
      <c r="TO138" s="1251"/>
      <c r="TP138" s="1251"/>
      <c r="TQ138" s="1251"/>
      <c r="TR138" s="1251"/>
      <c r="TS138" s="1251"/>
      <c r="TT138" s="1251"/>
      <c r="TU138" s="1251"/>
      <c r="TV138" s="1251"/>
      <c r="TW138" s="1251"/>
      <c r="TX138" s="1251"/>
      <c r="TY138" s="1251"/>
      <c r="TZ138" s="1251"/>
      <c r="UA138" s="1251"/>
      <c r="UB138" s="1251"/>
      <c r="UC138" s="1251"/>
      <c r="UD138" s="1251"/>
      <c r="UE138" s="1251"/>
      <c r="UF138" s="1251"/>
      <c r="UG138" s="1251"/>
      <c r="UH138" s="1251"/>
      <c r="UI138" s="1251"/>
      <c r="UJ138" s="1251"/>
      <c r="UK138" s="1251"/>
      <c r="UL138" s="1251"/>
      <c r="UM138" s="1251"/>
      <c r="UN138" s="1251"/>
      <c r="UO138" s="1251"/>
      <c r="UP138" s="1251"/>
      <c r="UQ138" s="1251"/>
      <c r="UR138" s="1251"/>
      <c r="US138" s="1251"/>
      <c r="UT138" s="1251"/>
      <c r="UU138" s="1251"/>
      <c r="UV138" s="1251"/>
      <c r="UW138" s="1251"/>
      <c r="UX138" s="1251"/>
      <c r="UY138" s="1251"/>
      <c r="UZ138" s="1251"/>
      <c r="VA138" s="1251"/>
      <c r="VB138" s="1251"/>
      <c r="VC138" s="1251"/>
      <c r="VD138" s="1251"/>
      <c r="VE138" s="1251"/>
      <c r="VF138" s="1251"/>
      <c r="VG138" s="1251"/>
      <c r="VH138" s="1251"/>
      <c r="VI138" s="1251"/>
      <c r="VJ138" s="1251"/>
      <c r="VK138" s="1251"/>
      <c r="VL138" s="1251"/>
      <c r="VM138" s="1251"/>
      <c r="VN138" s="1251"/>
      <c r="VO138" s="1251"/>
      <c r="VP138" s="1251"/>
      <c r="VQ138" s="1251"/>
      <c r="VR138" s="1251"/>
      <c r="VS138" s="1251"/>
      <c r="VT138" s="1251"/>
      <c r="VU138" s="1251"/>
      <c r="VV138" s="1251"/>
      <c r="VW138" s="1251"/>
      <c r="VX138" s="1251"/>
      <c r="VY138" s="1251"/>
      <c r="VZ138" s="1251"/>
      <c r="WA138" s="1251"/>
      <c r="WB138" s="1251"/>
      <c r="WC138" s="1251"/>
      <c r="WD138" s="1251"/>
      <c r="WE138" s="1251"/>
      <c r="WF138" s="1251"/>
      <c r="WG138" s="1251"/>
      <c r="WH138" s="1251"/>
      <c r="WI138" s="1251"/>
      <c r="WJ138" s="1251"/>
      <c r="WK138" s="1251"/>
      <c r="WL138" s="1251"/>
      <c r="WM138" s="1251"/>
      <c r="WN138" s="1251"/>
      <c r="WO138" s="1251"/>
      <c r="WP138" s="1251"/>
      <c r="WQ138" s="1251"/>
      <c r="WR138" s="1251"/>
      <c r="WS138" s="1251"/>
      <c r="WT138" s="1251"/>
      <c r="WU138" s="1251"/>
      <c r="WV138" s="1251"/>
      <c r="WW138" s="1251"/>
      <c r="WX138" s="1251"/>
      <c r="WY138" s="1251"/>
      <c r="WZ138" s="1251"/>
      <c r="XA138" s="1251"/>
      <c r="XB138" s="1251"/>
      <c r="XC138" s="1251"/>
      <c r="XD138" s="1251"/>
      <c r="XE138" s="1251"/>
      <c r="XF138" s="1251"/>
      <c r="XG138" s="1251"/>
      <c r="XH138" s="1251"/>
      <c r="XI138" s="1251"/>
      <c r="XJ138" s="1251"/>
      <c r="XK138" s="1251"/>
      <c r="XL138" s="1251"/>
      <c r="XM138" s="1251"/>
      <c r="XN138" s="1251"/>
      <c r="XO138" s="1251"/>
      <c r="XP138" s="1251"/>
      <c r="XQ138" s="1251"/>
      <c r="XR138" s="1251"/>
      <c r="XS138" s="1251"/>
      <c r="XT138" s="1251"/>
      <c r="XU138" s="1251"/>
      <c r="XV138" s="1251"/>
      <c r="XW138" s="1251"/>
      <c r="XX138" s="1251"/>
      <c r="XY138" s="1251"/>
      <c r="XZ138" s="1251"/>
      <c r="YA138" s="1251"/>
      <c r="YB138" s="1251"/>
      <c r="YC138" s="1251"/>
      <c r="YD138" s="1251"/>
      <c r="YE138" s="1251"/>
      <c r="YF138" s="1251"/>
      <c r="YG138" s="1251"/>
      <c r="YH138" s="1251"/>
      <c r="YI138" s="1251"/>
      <c r="YJ138" s="1251"/>
      <c r="YK138" s="1251"/>
      <c r="YL138" s="1251"/>
      <c r="YM138" s="1251"/>
      <c r="YN138" s="1251"/>
      <c r="YO138" s="1251"/>
      <c r="YP138" s="1251"/>
      <c r="YQ138" s="1251"/>
      <c r="YR138" s="1251"/>
      <c r="YS138" s="1251"/>
      <c r="YT138" s="1251"/>
      <c r="YU138" s="1251"/>
      <c r="YV138" s="1251"/>
      <c r="YW138" s="1251"/>
      <c r="YX138" s="1251"/>
      <c r="YY138" s="1251"/>
      <c r="YZ138" s="1251"/>
      <c r="ZA138" s="1251"/>
      <c r="ZB138" s="1251"/>
      <c r="ZC138" s="1251"/>
      <c r="ZD138" s="1251"/>
      <c r="ZE138" s="1251"/>
      <c r="ZF138" s="1251"/>
      <c r="ZG138" s="1251"/>
      <c r="ZH138" s="1251"/>
      <c r="ZI138" s="1251"/>
      <c r="ZJ138" s="1251"/>
      <c r="ZK138" s="1251"/>
      <c r="ZL138" s="1251"/>
      <c r="ZM138" s="1251"/>
      <c r="ZN138" s="1251"/>
      <c r="ZO138" s="1251"/>
      <c r="ZP138" s="1251"/>
      <c r="ZQ138" s="1251"/>
      <c r="ZR138" s="1251"/>
      <c r="ZS138" s="1251"/>
      <c r="ZT138" s="1251"/>
      <c r="ZU138" s="1251"/>
      <c r="ZV138" s="1251"/>
      <c r="ZW138" s="1251"/>
      <c r="ZX138" s="1251"/>
      <c r="ZY138" s="1251"/>
      <c r="ZZ138" s="1251"/>
      <c r="AAA138" s="1251"/>
      <c r="AAB138" s="1251"/>
      <c r="AAC138" s="1251"/>
      <c r="AAD138" s="1251"/>
      <c r="AAE138" s="1251"/>
      <c r="AAF138" s="1251"/>
      <c r="AAG138" s="1251"/>
      <c r="AAH138" s="1251"/>
      <c r="AAI138" s="1251"/>
      <c r="AAJ138" s="1251"/>
      <c r="AAK138" s="1251"/>
      <c r="AAL138" s="1251"/>
      <c r="AAM138" s="1251"/>
      <c r="AAN138" s="1251"/>
      <c r="AAO138" s="1251"/>
      <c r="AAP138" s="1251"/>
      <c r="AAQ138" s="1251"/>
      <c r="AAR138" s="1251"/>
      <c r="AAS138" s="1251"/>
      <c r="AAT138" s="1251"/>
      <c r="AAU138" s="1251"/>
      <c r="AAV138" s="1251"/>
      <c r="AAW138" s="1251"/>
      <c r="AAX138" s="1251"/>
      <c r="AAY138" s="1251"/>
      <c r="AAZ138" s="1251"/>
      <c r="ABA138" s="1251"/>
      <c r="ABB138" s="1251"/>
      <c r="ABC138" s="1251"/>
      <c r="ABD138" s="1251"/>
      <c r="ABE138" s="1251"/>
      <c r="ABF138" s="1251"/>
      <c r="ABG138" s="1251"/>
      <c r="ABH138" s="1251"/>
      <c r="ABI138" s="1251"/>
      <c r="ABJ138" s="1251"/>
      <c r="ABK138" s="1251"/>
      <c r="ABL138" s="1251"/>
      <c r="ABM138" s="1251"/>
      <c r="ABN138" s="1251"/>
      <c r="ABO138" s="1251"/>
      <c r="ABP138" s="1251"/>
      <c r="ABQ138" s="1251"/>
      <c r="ABR138" s="1251"/>
      <c r="ABS138" s="1251"/>
      <c r="ABT138" s="1251"/>
      <c r="ABU138" s="1251"/>
      <c r="ABV138" s="1251"/>
      <c r="ABW138" s="1251"/>
      <c r="ABX138" s="1251"/>
      <c r="ABY138" s="1251"/>
      <c r="ABZ138" s="1251"/>
      <c r="ACA138" s="1251"/>
      <c r="ACB138" s="1251"/>
      <c r="ACC138" s="1251"/>
      <c r="ACD138" s="1251"/>
      <c r="ACE138" s="1251"/>
      <c r="ACF138" s="1251"/>
      <c r="ACG138" s="1251"/>
      <c r="ACH138" s="1251"/>
      <c r="ACI138" s="1251"/>
      <c r="ACJ138" s="1251"/>
      <c r="ACK138" s="1251"/>
      <c r="ACL138" s="1251"/>
      <c r="ACM138" s="1251"/>
      <c r="ACN138" s="1251"/>
      <c r="ACO138" s="1251"/>
      <c r="ACP138" s="1251"/>
      <c r="ACQ138" s="1251"/>
      <c r="ACR138" s="1251"/>
      <c r="ACS138" s="1251"/>
      <c r="ACT138" s="1251"/>
      <c r="ACU138" s="1251"/>
      <c r="ACV138" s="1251"/>
      <c r="ACW138" s="1251"/>
      <c r="ACX138" s="1251"/>
      <c r="ACY138" s="1251"/>
      <c r="ACZ138" s="1251"/>
      <c r="ADA138" s="1251"/>
      <c r="ADB138" s="1251"/>
      <c r="ADC138" s="1251"/>
      <c r="ADD138" s="1251"/>
      <c r="ADE138" s="1251"/>
      <c r="ADF138" s="1251"/>
      <c r="ADG138" s="1251"/>
      <c r="ADH138" s="1251"/>
      <c r="ADI138" s="1251"/>
      <c r="ADJ138" s="1251"/>
      <c r="ADK138" s="1251"/>
      <c r="ADL138" s="1251"/>
      <c r="ADM138" s="1251"/>
      <c r="ADN138" s="1251"/>
      <c r="ADO138" s="1251"/>
      <c r="ADP138" s="1251"/>
      <c r="ADQ138" s="1251"/>
      <c r="ADR138" s="1251"/>
      <c r="ADS138" s="1251"/>
      <c r="ADT138" s="1251"/>
      <c r="ADU138" s="1251"/>
      <c r="ADV138" s="1251"/>
      <c r="ADW138" s="1251"/>
      <c r="ADX138" s="1251"/>
      <c r="ADY138" s="1251"/>
      <c r="ADZ138" s="1251"/>
      <c r="AEA138" s="1251"/>
      <c r="AEB138" s="1251"/>
      <c r="AEC138" s="1251"/>
      <c r="AED138" s="1251"/>
      <c r="AEE138" s="1251"/>
      <c r="AEF138" s="1251"/>
      <c r="AEG138" s="1251"/>
      <c r="AEH138" s="1251"/>
      <c r="AEI138" s="1251"/>
      <c r="AEJ138" s="1251"/>
      <c r="AEK138" s="1251"/>
      <c r="AEL138" s="1251"/>
      <c r="AEM138" s="1251"/>
      <c r="AEN138" s="1251"/>
      <c r="AEO138" s="1251"/>
      <c r="AEP138" s="1251"/>
      <c r="AEQ138" s="1251"/>
      <c r="AER138" s="1251"/>
      <c r="AES138" s="1251"/>
      <c r="AET138" s="1251"/>
      <c r="AEU138" s="1251"/>
      <c r="AEV138" s="1251"/>
      <c r="AEW138" s="1251"/>
      <c r="AEX138" s="1251"/>
      <c r="AEY138" s="1251"/>
      <c r="AEZ138" s="1251"/>
      <c r="AFA138" s="1251"/>
      <c r="AFB138" s="1251"/>
      <c r="AFC138" s="1251"/>
      <c r="AFD138" s="1251"/>
      <c r="AFE138" s="1251"/>
      <c r="AFF138" s="1251"/>
      <c r="AFG138" s="1251"/>
      <c r="AFH138" s="1251"/>
      <c r="AFI138" s="1251"/>
      <c r="AFJ138" s="1251"/>
      <c r="AFK138" s="1251"/>
      <c r="AFL138" s="1251"/>
      <c r="AFM138" s="1251"/>
      <c r="AFN138" s="1251"/>
      <c r="AFO138" s="1251"/>
      <c r="AFP138" s="1251"/>
      <c r="AFQ138" s="1251"/>
      <c r="AFR138" s="1251"/>
      <c r="AFS138" s="1251"/>
      <c r="AFT138" s="1251"/>
      <c r="AFU138" s="1251"/>
      <c r="AFV138" s="1251"/>
      <c r="AFW138" s="1251"/>
      <c r="AFX138" s="1251"/>
      <c r="AFY138" s="1251"/>
      <c r="AFZ138" s="1251"/>
      <c r="AGA138" s="1251"/>
      <c r="AGB138" s="1251"/>
      <c r="AGC138" s="1251"/>
      <c r="AGD138" s="1251"/>
      <c r="AGE138" s="1251"/>
      <c r="AGF138" s="1251"/>
      <c r="AGG138" s="1251"/>
      <c r="AGH138" s="1251"/>
      <c r="AGI138" s="1251"/>
      <c r="AGJ138" s="1251"/>
      <c r="AGK138" s="1251"/>
      <c r="AGL138" s="1251"/>
      <c r="AGM138" s="1251"/>
      <c r="AGN138" s="1251"/>
      <c r="AGO138" s="1251"/>
      <c r="AGP138" s="1251"/>
      <c r="AGQ138" s="1251"/>
      <c r="AGR138" s="1251"/>
      <c r="AGS138" s="1251"/>
      <c r="AGT138" s="1251"/>
      <c r="AGU138" s="1251"/>
      <c r="AGV138" s="1251"/>
      <c r="AGW138" s="1251"/>
      <c r="AGX138" s="1251"/>
      <c r="AGY138" s="1251"/>
      <c r="AGZ138" s="1251"/>
      <c r="AHA138" s="1251"/>
      <c r="AHB138" s="1251"/>
      <c r="AHC138" s="1251"/>
      <c r="AHD138" s="1251"/>
      <c r="AHE138" s="1251"/>
      <c r="AHF138" s="1251"/>
      <c r="AHG138" s="1251"/>
      <c r="AHH138" s="1251"/>
      <c r="AHI138" s="1251"/>
      <c r="AHJ138" s="1251"/>
      <c r="AHK138" s="1251"/>
      <c r="AHL138" s="1251"/>
      <c r="AHM138" s="1251"/>
      <c r="AHN138" s="1251"/>
      <c r="AHO138" s="1251"/>
      <c r="AHP138" s="1251"/>
      <c r="AHQ138" s="1251"/>
      <c r="AHR138" s="1251"/>
      <c r="AHS138" s="1251"/>
      <c r="AHT138" s="1251"/>
      <c r="AHU138" s="1251"/>
      <c r="AHV138" s="1251"/>
      <c r="AHW138" s="1251"/>
      <c r="AHX138" s="1251"/>
      <c r="AHY138" s="1251"/>
      <c r="AHZ138" s="1251"/>
      <c r="AIA138" s="1251"/>
      <c r="AIB138" s="1251"/>
      <c r="AIC138" s="1251"/>
      <c r="AID138" s="1251"/>
      <c r="AIE138" s="1251"/>
      <c r="AIF138" s="1251"/>
      <c r="AIG138" s="1251"/>
      <c r="AIH138" s="1251"/>
      <c r="AII138" s="1251"/>
      <c r="AIJ138" s="1251"/>
      <c r="AIK138" s="1251"/>
      <c r="AIL138" s="1251"/>
      <c r="AIM138" s="1251"/>
      <c r="AIN138" s="1251"/>
      <c r="AIO138" s="1251"/>
      <c r="AIP138" s="1251"/>
      <c r="AIQ138" s="1251"/>
      <c r="AIR138" s="1251"/>
      <c r="AIS138" s="1251"/>
      <c r="AIT138" s="1251"/>
      <c r="AIU138" s="1251"/>
      <c r="AIV138" s="1251"/>
      <c r="AIW138" s="1251"/>
      <c r="AIX138" s="1251"/>
      <c r="AIY138" s="1251"/>
      <c r="AIZ138" s="1251"/>
      <c r="AJA138" s="1251"/>
      <c r="AJB138" s="1251"/>
      <c r="AJC138" s="1251"/>
      <c r="AJD138" s="1251"/>
      <c r="AJE138" s="1251"/>
      <c r="AJF138" s="1251"/>
      <c r="AJG138" s="1251"/>
      <c r="AJH138" s="1251"/>
      <c r="AJI138" s="1251"/>
      <c r="AJJ138" s="1251"/>
      <c r="AJK138" s="1251"/>
      <c r="AJL138" s="1251"/>
      <c r="AJM138" s="1251"/>
      <c r="AJN138" s="1251"/>
      <c r="AJO138" s="1251"/>
      <c r="AJP138" s="1251"/>
      <c r="AJQ138" s="1251"/>
      <c r="AJR138" s="1251"/>
      <c r="AJS138" s="1251"/>
      <c r="AJT138" s="1251"/>
      <c r="AJU138" s="1251"/>
      <c r="AJV138" s="1251"/>
      <c r="AJW138" s="1251"/>
      <c r="AJX138" s="1251"/>
      <c r="AJY138" s="1251"/>
      <c r="AJZ138" s="1251"/>
      <c r="AKA138" s="1251"/>
      <c r="AKB138" s="1251"/>
      <c r="AKC138" s="1251"/>
      <c r="AKD138" s="1251"/>
      <c r="AKE138" s="1251"/>
      <c r="AKF138" s="1251"/>
      <c r="AKG138" s="1251"/>
      <c r="AKH138" s="1251"/>
      <c r="AKI138" s="1251"/>
      <c r="AKJ138" s="1251"/>
      <c r="AKK138" s="1251"/>
      <c r="AKL138" s="1251"/>
      <c r="AKM138" s="1251"/>
      <c r="AKN138" s="1251"/>
      <c r="AKO138" s="1251"/>
      <c r="AKP138" s="1251"/>
      <c r="AKQ138" s="1251"/>
      <c r="AKR138" s="1251"/>
      <c r="AKS138" s="1251"/>
      <c r="AKT138" s="1251"/>
      <c r="AKU138" s="1251"/>
      <c r="AKV138" s="1251"/>
      <c r="AKW138" s="1251"/>
      <c r="AKX138" s="1251"/>
      <c r="AKY138" s="1251"/>
      <c r="AKZ138" s="1251"/>
      <c r="ALA138" s="1251"/>
      <c r="ALB138" s="1251"/>
      <c r="ALC138" s="1251"/>
      <c r="ALD138" s="1251"/>
      <c r="ALE138" s="1251"/>
      <c r="ALF138" s="1251"/>
      <c r="ALG138" s="1251"/>
      <c r="ALH138" s="1251"/>
      <c r="ALI138" s="1251"/>
      <c r="ALJ138" s="1251"/>
      <c r="ALK138" s="1251"/>
      <c r="ALL138" s="1251"/>
      <c r="ALM138" s="1251"/>
      <c r="ALN138" s="1251"/>
      <c r="ALO138" s="1251"/>
      <c r="ALP138" s="1251"/>
      <c r="ALQ138" s="1251"/>
      <c r="ALR138" s="1251"/>
      <c r="ALS138" s="1251"/>
      <c r="ALT138" s="1251"/>
      <c r="ALU138" s="1251"/>
      <c r="ALV138" s="1251"/>
      <c r="ALW138" s="1251"/>
      <c r="ALX138" s="1251"/>
      <c r="ALY138" s="1251"/>
      <c r="ALZ138" s="1251"/>
      <c r="AMA138" s="1251"/>
      <c r="AMB138" s="1251"/>
      <c r="AMC138" s="1251"/>
      <c r="AMD138" s="1251"/>
      <c r="AME138" s="1251"/>
      <c r="AMF138" s="1251"/>
      <c r="AMG138" s="1251"/>
      <c r="AMH138" s="1251"/>
      <c r="AMI138" s="1251"/>
      <c r="AMJ138" s="1251"/>
      <c r="AMK138" s="1251"/>
      <c r="AML138" s="1251"/>
      <c r="AMM138" s="1251"/>
      <c r="AMN138" s="1251"/>
      <c r="AMO138" s="1251"/>
      <c r="AMP138" s="1251"/>
      <c r="AMQ138" s="1251"/>
      <c r="AMR138" s="1251"/>
      <c r="AMS138" s="1251"/>
      <c r="AMT138" s="1251"/>
      <c r="AMU138" s="1251"/>
      <c r="AMV138" s="1251"/>
      <c r="AMW138" s="1251"/>
      <c r="AMX138" s="1251"/>
      <c r="AMY138" s="1251"/>
      <c r="AMZ138" s="1251"/>
      <c r="ANA138" s="1251"/>
      <c r="ANB138" s="1251"/>
      <c r="ANC138" s="1251"/>
      <c r="AND138" s="1251"/>
      <c r="ANE138" s="1251"/>
      <c r="ANF138" s="1251"/>
      <c r="ANG138" s="1251"/>
      <c r="ANH138" s="1251"/>
      <c r="ANI138" s="1251"/>
      <c r="ANJ138" s="1251"/>
      <c r="ANK138" s="1251"/>
      <c r="ANL138" s="1251"/>
      <c r="ANM138" s="1251"/>
      <c r="ANN138" s="1251"/>
      <c r="ANO138" s="1251"/>
      <c r="ANP138" s="1251"/>
      <c r="ANQ138" s="1251"/>
      <c r="ANR138" s="1251"/>
      <c r="ANS138" s="1251"/>
      <c r="ANT138" s="1251"/>
      <c r="ANU138" s="1251"/>
      <c r="ANV138" s="1251"/>
      <c r="ANW138" s="1251"/>
      <c r="ANX138" s="1251"/>
      <c r="ANY138" s="1251"/>
      <c r="ANZ138" s="1251"/>
      <c r="AOA138" s="1251"/>
      <c r="AOB138" s="1251"/>
      <c r="AOC138" s="1251"/>
      <c r="AOD138" s="1251"/>
      <c r="AOE138" s="1251"/>
      <c r="AOF138" s="1251"/>
      <c r="AOG138" s="1251"/>
      <c r="AOH138" s="1251"/>
      <c r="AOI138" s="1251"/>
      <c r="AOJ138" s="1251"/>
      <c r="AOK138" s="1251"/>
      <c r="AOL138" s="1251"/>
      <c r="AOM138" s="1251"/>
      <c r="AON138" s="1251"/>
      <c r="AOO138" s="1251"/>
      <c r="AOP138" s="1251"/>
      <c r="AOQ138" s="1251"/>
      <c r="AOR138" s="1251"/>
      <c r="AOS138" s="1251"/>
      <c r="AOT138" s="1251"/>
      <c r="AOU138" s="1251"/>
      <c r="AOV138" s="1251"/>
      <c r="AOW138" s="1251"/>
      <c r="AOX138" s="1251"/>
      <c r="AOY138" s="1251"/>
      <c r="AOZ138" s="1251"/>
      <c r="APA138" s="1251"/>
      <c r="APB138" s="1251"/>
      <c r="APC138" s="1251"/>
      <c r="APD138" s="1251"/>
      <c r="APE138" s="1251"/>
      <c r="APF138" s="1251"/>
      <c r="APG138" s="1251"/>
      <c r="APH138" s="1251"/>
      <c r="API138" s="1251"/>
      <c r="APJ138" s="1251"/>
      <c r="APK138" s="1251"/>
      <c r="APL138" s="1251"/>
      <c r="APM138" s="1251"/>
      <c r="APN138" s="1251"/>
      <c r="APO138" s="1251"/>
      <c r="APP138" s="1251"/>
      <c r="APQ138" s="1251"/>
      <c r="APR138" s="1251"/>
      <c r="APS138" s="1251"/>
      <c r="APT138" s="1251"/>
      <c r="APU138" s="1251"/>
      <c r="APV138" s="1251"/>
      <c r="APW138" s="1251"/>
      <c r="APX138" s="1251"/>
      <c r="APY138" s="1251"/>
      <c r="APZ138" s="1251"/>
      <c r="AQA138" s="1251"/>
      <c r="AQB138" s="1251"/>
      <c r="AQC138" s="1251"/>
      <c r="AQD138" s="1251"/>
      <c r="AQE138" s="1251"/>
      <c r="AQF138" s="1251"/>
      <c r="AQG138" s="1251"/>
      <c r="AQH138" s="1251"/>
      <c r="AQI138" s="1251"/>
      <c r="AQJ138" s="1251"/>
      <c r="AQK138" s="1251"/>
      <c r="AQL138" s="1251"/>
      <c r="AQM138" s="1251"/>
      <c r="AQN138" s="1251"/>
      <c r="AQO138" s="1251"/>
      <c r="AQP138" s="1251"/>
      <c r="AQQ138" s="1251"/>
      <c r="AQR138" s="1251"/>
      <c r="AQS138" s="1251"/>
      <c r="AQT138" s="1251"/>
      <c r="AQU138" s="1251"/>
      <c r="AQV138" s="1251"/>
      <c r="AQW138" s="1251"/>
      <c r="AQX138" s="1251"/>
      <c r="AQY138" s="1251"/>
      <c r="AQZ138" s="1251"/>
      <c r="ARA138" s="1251"/>
      <c r="ARB138" s="1251"/>
      <c r="ARC138" s="1251"/>
      <c r="ARD138" s="1251"/>
      <c r="ARE138" s="1251"/>
      <c r="ARF138" s="1251"/>
      <c r="ARG138" s="1251"/>
      <c r="ARH138" s="1251"/>
      <c r="ARI138" s="1251"/>
      <c r="ARJ138" s="1251"/>
      <c r="ARK138" s="1251"/>
      <c r="ARL138" s="1251"/>
      <c r="ARM138" s="1251"/>
      <c r="ARN138" s="1251"/>
      <c r="ARO138" s="1251"/>
      <c r="ARP138" s="1251"/>
      <c r="ARQ138" s="1251"/>
      <c r="ARR138" s="1251"/>
      <c r="ARS138" s="1251"/>
      <c r="ART138" s="1251"/>
      <c r="ARU138" s="1251"/>
      <c r="ARV138" s="1251"/>
      <c r="ARW138" s="1251"/>
      <c r="ARX138" s="1251"/>
      <c r="ARY138" s="1251"/>
      <c r="ARZ138" s="1251"/>
      <c r="ASA138" s="1251"/>
      <c r="ASB138" s="1251"/>
      <c r="ASC138" s="1251"/>
      <c r="ASD138" s="1251"/>
      <c r="ASE138" s="1251"/>
      <c r="ASF138" s="1251"/>
      <c r="ASG138" s="1251"/>
      <c r="ASH138" s="1251"/>
      <c r="ASI138" s="1251"/>
      <c r="ASJ138" s="1251"/>
      <c r="ASK138" s="1251"/>
      <c r="ASL138" s="1251"/>
      <c r="ASM138" s="1251"/>
      <c r="ASN138" s="1251"/>
      <c r="ASO138" s="1251"/>
      <c r="ASP138" s="1251"/>
      <c r="ASQ138" s="1251"/>
      <c r="ASR138" s="1251"/>
      <c r="ASS138" s="1251"/>
      <c r="AST138" s="1251"/>
      <c r="ASU138" s="1251"/>
      <c r="ASV138" s="1251"/>
      <c r="ASW138" s="1251"/>
      <c r="ASX138" s="1251"/>
      <c r="ASY138" s="1251"/>
      <c r="ASZ138" s="1251"/>
      <c r="ATA138" s="1251"/>
      <c r="ATB138" s="1251"/>
      <c r="ATC138" s="1251"/>
      <c r="ATD138" s="1251"/>
      <c r="ATE138" s="1251"/>
      <c r="ATF138" s="1251"/>
      <c r="ATG138" s="1251"/>
      <c r="ATH138" s="1251"/>
      <c r="ATI138" s="1251"/>
      <c r="ATJ138" s="1251"/>
      <c r="ATK138" s="1251"/>
      <c r="ATL138" s="1251"/>
      <c r="ATM138" s="1251"/>
      <c r="ATN138" s="1251"/>
      <c r="ATO138" s="1251"/>
      <c r="ATP138" s="1251"/>
      <c r="ATQ138" s="1251"/>
      <c r="ATR138" s="1251"/>
      <c r="ATS138" s="1251"/>
      <c r="ATT138" s="1251"/>
      <c r="ATU138" s="1251"/>
      <c r="ATV138" s="1251"/>
      <c r="ATW138" s="1251"/>
      <c r="ATX138" s="1251"/>
      <c r="ATY138" s="1251"/>
      <c r="ATZ138" s="1251"/>
      <c r="AUA138" s="1251"/>
      <c r="AUB138" s="1251"/>
      <c r="AUC138" s="1251"/>
      <c r="AUD138" s="1251"/>
      <c r="AUE138" s="1251"/>
      <c r="AUF138" s="1251"/>
      <c r="AUG138" s="1251"/>
      <c r="AUH138" s="1251"/>
      <c r="AUI138" s="1251"/>
      <c r="AUJ138" s="1251"/>
      <c r="AUK138" s="1251"/>
      <c r="AUL138" s="1251"/>
      <c r="AUM138" s="1251"/>
      <c r="AUN138" s="1251"/>
      <c r="AUO138" s="1251"/>
      <c r="AUP138" s="1251"/>
      <c r="AUQ138" s="1251"/>
      <c r="AUR138" s="1251"/>
      <c r="AUS138" s="1251"/>
      <c r="AUT138" s="1251"/>
      <c r="AUU138" s="1251"/>
      <c r="AUV138" s="1251"/>
      <c r="AUW138" s="1251"/>
      <c r="AUX138" s="1251"/>
      <c r="AUY138" s="1251"/>
      <c r="AUZ138" s="1251"/>
      <c r="AVA138" s="1251"/>
      <c r="AVB138" s="1251"/>
      <c r="AVC138" s="1251"/>
      <c r="AVD138" s="1251"/>
      <c r="AVE138" s="1251"/>
      <c r="AVF138" s="1251"/>
      <c r="AVG138" s="1251"/>
      <c r="AVH138" s="1251"/>
      <c r="AVI138" s="1251"/>
      <c r="AVJ138" s="1251"/>
      <c r="AVK138" s="1251"/>
      <c r="AVL138" s="1251"/>
      <c r="AVM138" s="1251"/>
      <c r="AVN138" s="1251"/>
      <c r="AVO138" s="1251"/>
      <c r="AVP138" s="1251"/>
      <c r="AVQ138" s="1251"/>
      <c r="AVR138" s="1251"/>
      <c r="AVS138" s="1251"/>
      <c r="AVT138" s="1251"/>
      <c r="AVU138" s="1251"/>
      <c r="AVV138" s="1251"/>
      <c r="AVW138" s="1251"/>
      <c r="AVX138" s="1251"/>
      <c r="AVY138" s="1251"/>
      <c r="AVZ138" s="1251"/>
      <c r="AWA138" s="1251"/>
      <c r="AWB138" s="1251"/>
      <c r="AWC138" s="1251"/>
      <c r="AWD138" s="1251"/>
      <c r="AWE138" s="1251"/>
      <c r="AWF138" s="1251"/>
      <c r="AWG138" s="1251"/>
      <c r="AWH138" s="1251"/>
      <c r="AWI138" s="1251"/>
      <c r="AWJ138" s="1251"/>
      <c r="AWK138" s="1251"/>
      <c r="AWL138" s="1251"/>
      <c r="AWM138" s="1251"/>
      <c r="AWN138" s="1251"/>
      <c r="AWO138" s="1251"/>
      <c r="AWP138" s="1251"/>
      <c r="AWQ138" s="1251"/>
      <c r="AWR138" s="1251"/>
      <c r="AWS138" s="1251"/>
      <c r="AWT138" s="1251"/>
      <c r="AWU138" s="1251"/>
      <c r="AWV138" s="1251"/>
      <c r="AWW138" s="1251"/>
      <c r="AWX138" s="1251"/>
      <c r="AWY138" s="1251"/>
      <c r="AWZ138" s="1251"/>
      <c r="AXA138" s="1251"/>
      <c r="AXB138" s="1251"/>
      <c r="AXC138" s="1251"/>
      <c r="AXD138" s="1251"/>
      <c r="AXE138" s="1251"/>
      <c r="AXF138" s="1251"/>
      <c r="AXG138" s="1251"/>
      <c r="AXH138" s="1251"/>
      <c r="AXI138" s="1251"/>
      <c r="AXJ138" s="1251"/>
      <c r="AXK138" s="1251"/>
      <c r="AXL138" s="1251"/>
      <c r="AXM138" s="1251"/>
      <c r="AXN138" s="1251"/>
      <c r="AXO138" s="1251"/>
      <c r="AXP138" s="1251"/>
      <c r="AXQ138" s="1251"/>
      <c r="AXR138" s="1251"/>
      <c r="AXS138" s="1251"/>
      <c r="AXT138" s="1251"/>
      <c r="AXU138" s="1251"/>
      <c r="AXV138" s="1251"/>
      <c r="AXW138" s="1251"/>
      <c r="AXX138" s="1251"/>
      <c r="AXY138" s="1251"/>
      <c r="AXZ138" s="1251"/>
      <c r="AYA138" s="1251"/>
      <c r="AYB138" s="1251"/>
      <c r="AYC138" s="1251"/>
      <c r="AYD138" s="1251"/>
      <c r="AYE138" s="1251"/>
      <c r="AYF138" s="1251"/>
      <c r="AYG138" s="1251"/>
      <c r="AYH138" s="1251"/>
      <c r="AYI138" s="1251"/>
      <c r="AYJ138" s="1251"/>
      <c r="AYK138" s="1251"/>
      <c r="AYL138" s="1251"/>
      <c r="AYM138" s="1251"/>
      <c r="AYN138" s="1251"/>
      <c r="AYO138" s="1251"/>
      <c r="AYP138" s="1251"/>
      <c r="AYQ138" s="1251"/>
      <c r="AYR138" s="1251"/>
      <c r="AYS138" s="1251"/>
      <c r="AYT138" s="1251"/>
      <c r="AYU138" s="1251"/>
      <c r="AYV138" s="1251"/>
      <c r="AYW138" s="1251"/>
      <c r="AYX138" s="1251"/>
      <c r="AYY138" s="1251"/>
      <c r="AYZ138" s="1251"/>
      <c r="AZA138" s="1251"/>
      <c r="AZB138" s="1251"/>
      <c r="AZC138" s="1251"/>
      <c r="AZD138" s="1251"/>
      <c r="AZE138" s="1251"/>
      <c r="AZF138" s="1251"/>
      <c r="AZG138" s="1251"/>
      <c r="AZH138" s="1251"/>
      <c r="AZI138" s="1251"/>
      <c r="AZJ138" s="1251"/>
      <c r="AZK138" s="1251"/>
      <c r="AZL138" s="1251"/>
      <c r="AZM138" s="1251"/>
      <c r="AZN138" s="1251"/>
      <c r="AZO138" s="1251"/>
      <c r="AZP138" s="1251"/>
      <c r="AZQ138" s="1251"/>
      <c r="AZR138" s="1251"/>
      <c r="AZS138" s="1251"/>
      <c r="AZT138" s="1251"/>
      <c r="AZU138" s="1251"/>
      <c r="AZV138" s="1251"/>
      <c r="AZW138" s="1251"/>
      <c r="AZX138" s="1251"/>
      <c r="AZY138" s="1251"/>
      <c r="AZZ138" s="1251"/>
      <c r="BAA138" s="1251"/>
      <c r="BAB138" s="1251"/>
      <c r="BAC138" s="1251"/>
      <c r="BAD138" s="1251"/>
      <c r="BAE138" s="1251"/>
      <c r="BAF138" s="1251"/>
      <c r="BAG138" s="1251"/>
      <c r="BAH138" s="1251"/>
      <c r="BAI138" s="1251"/>
      <c r="BAJ138" s="1251"/>
      <c r="BAK138" s="1251"/>
      <c r="BAL138" s="1251"/>
      <c r="BAM138" s="1251"/>
      <c r="BAN138" s="1251"/>
      <c r="BAO138" s="1251"/>
      <c r="BAP138" s="1251"/>
      <c r="BAQ138" s="1251"/>
      <c r="BAR138" s="1251"/>
      <c r="BAS138" s="1251"/>
      <c r="BAT138" s="1251"/>
      <c r="BAU138" s="1251"/>
      <c r="BAV138" s="1251"/>
      <c r="BAW138" s="1251"/>
      <c r="BAX138" s="1251"/>
      <c r="BAY138" s="1251"/>
      <c r="BAZ138" s="1251"/>
      <c r="BBA138" s="1251"/>
      <c r="BBB138" s="1251"/>
      <c r="BBC138" s="1251"/>
      <c r="BBD138" s="1251"/>
      <c r="BBE138" s="1251"/>
      <c r="BBF138" s="1251"/>
      <c r="BBG138" s="1251"/>
      <c r="BBH138" s="1251"/>
      <c r="BBI138" s="1251"/>
      <c r="BBJ138" s="1251"/>
      <c r="BBK138" s="1251"/>
      <c r="BBL138" s="1251"/>
      <c r="BBM138" s="1251"/>
      <c r="BBN138" s="1251"/>
      <c r="BBO138" s="1251"/>
      <c r="BBP138" s="1251"/>
      <c r="BBQ138" s="1251"/>
      <c r="BBR138" s="1251"/>
      <c r="BBS138" s="1251"/>
      <c r="BBT138" s="1251"/>
      <c r="BBU138" s="1251"/>
      <c r="BBV138" s="1251"/>
      <c r="BBW138" s="1251"/>
      <c r="BBX138" s="1251"/>
      <c r="BBY138" s="1251"/>
      <c r="BBZ138" s="1251"/>
      <c r="BCA138" s="1251"/>
      <c r="BCB138" s="1251"/>
      <c r="BCC138" s="1251"/>
      <c r="BCD138" s="1251"/>
      <c r="BCE138" s="1251"/>
      <c r="BCF138" s="1251"/>
      <c r="BCG138" s="1251"/>
      <c r="BCH138" s="1251"/>
      <c r="BCI138" s="1251"/>
      <c r="BCJ138" s="1251"/>
      <c r="BCK138" s="1251"/>
      <c r="BCL138" s="1251"/>
      <c r="BCM138" s="1251"/>
      <c r="BCN138" s="1251"/>
      <c r="BCO138" s="1251"/>
      <c r="BCP138" s="1251"/>
      <c r="BCQ138" s="1251"/>
      <c r="BCR138" s="1251"/>
      <c r="BCS138" s="1251"/>
      <c r="BCT138" s="1251"/>
      <c r="BCU138" s="1251"/>
      <c r="BCV138" s="1251"/>
      <c r="BCW138" s="1251"/>
      <c r="BCX138" s="1251"/>
      <c r="BCY138" s="1251"/>
      <c r="BCZ138" s="1251"/>
      <c r="BDA138" s="1251"/>
      <c r="BDB138" s="1251"/>
      <c r="BDC138" s="1251"/>
      <c r="BDD138" s="1251"/>
      <c r="BDE138" s="1251"/>
      <c r="BDF138" s="1251"/>
      <c r="BDG138" s="1251"/>
      <c r="BDH138" s="1251"/>
      <c r="BDI138" s="1251"/>
      <c r="BDJ138" s="1251"/>
      <c r="BDK138" s="1251"/>
      <c r="BDL138" s="1251"/>
      <c r="BDM138" s="1251"/>
      <c r="BDN138" s="1251"/>
      <c r="BDO138" s="1251"/>
      <c r="BDP138" s="1251"/>
      <c r="BDQ138" s="1251"/>
      <c r="BDR138" s="1251"/>
      <c r="BDS138" s="1251"/>
      <c r="BDT138" s="1251"/>
      <c r="BDU138" s="1251"/>
      <c r="BDV138" s="1251"/>
      <c r="BDW138" s="1251"/>
      <c r="BDX138" s="1251"/>
      <c r="BDY138" s="1251"/>
      <c r="BDZ138" s="1251"/>
      <c r="BEA138" s="1251"/>
      <c r="BEB138" s="1251"/>
      <c r="BEC138" s="1251"/>
      <c r="BED138" s="1251"/>
      <c r="BEE138" s="1251"/>
      <c r="BEF138" s="1251"/>
      <c r="BEG138" s="1251"/>
      <c r="BEH138" s="1251"/>
      <c r="BEI138" s="1251"/>
      <c r="BEJ138" s="1251"/>
      <c r="BEK138" s="1251"/>
      <c r="BEL138" s="1251"/>
      <c r="BEM138" s="1251"/>
      <c r="BEN138" s="1251"/>
      <c r="BEO138" s="1251"/>
      <c r="BEP138" s="1251"/>
      <c r="BEQ138" s="1251"/>
      <c r="BER138" s="1251"/>
      <c r="BES138" s="1251"/>
      <c r="BET138" s="1251"/>
      <c r="BEU138" s="1251"/>
      <c r="BEV138" s="1251"/>
      <c r="BEW138" s="1251"/>
      <c r="BEX138" s="1251"/>
      <c r="BEY138" s="1251"/>
      <c r="BEZ138" s="1251"/>
      <c r="BFA138" s="1251"/>
      <c r="BFB138" s="1251"/>
      <c r="BFC138" s="1251"/>
      <c r="BFD138" s="1251"/>
      <c r="BFE138" s="1251"/>
      <c r="BFF138" s="1251"/>
      <c r="BFG138" s="1251"/>
      <c r="BFH138" s="1251"/>
      <c r="BFI138" s="1251"/>
      <c r="BFJ138" s="1251"/>
      <c r="BFK138" s="1251"/>
      <c r="BFL138" s="1251"/>
      <c r="BFM138" s="1251"/>
      <c r="BFN138" s="1251"/>
      <c r="BFO138" s="1251"/>
      <c r="BFP138" s="1251"/>
      <c r="BFQ138" s="1251"/>
      <c r="BFR138" s="1251"/>
      <c r="BFS138" s="1251"/>
      <c r="BFT138" s="1251"/>
      <c r="BFU138" s="1251"/>
      <c r="BFV138" s="1251"/>
      <c r="BFW138" s="1251"/>
      <c r="BFX138" s="1251"/>
      <c r="BFY138" s="1251"/>
      <c r="BFZ138" s="1251"/>
      <c r="BGA138" s="1251"/>
      <c r="BGB138" s="1251"/>
      <c r="BGC138" s="1251"/>
      <c r="BGD138" s="1251"/>
      <c r="BGE138" s="1251"/>
      <c r="BGF138" s="1251"/>
      <c r="BGG138" s="1251"/>
      <c r="BGH138" s="1251"/>
      <c r="BGI138" s="1251"/>
      <c r="BGJ138" s="1251"/>
      <c r="BGK138" s="1251"/>
      <c r="BGL138" s="1251"/>
      <c r="BGM138" s="1251"/>
      <c r="BGN138" s="1251"/>
      <c r="BGO138" s="1251"/>
      <c r="BGP138" s="1251"/>
      <c r="BGQ138" s="1251"/>
      <c r="BGR138" s="1251"/>
      <c r="BGS138" s="1251"/>
      <c r="BGT138" s="1251"/>
      <c r="BGU138" s="1251"/>
      <c r="BGV138" s="1251"/>
      <c r="BGW138" s="1251"/>
      <c r="BGX138" s="1251"/>
      <c r="BGY138" s="1251"/>
      <c r="BGZ138" s="1251"/>
      <c r="BHA138" s="1251"/>
      <c r="BHB138" s="1251"/>
      <c r="BHC138" s="1251"/>
      <c r="BHD138" s="1251"/>
      <c r="BHE138" s="1251"/>
      <c r="BHF138" s="1251"/>
      <c r="BHG138" s="1251"/>
      <c r="BHH138" s="1251"/>
      <c r="BHI138" s="1251"/>
      <c r="BHJ138" s="1251"/>
      <c r="BHK138" s="1251"/>
      <c r="BHL138" s="1251"/>
      <c r="BHM138" s="1251"/>
      <c r="BHN138" s="1251"/>
      <c r="BHO138" s="1251"/>
      <c r="BHP138" s="1251"/>
      <c r="BHQ138" s="1251"/>
      <c r="BHR138" s="1251"/>
      <c r="BHS138" s="1251"/>
      <c r="BHT138" s="1251"/>
      <c r="BHU138" s="1251"/>
      <c r="BHV138" s="1251"/>
      <c r="BHW138" s="1251"/>
      <c r="BHX138" s="1251"/>
      <c r="BHY138" s="1251"/>
      <c r="BHZ138" s="1251"/>
      <c r="BIA138" s="1251"/>
      <c r="BIB138" s="1251"/>
      <c r="BIC138" s="1251"/>
      <c r="BID138" s="1251"/>
      <c r="BIE138" s="1251"/>
      <c r="BIF138" s="1251"/>
      <c r="BIG138" s="1251"/>
      <c r="BIH138" s="1251"/>
      <c r="BII138" s="1251"/>
      <c r="BIJ138" s="1251"/>
      <c r="BIK138" s="1251"/>
      <c r="BIL138" s="1251"/>
      <c r="BIM138" s="1251"/>
      <c r="BIN138" s="1251"/>
      <c r="BIO138" s="1251"/>
      <c r="BIP138" s="1251"/>
      <c r="BIQ138" s="1251"/>
      <c r="BIR138" s="1251"/>
      <c r="BIS138" s="1251"/>
      <c r="BIT138" s="1251"/>
      <c r="BIU138" s="1251"/>
      <c r="BIV138" s="1251"/>
      <c r="BIW138" s="1251"/>
      <c r="BIX138" s="1251"/>
      <c r="BIY138" s="1251"/>
      <c r="BIZ138" s="1251"/>
      <c r="BJA138" s="1251"/>
      <c r="BJB138" s="1251"/>
      <c r="BJC138" s="1251"/>
      <c r="BJD138" s="1251"/>
      <c r="BJE138" s="1251"/>
      <c r="BJF138" s="1251"/>
      <c r="BJG138" s="1251"/>
      <c r="BJH138" s="1251"/>
      <c r="BJI138" s="1251"/>
      <c r="BJJ138" s="1251"/>
      <c r="BJK138" s="1251"/>
      <c r="BJL138" s="1251"/>
      <c r="BJM138" s="1251"/>
      <c r="BJN138" s="1251"/>
      <c r="BJO138" s="1251"/>
      <c r="BJP138" s="1251"/>
      <c r="BJQ138" s="1251"/>
      <c r="BJR138" s="1251"/>
      <c r="BJS138" s="1251"/>
      <c r="BJT138" s="1251"/>
      <c r="BJU138" s="1251"/>
      <c r="BJV138" s="1251"/>
      <c r="BJW138" s="1251"/>
      <c r="BJX138" s="1251"/>
      <c r="BJY138" s="1251"/>
      <c r="BJZ138" s="1251"/>
      <c r="BKA138" s="1251"/>
      <c r="BKB138" s="1251"/>
      <c r="BKC138" s="1251"/>
      <c r="BKD138" s="1251"/>
      <c r="BKE138" s="1251"/>
      <c r="BKF138" s="1251"/>
      <c r="BKG138" s="1251"/>
      <c r="BKH138" s="1251"/>
      <c r="BKI138" s="1251"/>
      <c r="BKJ138" s="1251"/>
      <c r="BKK138" s="1251"/>
      <c r="BKL138" s="1251"/>
      <c r="BKM138" s="1251"/>
      <c r="BKN138" s="1251"/>
      <c r="BKO138" s="1251"/>
      <c r="BKP138" s="1251"/>
      <c r="BKQ138" s="1251"/>
      <c r="BKR138" s="1251"/>
      <c r="BKS138" s="1251"/>
      <c r="BKT138" s="1251"/>
      <c r="BKU138" s="1251"/>
      <c r="BKV138" s="1251"/>
      <c r="BKW138" s="1251"/>
      <c r="BKX138" s="1251"/>
      <c r="BKY138" s="1251"/>
      <c r="BKZ138" s="1251"/>
      <c r="BLA138" s="1251"/>
      <c r="BLB138" s="1251"/>
      <c r="BLC138" s="1251"/>
      <c r="BLD138" s="1251"/>
      <c r="BLE138" s="1251"/>
      <c r="BLF138" s="1251"/>
      <c r="BLG138" s="1251"/>
      <c r="BLH138" s="1251"/>
      <c r="BLI138" s="1251"/>
      <c r="BLJ138" s="1251"/>
      <c r="BLK138" s="1251"/>
      <c r="BLL138" s="1251"/>
      <c r="BLM138" s="1251"/>
      <c r="BLN138" s="1251"/>
      <c r="BLO138" s="1251"/>
      <c r="BLP138" s="1251"/>
      <c r="BLQ138" s="1251"/>
      <c r="BLR138" s="1251"/>
      <c r="BLS138" s="1251"/>
      <c r="BLT138" s="1251"/>
      <c r="BLU138" s="1251"/>
      <c r="BLV138" s="1251"/>
      <c r="BLW138" s="1251"/>
      <c r="BLX138" s="1251"/>
      <c r="BLY138" s="1251"/>
      <c r="BLZ138" s="1251"/>
      <c r="BMA138" s="1251"/>
      <c r="BMB138" s="1251"/>
      <c r="BMC138" s="1251"/>
      <c r="BMD138" s="1251"/>
      <c r="BME138" s="1251"/>
      <c r="BMF138" s="1251"/>
      <c r="BMG138" s="1251"/>
      <c r="BMH138" s="1251"/>
      <c r="BMI138" s="1251"/>
      <c r="BMJ138" s="1251"/>
      <c r="BMK138" s="1251"/>
      <c r="BML138" s="1251"/>
      <c r="BMM138" s="1251"/>
      <c r="BMN138" s="1251"/>
      <c r="BMO138" s="1251"/>
      <c r="BMP138" s="1251"/>
      <c r="BMQ138" s="1251"/>
      <c r="BMR138" s="1251"/>
      <c r="BMS138" s="1251"/>
      <c r="BMT138" s="1251"/>
      <c r="BMU138" s="1251"/>
      <c r="BMV138" s="1251"/>
      <c r="BMW138" s="1251"/>
      <c r="BMX138" s="1251"/>
      <c r="BMY138" s="1251"/>
      <c r="BMZ138" s="1251"/>
      <c r="BNA138" s="1251"/>
      <c r="BNB138" s="1251"/>
      <c r="BNC138" s="1251"/>
      <c r="BND138" s="1251"/>
      <c r="BNE138" s="1251"/>
      <c r="BNF138" s="1251"/>
      <c r="BNG138" s="1251"/>
      <c r="BNH138" s="1251"/>
      <c r="BNI138" s="1251"/>
      <c r="BNJ138" s="1251"/>
      <c r="BNK138" s="1251"/>
      <c r="BNL138" s="1251"/>
      <c r="BNM138" s="1251"/>
      <c r="BNN138" s="1251"/>
      <c r="BNO138" s="1251"/>
      <c r="BNP138" s="1251"/>
      <c r="BNQ138" s="1251"/>
      <c r="BNR138" s="1251"/>
      <c r="BNS138" s="1251"/>
      <c r="BNT138" s="1251"/>
      <c r="BNU138" s="1251"/>
      <c r="BNV138" s="1251"/>
      <c r="BNW138" s="1251"/>
      <c r="BNX138" s="1251"/>
      <c r="BNY138" s="1251"/>
      <c r="BNZ138" s="1251"/>
      <c r="BOA138" s="1251"/>
      <c r="BOB138" s="1251"/>
      <c r="BOC138" s="1251"/>
      <c r="BOD138" s="1251"/>
      <c r="BOE138" s="1251"/>
      <c r="BOF138" s="1251"/>
      <c r="BOG138" s="1251"/>
      <c r="BOH138" s="1251"/>
      <c r="BOI138" s="1251"/>
      <c r="BOJ138" s="1251"/>
      <c r="BOK138" s="1251"/>
      <c r="BOL138" s="1251"/>
      <c r="BOM138" s="1251"/>
      <c r="BON138" s="1251"/>
      <c r="BOO138" s="1251"/>
      <c r="BOP138" s="1251"/>
      <c r="BOQ138" s="1251"/>
      <c r="BOR138" s="1251"/>
      <c r="BOS138" s="1251"/>
      <c r="BOT138" s="1251"/>
      <c r="BOU138" s="1251"/>
      <c r="BOV138" s="1251"/>
      <c r="BOW138" s="1251"/>
      <c r="BOX138" s="1251"/>
      <c r="BOY138" s="1251"/>
      <c r="BOZ138" s="1251"/>
      <c r="BPA138" s="1251"/>
      <c r="BPB138" s="1251"/>
      <c r="BPC138" s="1251"/>
      <c r="BPD138" s="1251"/>
      <c r="BPE138" s="1251"/>
      <c r="BPF138" s="1251"/>
      <c r="BPG138" s="1251"/>
      <c r="BPH138" s="1251"/>
      <c r="BPI138" s="1251"/>
      <c r="BPJ138" s="1251"/>
      <c r="BPK138" s="1251"/>
      <c r="BPL138" s="1251"/>
      <c r="BPM138" s="1251"/>
      <c r="BPN138" s="1251"/>
      <c r="BPO138" s="1251"/>
      <c r="BPP138" s="1251"/>
      <c r="BPQ138" s="1251"/>
      <c r="BPR138" s="1251"/>
      <c r="BPS138" s="1251"/>
      <c r="BPT138" s="1251"/>
      <c r="BPU138" s="1251"/>
      <c r="BPV138" s="1251"/>
      <c r="BPW138" s="1251"/>
      <c r="BPX138" s="1251"/>
      <c r="BPY138" s="1251"/>
      <c r="BPZ138" s="1251"/>
      <c r="BQA138" s="1251"/>
      <c r="BQB138" s="1251"/>
      <c r="BQC138" s="1251"/>
      <c r="BQD138" s="1251"/>
      <c r="BQE138" s="1251"/>
      <c r="BQF138" s="1251"/>
      <c r="BQG138" s="1251"/>
      <c r="BQH138" s="1251"/>
      <c r="BQI138" s="1251"/>
      <c r="BQJ138" s="1251"/>
      <c r="BQK138" s="1251"/>
      <c r="BQL138" s="1251"/>
      <c r="BQM138" s="1251"/>
      <c r="BQN138" s="1251"/>
      <c r="BQO138" s="1251"/>
      <c r="BQP138" s="1251"/>
      <c r="BQQ138" s="1251"/>
      <c r="BQR138" s="1251"/>
      <c r="BQS138" s="1251"/>
      <c r="BQT138" s="1251"/>
      <c r="BQU138" s="1251"/>
      <c r="BQV138" s="1251"/>
      <c r="BQW138" s="1251"/>
      <c r="BQX138" s="1251"/>
      <c r="BQY138" s="1251"/>
      <c r="BQZ138" s="1251"/>
      <c r="BRA138" s="1251"/>
      <c r="BRB138" s="1251"/>
      <c r="BRC138" s="1251"/>
      <c r="BRD138" s="1251"/>
      <c r="BRE138" s="1251"/>
      <c r="BRF138" s="1251"/>
      <c r="BRG138" s="1251"/>
      <c r="BRH138" s="1251"/>
      <c r="BRI138" s="1251"/>
      <c r="BRJ138" s="1251"/>
      <c r="BRK138" s="1251"/>
      <c r="BRL138" s="1251"/>
      <c r="BRM138" s="1251"/>
      <c r="BRN138" s="1251"/>
      <c r="BRO138" s="1251"/>
      <c r="BRP138" s="1251"/>
      <c r="BRQ138" s="1251"/>
      <c r="BRR138" s="1251"/>
      <c r="BRS138" s="1251"/>
      <c r="BRT138" s="1251"/>
      <c r="BRU138" s="1251"/>
      <c r="BRV138" s="1251"/>
      <c r="BRW138" s="1251"/>
      <c r="BRX138" s="1251"/>
      <c r="BRY138" s="1251"/>
      <c r="BRZ138" s="1251"/>
      <c r="BSA138" s="1251"/>
      <c r="BSB138" s="1251"/>
      <c r="BSC138" s="1251"/>
      <c r="BSD138" s="1251"/>
      <c r="BSE138" s="1251"/>
      <c r="BSF138" s="1251"/>
      <c r="BSG138" s="1251"/>
      <c r="BSH138" s="1251"/>
      <c r="BSI138" s="1251"/>
      <c r="BSJ138" s="1251"/>
      <c r="BSK138" s="1251"/>
      <c r="BSL138" s="1251"/>
      <c r="BSM138" s="1251"/>
      <c r="BSN138" s="1251"/>
      <c r="BSO138" s="1251"/>
      <c r="BSP138" s="1251"/>
      <c r="BSQ138" s="1251"/>
      <c r="BSR138" s="1251"/>
      <c r="BSS138" s="1251"/>
      <c r="BST138" s="1251"/>
      <c r="BSU138" s="1251"/>
      <c r="BSV138" s="1251"/>
      <c r="BSW138" s="1251"/>
      <c r="BSX138" s="1251"/>
      <c r="BSY138" s="1251"/>
      <c r="BSZ138" s="1251"/>
      <c r="BTA138" s="1251"/>
      <c r="BTB138" s="1251"/>
      <c r="BTC138" s="1251"/>
      <c r="BTD138" s="1251"/>
      <c r="BTE138" s="1251"/>
      <c r="BTF138" s="1251"/>
      <c r="BTG138" s="1251"/>
      <c r="BTH138" s="1251"/>
      <c r="BTI138" s="1251"/>
    </row>
    <row r="139" spans="1:1881" s="1261" customFormat="1" ht="63" hidden="1" customHeight="1" x14ac:dyDescent="0.3">
      <c r="A139" s="1248">
        <v>578</v>
      </c>
      <c r="B139" s="668" t="s">
        <v>59</v>
      </c>
      <c r="C139" s="668" t="s">
        <v>1385</v>
      </c>
      <c r="D139" s="810" t="s">
        <v>1390</v>
      </c>
      <c r="E139" s="1249" t="e">
        <f>HLOOKUP($D$2,'2020 Data(H)'!$C$1:$CZ$426,228,FALSE)</f>
        <v>#N/A</v>
      </c>
      <c r="F139" s="1263">
        <v>0</v>
      </c>
      <c r="G139" s="727"/>
      <c r="H139" s="728"/>
      <c r="I139" s="1264"/>
      <c r="J139" s="1251"/>
      <c r="K139" s="1251"/>
      <c r="L139" s="1251"/>
      <c r="M139" s="1251"/>
      <c r="N139" s="1253"/>
      <c r="O139" s="1251"/>
      <c r="P139" s="1251"/>
      <c r="Q139" s="1251"/>
      <c r="R139" s="1251"/>
      <c r="S139" s="1251"/>
      <c r="T139" s="1251"/>
      <c r="U139" s="1251"/>
      <c r="V139" s="1251"/>
      <c r="W139" s="1251"/>
      <c r="X139" s="1251"/>
      <c r="Y139" s="1251"/>
      <c r="Z139" s="1248"/>
      <c r="AA139" s="1248"/>
      <c r="AB139" s="1248"/>
      <c r="AC139" s="1248"/>
      <c r="AD139" s="1248"/>
      <c r="AE139" s="1248"/>
      <c r="AF139" s="1248"/>
      <c r="AG139" s="1248"/>
      <c r="AH139" s="1248"/>
      <c r="AI139" s="1248"/>
      <c r="AJ139" s="1248"/>
      <c r="AK139" s="1248"/>
      <c r="AL139" s="1248"/>
      <c r="AM139" s="1248"/>
      <c r="AN139" s="1248"/>
      <c r="AO139" s="1248"/>
      <c r="AP139" s="1248"/>
      <c r="AQ139" s="1248"/>
      <c r="AR139" s="1248"/>
      <c r="AS139" s="1251"/>
      <c r="AT139" s="1251"/>
      <c r="AU139" s="1251"/>
      <c r="AV139" s="1251"/>
      <c r="AW139" s="1251"/>
      <c r="AX139" s="1251"/>
      <c r="AY139" s="1251"/>
      <c r="AZ139" s="1251"/>
      <c r="BA139" s="1251"/>
      <c r="BB139" s="1251"/>
      <c r="BC139" s="1251"/>
      <c r="BD139" s="1251"/>
      <c r="BE139" s="1251"/>
      <c r="BF139" s="1251"/>
      <c r="BG139" s="1251"/>
      <c r="BH139" s="1251"/>
      <c r="BI139" s="1251"/>
      <c r="BJ139" s="1251"/>
      <c r="BK139" s="1251"/>
      <c r="BL139" s="1251"/>
      <c r="BM139" s="1251"/>
      <c r="BN139" s="1251"/>
      <c r="BO139" s="1251"/>
      <c r="BP139" s="1251"/>
      <c r="BQ139" s="1251"/>
      <c r="BR139" s="1251"/>
      <c r="BS139" s="1251"/>
      <c r="BT139" s="1251"/>
      <c r="BU139" s="1251"/>
      <c r="BV139" s="1251"/>
      <c r="BW139" s="1251"/>
      <c r="BX139" s="1251"/>
      <c r="BY139" s="1251"/>
      <c r="BZ139" s="1251"/>
      <c r="CA139" s="1251"/>
      <c r="CB139" s="1251"/>
      <c r="CC139" s="1251"/>
      <c r="CD139" s="1251"/>
      <c r="CE139" s="1251"/>
      <c r="CF139" s="1251"/>
      <c r="CG139" s="1251"/>
      <c r="CH139" s="1251"/>
      <c r="CI139" s="1251"/>
      <c r="CJ139" s="1251"/>
      <c r="CK139" s="1251"/>
      <c r="CL139" s="1251"/>
      <c r="CM139" s="1251"/>
      <c r="CN139" s="1251"/>
      <c r="CO139" s="1251"/>
      <c r="CP139" s="1251"/>
      <c r="CQ139" s="1251"/>
      <c r="CR139" s="1251"/>
      <c r="CS139" s="1251"/>
      <c r="CT139" s="1251"/>
      <c r="CU139" s="1251"/>
      <c r="CV139" s="1251"/>
      <c r="CW139" s="1251"/>
      <c r="CX139" s="1251"/>
      <c r="CY139" s="1251"/>
      <c r="CZ139" s="1251"/>
      <c r="DA139" s="1251"/>
      <c r="DB139" s="1251"/>
      <c r="DC139" s="1251"/>
      <c r="DD139" s="1251"/>
      <c r="DE139" s="1251"/>
      <c r="DF139" s="1251"/>
      <c r="DG139" s="1251"/>
      <c r="DH139" s="1251"/>
      <c r="DI139" s="1251"/>
      <c r="DJ139" s="1251"/>
      <c r="DK139" s="1251"/>
      <c r="DL139" s="1251"/>
      <c r="DM139" s="1251"/>
      <c r="DN139" s="1251"/>
      <c r="DO139" s="1251"/>
      <c r="DP139" s="1251"/>
      <c r="DQ139" s="1251"/>
      <c r="DR139" s="1251"/>
      <c r="DS139" s="1251"/>
      <c r="DT139" s="1251"/>
      <c r="DU139" s="1251"/>
      <c r="DV139" s="1251"/>
      <c r="DW139" s="1251"/>
      <c r="DX139" s="1251"/>
      <c r="DY139" s="1251"/>
      <c r="DZ139" s="1251"/>
      <c r="EA139" s="1251"/>
      <c r="EB139" s="1251"/>
      <c r="EC139" s="1251"/>
      <c r="ED139" s="1251"/>
      <c r="EE139" s="1251"/>
      <c r="EF139" s="1251"/>
      <c r="EG139" s="1251"/>
      <c r="EH139" s="1251"/>
      <c r="EI139" s="1251"/>
      <c r="EJ139" s="1251"/>
      <c r="EK139" s="1251"/>
      <c r="EL139" s="1251"/>
      <c r="EM139" s="1251"/>
      <c r="EN139" s="1251"/>
      <c r="EO139" s="1251"/>
      <c r="EP139" s="1251"/>
      <c r="EQ139" s="1251"/>
      <c r="ER139" s="1251"/>
      <c r="ES139" s="1251"/>
      <c r="ET139" s="1251"/>
      <c r="EU139" s="1251"/>
      <c r="EV139" s="1251"/>
      <c r="EW139" s="1251"/>
      <c r="EX139" s="1251"/>
      <c r="EY139" s="1251"/>
      <c r="EZ139" s="1251"/>
      <c r="FA139" s="1251"/>
      <c r="FB139" s="1251"/>
      <c r="FC139" s="1251"/>
      <c r="FD139" s="1251"/>
      <c r="FE139" s="1251"/>
      <c r="FF139" s="1251"/>
      <c r="FG139" s="1251"/>
      <c r="FH139" s="1251"/>
      <c r="FI139" s="1251"/>
      <c r="FJ139" s="1251"/>
      <c r="FK139" s="1251"/>
      <c r="FL139" s="1251"/>
      <c r="FM139" s="1251"/>
      <c r="FN139" s="1251"/>
      <c r="FO139" s="1251"/>
      <c r="FP139" s="1251"/>
      <c r="FQ139" s="1251"/>
      <c r="FR139" s="1251"/>
      <c r="FS139" s="1251"/>
      <c r="FT139" s="1251"/>
      <c r="FU139" s="1251"/>
      <c r="FV139" s="1251"/>
      <c r="FW139" s="1251"/>
      <c r="FX139" s="1251"/>
      <c r="FY139" s="1251"/>
      <c r="FZ139" s="1251"/>
      <c r="GA139" s="1251"/>
      <c r="GB139" s="1251"/>
      <c r="GC139" s="1251"/>
      <c r="GD139" s="1251"/>
      <c r="GE139" s="1251"/>
      <c r="GF139" s="1251"/>
      <c r="GG139" s="1251"/>
      <c r="GH139" s="1251"/>
      <c r="GI139" s="1251"/>
      <c r="GJ139" s="1251"/>
      <c r="GK139" s="1251"/>
      <c r="GL139" s="1251"/>
      <c r="GM139" s="1251"/>
      <c r="GN139" s="1251"/>
      <c r="GO139" s="1251"/>
      <c r="GP139" s="1251"/>
      <c r="GQ139" s="1251"/>
      <c r="GR139" s="1251"/>
      <c r="GS139" s="1251"/>
      <c r="GT139" s="1251"/>
      <c r="GU139" s="1251"/>
      <c r="GV139" s="1251"/>
      <c r="GW139" s="1251"/>
      <c r="GX139" s="1251"/>
      <c r="GY139" s="1251"/>
      <c r="GZ139" s="1251"/>
      <c r="HA139" s="1251"/>
      <c r="HB139" s="1251"/>
      <c r="HC139" s="1251"/>
      <c r="HD139" s="1251"/>
      <c r="HE139" s="1251"/>
      <c r="HF139" s="1251"/>
      <c r="HG139" s="1251"/>
      <c r="HH139" s="1251"/>
      <c r="HI139" s="1251"/>
      <c r="HJ139" s="1251"/>
      <c r="HK139" s="1251"/>
      <c r="HL139" s="1251"/>
      <c r="HM139" s="1251"/>
      <c r="HN139" s="1251"/>
      <c r="HO139" s="1251"/>
      <c r="HP139" s="1251"/>
      <c r="HQ139" s="1251"/>
      <c r="HR139" s="1251"/>
      <c r="HS139" s="1251"/>
      <c r="HT139" s="1251"/>
      <c r="HU139" s="1251"/>
      <c r="HV139" s="1251"/>
      <c r="HW139" s="1251"/>
      <c r="HX139" s="1251"/>
      <c r="HY139" s="1251"/>
      <c r="HZ139" s="1251"/>
      <c r="IA139" s="1251"/>
      <c r="IB139" s="1251"/>
      <c r="IC139" s="1251"/>
      <c r="ID139" s="1251"/>
      <c r="IE139" s="1251"/>
      <c r="IF139" s="1251"/>
      <c r="IG139" s="1251"/>
      <c r="IH139" s="1251"/>
      <c r="II139" s="1251"/>
      <c r="IJ139" s="1251"/>
      <c r="IK139" s="1251"/>
      <c r="IL139" s="1251"/>
      <c r="IM139" s="1251"/>
      <c r="IN139" s="1251"/>
      <c r="IO139" s="1251"/>
      <c r="IP139" s="1251"/>
      <c r="IQ139" s="1251"/>
      <c r="IR139" s="1251"/>
      <c r="IS139" s="1251"/>
      <c r="IT139" s="1251"/>
      <c r="IU139" s="1251"/>
      <c r="IV139" s="1251"/>
      <c r="IW139" s="1251"/>
      <c r="IX139" s="1251"/>
      <c r="IY139" s="1251"/>
      <c r="IZ139" s="1251"/>
      <c r="JA139" s="1251"/>
      <c r="JB139" s="1251"/>
      <c r="JC139" s="1251"/>
      <c r="JD139" s="1251"/>
      <c r="JE139" s="1251"/>
      <c r="JF139" s="1251"/>
      <c r="JG139" s="1251"/>
      <c r="JH139" s="1251"/>
      <c r="JI139" s="1251"/>
      <c r="JJ139" s="1251"/>
      <c r="JK139" s="1251"/>
      <c r="JL139" s="1251"/>
      <c r="JM139" s="1251"/>
      <c r="JN139" s="1251"/>
      <c r="JO139" s="1251"/>
      <c r="JP139" s="1251"/>
      <c r="JQ139" s="1251"/>
      <c r="JR139" s="1251"/>
      <c r="JS139" s="1251"/>
      <c r="JT139" s="1251"/>
      <c r="JU139" s="1251"/>
      <c r="JV139" s="1251"/>
      <c r="JW139" s="1251"/>
      <c r="JX139" s="1251"/>
      <c r="JY139" s="1251"/>
      <c r="JZ139" s="1251"/>
      <c r="KA139" s="1251"/>
      <c r="KB139" s="1251"/>
      <c r="KC139" s="1251"/>
      <c r="KD139" s="1251"/>
      <c r="KE139" s="1251"/>
      <c r="KF139" s="1251"/>
      <c r="KG139" s="1251"/>
      <c r="KH139" s="1251"/>
      <c r="KI139" s="1251"/>
      <c r="KJ139" s="1251"/>
      <c r="KK139" s="1251"/>
      <c r="KL139" s="1251"/>
      <c r="KM139" s="1251"/>
      <c r="KN139" s="1251"/>
      <c r="KO139" s="1251"/>
      <c r="KP139" s="1251"/>
      <c r="KQ139" s="1251"/>
      <c r="KR139" s="1251"/>
      <c r="KS139" s="1251"/>
      <c r="KT139" s="1251"/>
      <c r="KU139" s="1251"/>
      <c r="KV139" s="1251"/>
      <c r="KW139" s="1251"/>
      <c r="KX139" s="1251"/>
      <c r="KY139" s="1251"/>
      <c r="KZ139" s="1251"/>
      <c r="LA139" s="1251"/>
      <c r="LB139" s="1251"/>
      <c r="LC139" s="1251"/>
      <c r="LD139" s="1251"/>
      <c r="LE139" s="1251"/>
      <c r="LF139" s="1251"/>
      <c r="LG139" s="1251"/>
      <c r="LH139" s="1251"/>
      <c r="LI139" s="1251"/>
      <c r="LJ139" s="1251"/>
      <c r="LK139" s="1251"/>
      <c r="LL139" s="1251"/>
      <c r="LM139" s="1251"/>
      <c r="LN139" s="1251"/>
      <c r="LO139" s="1251"/>
      <c r="LP139" s="1251"/>
      <c r="LQ139" s="1251"/>
      <c r="LR139" s="1251"/>
      <c r="LS139" s="1251"/>
      <c r="LT139" s="1251"/>
      <c r="LU139" s="1251"/>
      <c r="LV139" s="1251"/>
      <c r="LW139" s="1251"/>
      <c r="LX139" s="1251"/>
      <c r="LY139" s="1251"/>
      <c r="LZ139" s="1251"/>
      <c r="MA139" s="1251"/>
      <c r="MB139" s="1251"/>
      <c r="MC139" s="1251"/>
      <c r="MD139" s="1251"/>
      <c r="ME139" s="1251"/>
      <c r="MF139" s="1251"/>
      <c r="MG139" s="1251"/>
      <c r="MH139" s="1251"/>
      <c r="MI139" s="1251"/>
      <c r="MJ139" s="1251"/>
      <c r="MK139" s="1251"/>
      <c r="ML139" s="1251"/>
      <c r="MM139" s="1251"/>
      <c r="MN139" s="1251"/>
      <c r="MO139" s="1251"/>
      <c r="MP139" s="1251"/>
      <c r="MQ139" s="1251"/>
      <c r="MR139" s="1251"/>
      <c r="MS139" s="1251"/>
      <c r="MT139" s="1251"/>
      <c r="MU139" s="1251"/>
      <c r="MV139" s="1251"/>
      <c r="MW139" s="1251"/>
      <c r="MX139" s="1251"/>
      <c r="MY139" s="1251"/>
      <c r="MZ139" s="1251"/>
      <c r="NA139" s="1251"/>
      <c r="NB139" s="1251"/>
      <c r="NC139" s="1251"/>
      <c r="ND139" s="1251"/>
      <c r="NE139" s="1251"/>
      <c r="NF139" s="1251"/>
      <c r="NG139" s="1251"/>
      <c r="NH139" s="1251"/>
      <c r="NI139" s="1251"/>
      <c r="NJ139" s="1251"/>
      <c r="NK139" s="1251"/>
      <c r="NL139" s="1251"/>
      <c r="NM139" s="1251"/>
      <c r="NN139" s="1251"/>
      <c r="NO139" s="1251"/>
      <c r="NP139" s="1251"/>
      <c r="NQ139" s="1251"/>
      <c r="NR139" s="1251"/>
      <c r="NS139" s="1251"/>
      <c r="NT139" s="1251"/>
      <c r="NU139" s="1251"/>
      <c r="NV139" s="1251"/>
      <c r="NW139" s="1251"/>
      <c r="NX139" s="1251"/>
      <c r="NY139" s="1251"/>
      <c r="NZ139" s="1251"/>
      <c r="OA139" s="1251"/>
      <c r="OB139" s="1251"/>
      <c r="OC139" s="1251"/>
      <c r="OD139" s="1251"/>
      <c r="OE139" s="1251"/>
      <c r="OF139" s="1251"/>
      <c r="OG139" s="1251"/>
      <c r="OH139" s="1251"/>
      <c r="OI139" s="1251"/>
      <c r="OJ139" s="1251"/>
      <c r="OK139" s="1251"/>
      <c r="OL139" s="1251"/>
      <c r="OM139" s="1251"/>
      <c r="ON139" s="1251"/>
      <c r="OO139" s="1251"/>
      <c r="OP139" s="1251"/>
      <c r="OQ139" s="1251"/>
      <c r="OR139" s="1251"/>
      <c r="OS139" s="1251"/>
      <c r="OT139" s="1251"/>
      <c r="OU139" s="1251"/>
      <c r="OV139" s="1251"/>
      <c r="OW139" s="1251"/>
      <c r="OX139" s="1251"/>
      <c r="OY139" s="1251"/>
      <c r="OZ139" s="1251"/>
      <c r="PA139" s="1251"/>
      <c r="PB139" s="1251"/>
      <c r="PC139" s="1251"/>
      <c r="PD139" s="1251"/>
      <c r="PE139" s="1251"/>
      <c r="PF139" s="1251"/>
      <c r="PG139" s="1251"/>
      <c r="PH139" s="1251"/>
      <c r="PI139" s="1251"/>
      <c r="PJ139" s="1251"/>
      <c r="PK139" s="1251"/>
      <c r="PL139" s="1251"/>
      <c r="PM139" s="1251"/>
      <c r="PN139" s="1251"/>
      <c r="PO139" s="1251"/>
      <c r="PP139" s="1251"/>
      <c r="PQ139" s="1251"/>
      <c r="PR139" s="1251"/>
      <c r="PS139" s="1251"/>
      <c r="PT139" s="1251"/>
      <c r="PU139" s="1251"/>
      <c r="PV139" s="1251"/>
      <c r="PW139" s="1251"/>
      <c r="PX139" s="1251"/>
      <c r="PY139" s="1251"/>
      <c r="PZ139" s="1251"/>
      <c r="QA139" s="1251"/>
      <c r="QB139" s="1251"/>
      <c r="QC139" s="1251"/>
      <c r="QD139" s="1251"/>
      <c r="QE139" s="1251"/>
      <c r="QF139" s="1251"/>
      <c r="QG139" s="1251"/>
      <c r="QH139" s="1251"/>
      <c r="QI139" s="1251"/>
      <c r="QJ139" s="1251"/>
      <c r="QK139" s="1251"/>
      <c r="QL139" s="1251"/>
      <c r="QM139" s="1251"/>
      <c r="QN139" s="1251"/>
      <c r="QO139" s="1251"/>
      <c r="QP139" s="1251"/>
      <c r="QQ139" s="1251"/>
      <c r="QR139" s="1251"/>
      <c r="QS139" s="1251"/>
      <c r="QT139" s="1251"/>
      <c r="QU139" s="1251"/>
      <c r="QV139" s="1251"/>
      <c r="QW139" s="1251"/>
      <c r="QX139" s="1251"/>
      <c r="QY139" s="1251"/>
      <c r="QZ139" s="1251"/>
      <c r="RA139" s="1251"/>
      <c r="RB139" s="1251"/>
      <c r="RC139" s="1251"/>
      <c r="RD139" s="1251"/>
      <c r="RE139" s="1251"/>
      <c r="RF139" s="1251"/>
      <c r="RG139" s="1251"/>
      <c r="RH139" s="1251"/>
      <c r="RI139" s="1251"/>
      <c r="RJ139" s="1251"/>
      <c r="RK139" s="1251"/>
      <c r="RL139" s="1251"/>
      <c r="RM139" s="1251"/>
      <c r="RN139" s="1251"/>
      <c r="RO139" s="1251"/>
      <c r="RP139" s="1251"/>
      <c r="RQ139" s="1251"/>
      <c r="RR139" s="1251"/>
      <c r="RS139" s="1251"/>
      <c r="RT139" s="1251"/>
      <c r="RU139" s="1251"/>
      <c r="RV139" s="1251"/>
      <c r="RW139" s="1251"/>
      <c r="RX139" s="1251"/>
      <c r="RY139" s="1251"/>
      <c r="RZ139" s="1251"/>
      <c r="SA139" s="1251"/>
      <c r="SB139" s="1251"/>
      <c r="SC139" s="1251"/>
      <c r="SD139" s="1251"/>
      <c r="SE139" s="1251"/>
      <c r="SF139" s="1251"/>
      <c r="SG139" s="1251"/>
      <c r="SH139" s="1251"/>
      <c r="SI139" s="1251"/>
      <c r="SJ139" s="1251"/>
      <c r="SK139" s="1251"/>
      <c r="SL139" s="1251"/>
      <c r="SM139" s="1251"/>
      <c r="SN139" s="1251"/>
      <c r="SO139" s="1251"/>
      <c r="SP139" s="1251"/>
      <c r="SQ139" s="1251"/>
      <c r="SR139" s="1251"/>
      <c r="SS139" s="1251"/>
      <c r="ST139" s="1251"/>
      <c r="SU139" s="1251"/>
      <c r="SV139" s="1251"/>
      <c r="SW139" s="1251"/>
      <c r="SX139" s="1251"/>
      <c r="SY139" s="1251"/>
      <c r="SZ139" s="1251"/>
      <c r="TA139" s="1251"/>
      <c r="TB139" s="1251"/>
      <c r="TC139" s="1251"/>
      <c r="TD139" s="1251"/>
      <c r="TE139" s="1251"/>
      <c r="TF139" s="1251"/>
      <c r="TG139" s="1251"/>
      <c r="TH139" s="1251"/>
      <c r="TI139" s="1251"/>
      <c r="TJ139" s="1251"/>
      <c r="TK139" s="1251"/>
      <c r="TL139" s="1251"/>
      <c r="TM139" s="1251"/>
      <c r="TN139" s="1251"/>
      <c r="TO139" s="1251"/>
      <c r="TP139" s="1251"/>
      <c r="TQ139" s="1251"/>
      <c r="TR139" s="1251"/>
      <c r="TS139" s="1251"/>
      <c r="TT139" s="1251"/>
      <c r="TU139" s="1251"/>
      <c r="TV139" s="1251"/>
      <c r="TW139" s="1251"/>
      <c r="TX139" s="1251"/>
      <c r="TY139" s="1251"/>
      <c r="TZ139" s="1251"/>
      <c r="UA139" s="1251"/>
      <c r="UB139" s="1251"/>
      <c r="UC139" s="1251"/>
      <c r="UD139" s="1251"/>
      <c r="UE139" s="1251"/>
      <c r="UF139" s="1251"/>
      <c r="UG139" s="1251"/>
      <c r="UH139" s="1251"/>
      <c r="UI139" s="1251"/>
      <c r="UJ139" s="1251"/>
      <c r="UK139" s="1251"/>
      <c r="UL139" s="1251"/>
      <c r="UM139" s="1251"/>
      <c r="UN139" s="1251"/>
      <c r="UO139" s="1251"/>
      <c r="UP139" s="1251"/>
      <c r="UQ139" s="1251"/>
      <c r="UR139" s="1251"/>
      <c r="US139" s="1251"/>
      <c r="UT139" s="1251"/>
      <c r="UU139" s="1251"/>
      <c r="UV139" s="1251"/>
      <c r="UW139" s="1251"/>
      <c r="UX139" s="1251"/>
      <c r="UY139" s="1251"/>
      <c r="UZ139" s="1251"/>
      <c r="VA139" s="1251"/>
      <c r="VB139" s="1251"/>
      <c r="VC139" s="1251"/>
      <c r="VD139" s="1251"/>
      <c r="VE139" s="1251"/>
      <c r="VF139" s="1251"/>
      <c r="VG139" s="1251"/>
      <c r="VH139" s="1251"/>
      <c r="VI139" s="1251"/>
      <c r="VJ139" s="1251"/>
      <c r="VK139" s="1251"/>
      <c r="VL139" s="1251"/>
      <c r="VM139" s="1251"/>
      <c r="VN139" s="1251"/>
      <c r="VO139" s="1251"/>
      <c r="VP139" s="1251"/>
      <c r="VQ139" s="1251"/>
      <c r="VR139" s="1251"/>
      <c r="VS139" s="1251"/>
      <c r="VT139" s="1251"/>
      <c r="VU139" s="1251"/>
      <c r="VV139" s="1251"/>
      <c r="VW139" s="1251"/>
      <c r="VX139" s="1251"/>
      <c r="VY139" s="1251"/>
      <c r="VZ139" s="1251"/>
      <c r="WA139" s="1251"/>
      <c r="WB139" s="1251"/>
      <c r="WC139" s="1251"/>
      <c r="WD139" s="1251"/>
      <c r="WE139" s="1251"/>
      <c r="WF139" s="1251"/>
      <c r="WG139" s="1251"/>
      <c r="WH139" s="1251"/>
      <c r="WI139" s="1251"/>
      <c r="WJ139" s="1251"/>
      <c r="WK139" s="1251"/>
      <c r="WL139" s="1251"/>
      <c r="WM139" s="1251"/>
      <c r="WN139" s="1251"/>
      <c r="WO139" s="1251"/>
      <c r="WP139" s="1251"/>
      <c r="WQ139" s="1251"/>
      <c r="WR139" s="1251"/>
      <c r="WS139" s="1251"/>
      <c r="WT139" s="1251"/>
      <c r="WU139" s="1251"/>
      <c r="WV139" s="1251"/>
      <c r="WW139" s="1251"/>
      <c r="WX139" s="1251"/>
      <c r="WY139" s="1251"/>
      <c r="WZ139" s="1251"/>
      <c r="XA139" s="1251"/>
      <c r="XB139" s="1251"/>
      <c r="XC139" s="1251"/>
      <c r="XD139" s="1251"/>
      <c r="XE139" s="1251"/>
      <c r="XF139" s="1251"/>
      <c r="XG139" s="1251"/>
      <c r="XH139" s="1251"/>
      <c r="XI139" s="1251"/>
      <c r="XJ139" s="1251"/>
      <c r="XK139" s="1251"/>
      <c r="XL139" s="1251"/>
      <c r="XM139" s="1251"/>
      <c r="XN139" s="1251"/>
      <c r="XO139" s="1251"/>
      <c r="XP139" s="1251"/>
      <c r="XQ139" s="1251"/>
      <c r="XR139" s="1251"/>
      <c r="XS139" s="1251"/>
      <c r="XT139" s="1251"/>
      <c r="XU139" s="1251"/>
      <c r="XV139" s="1251"/>
      <c r="XW139" s="1251"/>
      <c r="XX139" s="1251"/>
      <c r="XY139" s="1251"/>
      <c r="XZ139" s="1251"/>
      <c r="YA139" s="1251"/>
      <c r="YB139" s="1251"/>
      <c r="YC139" s="1251"/>
      <c r="YD139" s="1251"/>
      <c r="YE139" s="1251"/>
      <c r="YF139" s="1251"/>
      <c r="YG139" s="1251"/>
      <c r="YH139" s="1251"/>
      <c r="YI139" s="1251"/>
      <c r="YJ139" s="1251"/>
      <c r="YK139" s="1251"/>
      <c r="YL139" s="1251"/>
      <c r="YM139" s="1251"/>
      <c r="YN139" s="1251"/>
      <c r="YO139" s="1251"/>
      <c r="YP139" s="1251"/>
      <c r="YQ139" s="1251"/>
      <c r="YR139" s="1251"/>
      <c r="YS139" s="1251"/>
      <c r="YT139" s="1251"/>
      <c r="YU139" s="1251"/>
      <c r="YV139" s="1251"/>
      <c r="YW139" s="1251"/>
      <c r="YX139" s="1251"/>
      <c r="YY139" s="1251"/>
      <c r="YZ139" s="1251"/>
      <c r="ZA139" s="1251"/>
      <c r="ZB139" s="1251"/>
      <c r="ZC139" s="1251"/>
      <c r="ZD139" s="1251"/>
      <c r="ZE139" s="1251"/>
      <c r="ZF139" s="1251"/>
      <c r="ZG139" s="1251"/>
      <c r="ZH139" s="1251"/>
      <c r="ZI139" s="1251"/>
      <c r="ZJ139" s="1251"/>
      <c r="ZK139" s="1251"/>
      <c r="ZL139" s="1251"/>
      <c r="ZM139" s="1251"/>
      <c r="ZN139" s="1251"/>
      <c r="ZO139" s="1251"/>
      <c r="ZP139" s="1251"/>
      <c r="ZQ139" s="1251"/>
      <c r="ZR139" s="1251"/>
      <c r="ZS139" s="1251"/>
      <c r="ZT139" s="1251"/>
      <c r="ZU139" s="1251"/>
      <c r="ZV139" s="1251"/>
      <c r="ZW139" s="1251"/>
      <c r="ZX139" s="1251"/>
      <c r="ZY139" s="1251"/>
      <c r="ZZ139" s="1251"/>
      <c r="AAA139" s="1251"/>
      <c r="AAB139" s="1251"/>
      <c r="AAC139" s="1251"/>
      <c r="AAD139" s="1251"/>
      <c r="AAE139" s="1251"/>
      <c r="AAF139" s="1251"/>
      <c r="AAG139" s="1251"/>
      <c r="AAH139" s="1251"/>
      <c r="AAI139" s="1251"/>
      <c r="AAJ139" s="1251"/>
      <c r="AAK139" s="1251"/>
      <c r="AAL139" s="1251"/>
      <c r="AAM139" s="1251"/>
      <c r="AAN139" s="1251"/>
      <c r="AAO139" s="1251"/>
      <c r="AAP139" s="1251"/>
      <c r="AAQ139" s="1251"/>
      <c r="AAR139" s="1251"/>
      <c r="AAS139" s="1251"/>
      <c r="AAT139" s="1251"/>
      <c r="AAU139" s="1251"/>
      <c r="AAV139" s="1251"/>
      <c r="AAW139" s="1251"/>
      <c r="AAX139" s="1251"/>
      <c r="AAY139" s="1251"/>
      <c r="AAZ139" s="1251"/>
      <c r="ABA139" s="1251"/>
      <c r="ABB139" s="1251"/>
      <c r="ABC139" s="1251"/>
      <c r="ABD139" s="1251"/>
      <c r="ABE139" s="1251"/>
      <c r="ABF139" s="1251"/>
      <c r="ABG139" s="1251"/>
      <c r="ABH139" s="1251"/>
      <c r="ABI139" s="1251"/>
      <c r="ABJ139" s="1251"/>
      <c r="ABK139" s="1251"/>
      <c r="ABL139" s="1251"/>
      <c r="ABM139" s="1251"/>
      <c r="ABN139" s="1251"/>
      <c r="ABO139" s="1251"/>
      <c r="ABP139" s="1251"/>
      <c r="ABQ139" s="1251"/>
      <c r="ABR139" s="1251"/>
      <c r="ABS139" s="1251"/>
      <c r="ABT139" s="1251"/>
      <c r="ABU139" s="1251"/>
      <c r="ABV139" s="1251"/>
      <c r="ABW139" s="1251"/>
      <c r="ABX139" s="1251"/>
      <c r="ABY139" s="1251"/>
      <c r="ABZ139" s="1251"/>
      <c r="ACA139" s="1251"/>
      <c r="ACB139" s="1251"/>
      <c r="ACC139" s="1251"/>
      <c r="ACD139" s="1251"/>
      <c r="ACE139" s="1251"/>
      <c r="ACF139" s="1251"/>
      <c r="ACG139" s="1251"/>
      <c r="ACH139" s="1251"/>
      <c r="ACI139" s="1251"/>
      <c r="ACJ139" s="1251"/>
      <c r="ACK139" s="1251"/>
      <c r="ACL139" s="1251"/>
      <c r="ACM139" s="1251"/>
      <c r="ACN139" s="1251"/>
      <c r="ACO139" s="1251"/>
      <c r="ACP139" s="1251"/>
      <c r="ACQ139" s="1251"/>
      <c r="ACR139" s="1251"/>
      <c r="ACS139" s="1251"/>
      <c r="ACT139" s="1251"/>
      <c r="ACU139" s="1251"/>
      <c r="ACV139" s="1251"/>
      <c r="ACW139" s="1251"/>
      <c r="ACX139" s="1251"/>
      <c r="ACY139" s="1251"/>
      <c r="ACZ139" s="1251"/>
      <c r="ADA139" s="1251"/>
      <c r="ADB139" s="1251"/>
      <c r="ADC139" s="1251"/>
      <c r="ADD139" s="1251"/>
      <c r="ADE139" s="1251"/>
      <c r="ADF139" s="1251"/>
      <c r="ADG139" s="1251"/>
      <c r="ADH139" s="1251"/>
      <c r="ADI139" s="1251"/>
      <c r="ADJ139" s="1251"/>
      <c r="ADK139" s="1251"/>
      <c r="ADL139" s="1251"/>
      <c r="ADM139" s="1251"/>
      <c r="ADN139" s="1251"/>
      <c r="ADO139" s="1251"/>
      <c r="ADP139" s="1251"/>
      <c r="ADQ139" s="1251"/>
      <c r="ADR139" s="1251"/>
      <c r="ADS139" s="1251"/>
      <c r="ADT139" s="1251"/>
      <c r="ADU139" s="1251"/>
      <c r="ADV139" s="1251"/>
      <c r="ADW139" s="1251"/>
      <c r="ADX139" s="1251"/>
      <c r="ADY139" s="1251"/>
      <c r="ADZ139" s="1251"/>
      <c r="AEA139" s="1251"/>
      <c r="AEB139" s="1251"/>
      <c r="AEC139" s="1251"/>
      <c r="AED139" s="1251"/>
      <c r="AEE139" s="1251"/>
      <c r="AEF139" s="1251"/>
      <c r="AEG139" s="1251"/>
      <c r="AEH139" s="1251"/>
      <c r="AEI139" s="1251"/>
      <c r="AEJ139" s="1251"/>
      <c r="AEK139" s="1251"/>
      <c r="AEL139" s="1251"/>
      <c r="AEM139" s="1251"/>
      <c r="AEN139" s="1251"/>
      <c r="AEO139" s="1251"/>
      <c r="AEP139" s="1251"/>
      <c r="AEQ139" s="1251"/>
      <c r="AER139" s="1251"/>
      <c r="AES139" s="1251"/>
      <c r="AET139" s="1251"/>
      <c r="AEU139" s="1251"/>
      <c r="AEV139" s="1251"/>
      <c r="AEW139" s="1251"/>
      <c r="AEX139" s="1251"/>
      <c r="AEY139" s="1251"/>
      <c r="AEZ139" s="1251"/>
      <c r="AFA139" s="1251"/>
      <c r="AFB139" s="1251"/>
      <c r="AFC139" s="1251"/>
      <c r="AFD139" s="1251"/>
      <c r="AFE139" s="1251"/>
      <c r="AFF139" s="1251"/>
      <c r="AFG139" s="1251"/>
      <c r="AFH139" s="1251"/>
      <c r="AFI139" s="1251"/>
      <c r="AFJ139" s="1251"/>
      <c r="AFK139" s="1251"/>
      <c r="AFL139" s="1251"/>
      <c r="AFM139" s="1251"/>
      <c r="AFN139" s="1251"/>
      <c r="AFO139" s="1251"/>
      <c r="AFP139" s="1251"/>
      <c r="AFQ139" s="1251"/>
      <c r="AFR139" s="1251"/>
      <c r="AFS139" s="1251"/>
      <c r="AFT139" s="1251"/>
      <c r="AFU139" s="1251"/>
      <c r="AFV139" s="1251"/>
      <c r="AFW139" s="1251"/>
      <c r="AFX139" s="1251"/>
      <c r="AFY139" s="1251"/>
      <c r="AFZ139" s="1251"/>
      <c r="AGA139" s="1251"/>
      <c r="AGB139" s="1251"/>
      <c r="AGC139" s="1251"/>
      <c r="AGD139" s="1251"/>
      <c r="AGE139" s="1251"/>
      <c r="AGF139" s="1251"/>
      <c r="AGG139" s="1251"/>
      <c r="AGH139" s="1251"/>
      <c r="AGI139" s="1251"/>
      <c r="AGJ139" s="1251"/>
      <c r="AGK139" s="1251"/>
      <c r="AGL139" s="1251"/>
      <c r="AGM139" s="1251"/>
      <c r="AGN139" s="1251"/>
      <c r="AGO139" s="1251"/>
      <c r="AGP139" s="1251"/>
      <c r="AGQ139" s="1251"/>
      <c r="AGR139" s="1251"/>
      <c r="AGS139" s="1251"/>
      <c r="AGT139" s="1251"/>
      <c r="AGU139" s="1251"/>
      <c r="AGV139" s="1251"/>
      <c r="AGW139" s="1251"/>
      <c r="AGX139" s="1251"/>
      <c r="AGY139" s="1251"/>
      <c r="AGZ139" s="1251"/>
      <c r="AHA139" s="1251"/>
      <c r="AHB139" s="1251"/>
      <c r="AHC139" s="1251"/>
      <c r="AHD139" s="1251"/>
      <c r="AHE139" s="1251"/>
      <c r="AHF139" s="1251"/>
      <c r="AHG139" s="1251"/>
      <c r="AHH139" s="1251"/>
      <c r="AHI139" s="1251"/>
      <c r="AHJ139" s="1251"/>
      <c r="AHK139" s="1251"/>
      <c r="AHL139" s="1251"/>
      <c r="AHM139" s="1251"/>
      <c r="AHN139" s="1251"/>
      <c r="AHO139" s="1251"/>
      <c r="AHP139" s="1251"/>
      <c r="AHQ139" s="1251"/>
      <c r="AHR139" s="1251"/>
      <c r="AHS139" s="1251"/>
      <c r="AHT139" s="1251"/>
      <c r="AHU139" s="1251"/>
      <c r="AHV139" s="1251"/>
      <c r="AHW139" s="1251"/>
      <c r="AHX139" s="1251"/>
      <c r="AHY139" s="1251"/>
      <c r="AHZ139" s="1251"/>
      <c r="AIA139" s="1251"/>
      <c r="AIB139" s="1251"/>
      <c r="AIC139" s="1251"/>
      <c r="AID139" s="1251"/>
      <c r="AIE139" s="1251"/>
      <c r="AIF139" s="1251"/>
      <c r="AIG139" s="1251"/>
      <c r="AIH139" s="1251"/>
      <c r="AII139" s="1251"/>
      <c r="AIJ139" s="1251"/>
      <c r="AIK139" s="1251"/>
      <c r="AIL139" s="1251"/>
      <c r="AIM139" s="1251"/>
      <c r="AIN139" s="1251"/>
      <c r="AIO139" s="1251"/>
      <c r="AIP139" s="1251"/>
      <c r="AIQ139" s="1251"/>
      <c r="AIR139" s="1251"/>
      <c r="AIS139" s="1251"/>
      <c r="AIT139" s="1251"/>
      <c r="AIU139" s="1251"/>
      <c r="AIV139" s="1251"/>
      <c r="AIW139" s="1251"/>
      <c r="AIX139" s="1251"/>
      <c r="AIY139" s="1251"/>
      <c r="AIZ139" s="1251"/>
      <c r="AJA139" s="1251"/>
      <c r="AJB139" s="1251"/>
      <c r="AJC139" s="1251"/>
      <c r="AJD139" s="1251"/>
      <c r="AJE139" s="1251"/>
      <c r="AJF139" s="1251"/>
      <c r="AJG139" s="1251"/>
      <c r="AJH139" s="1251"/>
      <c r="AJI139" s="1251"/>
      <c r="AJJ139" s="1251"/>
      <c r="AJK139" s="1251"/>
      <c r="AJL139" s="1251"/>
      <c r="AJM139" s="1251"/>
      <c r="AJN139" s="1251"/>
      <c r="AJO139" s="1251"/>
      <c r="AJP139" s="1251"/>
      <c r="AJQ139" s="1251"/>
      <c r="AJR139" s="1251"/>
      <c r="AJS139" s="1251"/>
      <c r="AJT139" s="1251"/>
      <c r="AJU139" s="1251"/>
      <c r="AJV139" s="1251"/>
      <c r="AJW139" s="1251"/>
      <c r="AJX139" s="1251"/>
      <c r="AJY139" s="1251"/>
      <c r="AJZ139" s="1251"/>
      <c r="AKA139" s="1251"/>
      <c r="AKB139" s="1251"/>
      <c r="AKC139" s="1251"/>
      <c r="AKD139" s="1251"/>
      <c r="AKE139" s="1251"/>
      <c r="AKF139" s="1251"/>
      <c r="AKG139" s="1251"/>
      <c r="AKH139" s="1251"/>
      <c r="AKI139" s="1251"/>
      <c r="AKJ139" s="1251"/>
      <c r="AKK139" s="1251"/>
      <c r="AKL139" s="1251"/>
      <c r="AKM139" s="1251"/>
      <c r="AKN139" s="1251"/>
      <c r="AKO139" s="1251"/>
      <c r="AKP139" s="1251"/>
      <c r="AKQ139" s="1251"/>
      <c r="AKR139" s="1251"/>
      <c r="AKS139" s="1251"/>
      <c r="AKT139" s="1251"/>
      <c r="AKU139" s="1251"/>
      <c r="AKV139" s="1251"/>
      <c r="AKW139" s="1251"/>
      <c r="AKX139" s="1251"/>
      <c r="AKY139" s="1251"/>
      <c r="AKZ139" s="1251"/>
      <c r="ALA139" s="1251"/>
      <c r="ALB139" s="1251"/>
      <c r="ALC139" s="1251"/>
      <c r="ALD139" s="1251"/>
      <c r="ALE139" s="1251"/>
      <c r="ALF139" s="1251"/>
      <c r="ALG139" s="1251"/>
      <c r="ALH139" s="1251"/>
      <c r="ALI139" s="1251"/>
      <c r="ALJ139" s="1251"/>
      <c r="ALK139" s="1251"/>
      <c r="ALL139" s="1251"/>
      <c r="ALM139" s="1251"/>
      <c r="ALN139" s="1251"/>
      <c r="ALO139" s="1251"/>
      <c r="ALP139" s="1251"/>
      <c r="ALQ139" s="1251"/>
      <c r="ALR139" s="1251"/>
      <c r="ALS139" s="1251"/>
      <c r="ALT139" s="1251"/>
      <c r="ALU139" s="1251"/>
      <c r="ALV139" s="1251"/>
      <c r="ALW139" s="1251"/>
      <c r="ALX139" s="1251"/>
      <c r="ALY139" s="1251"/>
      <c r="ALZ139" s="1251"/>
      <c r="AMA139" s="1251"/>
      <c r="AMB139" s="1251"/>
      <c r="AMC139" s="1251"/>
      <c r="AMD139" s="1251"/>
      <c r="AME139" s="1251"/>
      <c r="AMF139" s="1251"/>
      <c r="AMG139" s="1251"/>
      <c r="AMH139" s="1251"/>
      <c r="AMI139" s="1251"/>
      <c r="AMJ139" s="1251"/>
      <c r="AMK139" s="1251"/>
      <c r="AML139" s="1251"/>
      <c r="AMM139" s="1251"/>
      <c r="AMN139" s="1251"/>
      <c r="AMO139" s="1251"/>
      <c r="AMP139" s="1251"/>
      <c r="AMQ139" s="1251"/>
      <c r="AMR139" s="1251"/>
      <c r="AMS139" s="1251"/>
      <c r="AMT139" s="1251"/>
      <c r="AMU139" s="1251"/>
      <c r="AMV139" s="1251"/>
      <c r="AMW139" s="1251"/>
      <c r="AMX139" s="1251"/>
      <c r="AMY139" s="1251"/>
      <c r="AMZ139" s="1251"/>
      <c r="ANA139" s="1251"/>
      <c r="ANB139" s="1251"/>
      <c r="ANC139" s="1251"/>
      <c r="AND139" s="1251"/>
      <c r="ANE139" s="1251"/>
      <c r="ANF139" s="1251"/>
      <c r="ANG139" s="1251"/>
      <c r="ANH139" s="1251"/>
      <c r="ANI139" s="1251"/>
      <c r="ANJ139" s="1251"/>
      <c r="ANK139" s="1251"/>
      <c r="ANL139" s="1251"/>
      <c r="ANM139" s="1251"/>
      <c r="ANN139" s="1251"/>
      <c r="ANO139" s="1251"/>
      <c r="ANP139" s="1251"/>
      <c r="ANQ139" s="1251"/>
      <c r="ANR139" s="1251"/>
      <c r="ANS139" s="1251"/>
      <c r="ANT139" s="1251"/>
      <c r="ANU139" s="1251"/>
      <c r="ANV139" s="1251"/>
      <c r="ANW139" s="1251"/>
      <c r="ANX139" s="1251"/>
      <c r="ANY139" s="1251"/>
      <c r="ANZ139" s="1251"/>
      <c r="AOA139" s="1251"/>
      <c r="AOB139" s="1251"/>
      <c r="AOC139" s="1251"/>
      <c r="AOD139" s="1251"/>
      <c r="AOE139" s="1251"/>
      <c r="AOF139" s="1251"/>
      <c r="AOG139" s="1251"/>
      <c r="AOH139" s="1251"/>
      <c r="AOI139" s="1251"/>
      <c r="AOJ139" s="1251"/>
      <c r="AOK139" s="1251"/>
      <c r="AOL139" s="1251"/>
      <c r="AOM139" s="1251"/>
      <c r="AON139" s="1251"/>
      <c r="AOO139" s="1251"/>
      <c r="AOP139" s="1251"/>
      <c r="AOQ139" s="1251"/>
      <c r="AOR139" s="1251"/>
      <c r="AOS139" s="1251"/>
      <c r="AOT139" s="1251"/>
      <c r="AOU139" s="1251"/>
      <c r="AOV139" s="1251"/>
      <c r="AOW139" s="1251"/>
      <c r="AOX139" s="1251"/>
      <c r="AOY139" s="1251"/>
      <c r="AOZ139" s="1251"/>
      <c r="APA139" s="1251"/>
      <c r="APB139" s="1251"/>
      <c r="APC139" s="1251"/>
      <c r="APD139" s="1251"/>
      <c r="APE139" s="1251"/>
      <c r="APF139" s="1251"/>
      <c r="APG139" s="1251"/>
      <c r="APH139" s="1251"/>
      <c r="API139" s="1251"/>
      <c r="APJ139" s="1251"/>
      <c r="APK139" s="1251"/>
      <c r="APL139" s="1251"/>
      <c r="APM139" s="1251"/>
      <c r="APN139" s="1251"/>
      <c r="APO139" s="1251"/>
      <c r="APP139" s="1251"/>
      <c r="APQ139" s="1251"/>
      <c r="APR139" s="1251"/>
      <c r="APS139" s="1251"/>
      <c r="APT139" s="1251"/>
      <c r="APU139" s="1251"/>
      <c r="APV139" s="1251"/>
      <c r="APW139" s="1251"/>
      <c r="APX139" s="1251"/>
      <c r="APY139" s="1251"/>
      <c r="APZ139" s="1251"/>
      <c r="AQA139" s="1251"/>
      <c r="AQB139" s="1251"/>
      <c r="AQC139" s="1251"/>
      <c r="AQD139" s="1251"/>
      <c r="AQE139" s="1251"/>
      <c r="AQF139" s="1251"/>
      <c r="AQG139" s="1251"/>
      <c r="AQH139" s="1251"/>
      <c r="AQI139" s="1251"/>
      <c r="AQJ139" s="1251"/>
      <c r="AQK139" s="1251"/>
      <c r="AQL139" s="1251"/>
      <c r="AQM139" s="1251"/>
      <c r="AQN139" s="1251"/>
      <c r="AQO139" s="1251"/>
      <c r="AQP139" s="1251"/>
      <c r="AQQ139" s="1251"/>
      <c r="AQR139" s="1251"/>
      <c r="AQS139" s="1251"/>
      <c r="AQT139" s="1251"/>
      <c r="AQU139" s="1251"/>
      <c r="AQV139" s="1251"/>
      <c r="AQW139" s="1251"/>
      <c r="AQX139" s="1251"/>
      <c r="AQY139" s="1251"/>
      <c r="AQZ139" s="1251"/>
      <c r="ARA139" s="1251"/>
      <c r="ARB139" s="1251"/>
      <c r="ARC139" s="1251"/>
      <c r="ARD139" s="1251"/>
      <c r="ARE139" s="1251"/>
      <c r="ARF139" s="1251"/>
      <c r="ARG139" s="1251"/>
      <c r="ARH139" s="1251"/>
      <c r="ARI139" s="1251"/>
      <c r="ARJ139" s="1251"/>
      <c r="ARK139" s="1251"/>
      <c r="ARL139" s="1251"/>
      <c r="ARM139" s="1251"/>
      <c r="ARN139" s="1251"/>
      <c r="ARO139" s="1251"/>
      <c r="ARP139" s="1251"/>
      <c r="ARQ139" s="1251"/>
      <c r="ARR139" s="1251"/>
      <c r="ARS139" s="1251"/>
      <c r="ART139" s="1251"/>
      <c r="ARU139" s="1251"/>
      <c r="ARV139" s="1251"/>
      <c r="ARW139" s="1251"/>
      <c r="ARX139" s="1251"/>
      <c r="ARY139" s="1251"/>
      <c r="ARZ139" s="1251"/>
      <c r="ASA139" s="1251"/>
      <c r="ASB139" s="1251"/>
      <c r="ASC139" s="1251"/>
      <c r="ASD139" s="1251"/>
      <c r="ASE139" s="1251"/>
      <c r="ASF139" s="1251"/>
      <c r="ASG139" s="1251"/>
      <c r="ASH139" s="1251"/>
      <c r="ASI139" s="1251"/>
      <c r="ASJ139" s="1251"/>
      <c r="ASK139" s="1251"/>
      <c r="ASL139" s="1251"/>
      <c r="ASM139" s="1251"/>
      <c r="ASN139" s="1251"/>
      <c r="ASO139" s="1251"/>
      <c r="ASP139" s="1251"/>
      <c r="ASQ139" s="1251"/>
      <c r="ASR139" s="1251"/>
      <c r="ASS139" s="1251"/>
      <c r="AST139" s="1251"/>
      <c r="ASU139" s="1251"/>
      <c r="ASV139" s="1251"/>
      <c r="ASW139" s="1251"/>
      <c r="ASX139" s="1251"/>
      <c r="ASY139" s="1251"/>
      <c r="ASZ139" s="1251"/>
      <c r="ATA139" s="1251"/>
      <c r="ATB139" s="1251"/>
      <c r="ATC139" s="1251"/>
      <c r="ATD139" s="1251"/>
      <c r="ATE139" s="1251"/>
      <c r="ATF139" s="1251"/>
      <c r="ATG139" s="1251"/>
      <c r="ATH139" s="1251"/>
      <c r="ATI139" s="1251"/>
      <c r="ATJ139" s="1251"/>
      <c r="ATK139" s="1251"/>
      <c r="ATL139" s="1251"/>
      <c r="ATM139" s="1251"/>
      <c r="ATN139" s="1251"/>
      <c r="ATO139" s="1251"/>
      <c r="ATP139" s="1251"/>
      <c r="ATQ139" s="1251"/>
      <c r="ATR139" s="1251"/>
      <c r="ATS139" s="1251"/>
      <c r="ATT139" s="1251"/>
      <c r="ATU139" s="1251"/>
      <c r="ATV139" s="1251"/>
      <c r="ATW139" s="1251"/>
      <c r="ATX139" s="1251"/>
      <c r="ATY139" s="1251"/>
      <c r="ATZ139" s="1251"/>
      <c r="AUA139" s="1251"/>
      <c r="AUB139" s="1251"/>
      <c r="AUC139" s="1251"/>
      <c r="AUD139" s="1251"/>
      <c r="AUE139" s="1251"/>
      <c r="AUF139" s="1251"/>
      <c r="AUG139" s="1251"/>
      <c r="AUH139" s="1251"/>
      <c r="AUI139" s="1251"/>
      <c r="AUJ139" s="1251"/>
      <c r="AUK139" s="1251"/>
      <c r="AUL139" s="1251"/>
      <c r="AUM139" s="1251"/>
      <c r="AUN139" s="1251"/>
      <c r="AUO139" s="1251"/>
      <c r="AUP139" s="1251"/>
      <c r="AUQ139" s="1251"/>
      <c r="AUR139" s="1251"/>
      <c r="AUS139" s="1251"/>
      <c r="AUT139" s="1251"/>
      <c r="AUU139" s="1251"/>
      <c r="AUV139" s="1251"/>
      <c r="AUW139" s="1251"/>
      <c r="AUX139" s="1251"/>
      <c r="AUY139" s="1251"/>
      <c r="AUZ139" s="1251"/>
      <c r="AVA139" s="1251"/>
      <c r="AVB139" s="1251"/>
      <c r="AVC139" s="1251"/>
      <c r="AVD139" s="1251"/>
      <c r="AVE139" s="1251"/>
      <c r="AVF139" s="1251"/>
      <c r="AVG139" s="1251"/>
      <c r="AVH139" s="1251"/>
      <c r="AVI139" s="1251"/>
      <c r="AVJ139" s="1251"/>
      <c r="AVK139" s="1251"/>
      <c r="AVL139" s="1251"/>
      <c r="AVM139" s="1251"/>
      <c r="AVN139" s="1251"/>
      <c r="AVO139" s="1251"/>
      <c r="AVP139" s="1251"/>
      <c r="AVQ139" s="1251"/>
      <c r="AVR139" s="1251"/>
      <c r="AVS139" s="1251"/>
      <c r="AVT139" s="1251"/>
      <c r="AVU139" s="1251"/>
      <c r="AVV139" s="1251"/>
      <c r="AVW139" s="1251"/>
      <c r="AVX139" s="1251"/>
      <c r="AVY139" s="1251"/>
      <c r="AVZ139" s="1251"/>
      <c r="AWA139" s="1251"/>
      <c r="AWB139" s="1251"/>
      <c r="AWC139" s="1251"/>
      <c r="AWD139" s="1251"/>
      <c r="AWE139" s="1251"/>
      <c r="AWF139" s="1251"/>
      <c r="AWG139" s="1251"/>
      <c r="AWH139" s="1251"/>
      <c r="AWI139" s="1251"/>
      <c r="AWJ139" s="1251"/>
      <c r="AWK139" s="1251"/>
      <c r="AWL139" s="1251"/>
      <c r="AWM139" s="1251"/>
      <c r="AWN139" s="1251"/>
      <c r="AWO139" s="1251"/>
      <c r="AWP139" s="1251"/>
      <c r="AWQ139" s="1251"/>
      <c r="AWR139" s="1251"/>
      <c r="AWS139" s="1251"/>
      <c r="AWT139" s="1251"/>
      <c r="AWU139" s="1251"/>
      <c r="AWV139" s="1251"/>
      <c r="AWW139" s="1251"/>
      <c r="AWX139" s="1251"/>
      <c r="AWY139" s="1251"/>
      <c r="AWZ139" s="1251"/>
      <c r="AXA139" s="1251"/>
      <c r="AXB139" s="1251"/>
      <c r="AXC139" s="1251"/>
      <c r="AXD139" s="1251"/>
      <c r="AXE139" s="1251"/>
      <c r="AXF139" s="1251"/>
      <c r="AXG139" s="1251"/>
      <c r="AXH139" s="1251"/>
      <c r="AXI139" s="1251"/>
      <c r="AXJ139" s="1251"/>
      <c r="AXK139" s="1251"/>
      <c r="AXL139" s="1251"/>
      <c r="AXM139" s="1251"/>
      <c r="AXN139" s="1251"/>
      <c r="AXO139" s="1251"/>
      <c r="AXP139" s="1251"/>
      <c r="AXQ139" s="1251"/>
      <c r="AXR139" s="1251"/>
      <c r="AXS139" s="1251"/>
      <c r="AXT139" s="1251"/>
      <c r="AXU139" s="1251"/>
      <c r="AXV139" s="1251"/>
      <c r="AXW139" s="1251"/>
      <c r="AXX139" s="1251"/>
      <c r="AXY139" s="1251"/>
      <c r="AXZ139" s="1251"/>
      <c r="AYA139" s="1251"/>
      <c r="AYB139" s="1251"/>
      <c r="AYC139" s="1251"/>
      <c r="AYD139" s="1251"/>
      <c r="AYE139" s="1251"/>
      <c r="AYF139" s="1251"/>
      <c r="AYG139" s="1251"/>
      <c r="AYH139" s="1251"/>
      <c r="AYI139" s="1251"/>
      <c r="AYJ139" s="1251"/>
      <c r="AYK139" s="1251"/>
      <c r="AYL139" s="1251"/>
      <c r="AYM139" s="1251"/>
      <c r="AYN139" s="1251"/>
      <c r="AYO139" s="1251"/>
      <c r="AYP139" s="1251"/>
      <c r="AYQ139" s="1251"/>
      <c r="AYR139" s="1251"/>
      <c r="AYS139" s="1251"/>
      <c r="AYT139" s="1251"/>
      <c r="AYU139" s="1251"/>
      <c r="AYV139" s="1251"/>
      <c r="AYW139" s="1251"/>
      <c r="AYX139" s="1251"/>
      <c r="AYY139" s="1251"/>
      <c r="AYZ139" s="1251"/>
      <c r="AZA139" s="1251"/>
      <c r="AZB139" s="1251"/>
      <c r="AZC139" s="1251"/>
      <c r="AZD139" s="1251"/>
      <c r="AZE139" s="1251"/>
      <c r="AZF139" s="1251"/>
      <c r="AZG139" s="1251"/>
      <c r="AZH139" s="1251"/>
      <c r="AZI139" s="1251"/>
      <c r="AZJ139" s="1251"/>
      <c r="AZK139" s="1251"/>
      <c r="AZL139" s="1251"/>
      <c r="AZM139" s="1251"/>
      <c r="AZN139" s="1251"/>
      <c r="AZO139" s="1251"/>
      <c r="AZP139" s="1251"/>
      <c r="AZQ139" s="1251"/>
      <c r="AZR139" s="1251"/>
      <c r="AZS139" s="1251"/>
      <c r="AZT139" s="1251"/>
      <c r="AZU139" s="1251"/>
      <c r="AZV139" s="1251"/>
      <c r="AZW139" s="1251"/>
      <c r="AZX139" s="1251"/>
      <c r="AZY139" s="1251"/>
      <c r="AZZ139" s="1251"/>
      <c r="BAA139" s="1251"/>
      <c r="BAB139" s="1251"/>
      <c r="BAC139" s="1251"/>
      <c r="BAD139" s="1251"/>
      <c r="BAE139" s="1251"/>
      <c r="BAF139" s="1251"/>
      <c r="BAG139" s="1251"/>
      <c r="BAH139" s="1251"/>
      <c r="BAI139" s="1251"/>
      <c r="BAJ139" s="1251"/>
      <c r="BAK139" s="1251"/>
      <c r="BAL139" s="1251"/>
      <c r="BAM139" s="1251"/>
      <c r="BAN139" s="1251"/>
      <c r="BAO139" s="1251"/>
      <c r="BAP139" s="1251"/>
      <c r="BAQ139" s="1251"/>
      <c r="BAR139" s="1251"/>
      <c r="BAS139" s="1251"/>
      <c r="BAT139" s="1251"/>
      <c r="BAU139" s="1251"/>
      <c r="BAV139" s="1251"/>
      <c r="BAW139" s="1251"/>
      <c r="BAX139" s="1251"/>
      <c r="BAY139" s="1251"/>
      <c r="BAZ139" s="1251"/>
      <c r="BBA139" s="1251"/>
      <c r="BBB139" s="1251"/>
      <c r="BBC139" s="1251"/>
      <c r="BBD139" s="1251"/>
      <c r="BBE139" s="1251"/>
      <c r="BBF139" s="1251"/>
      <c r="BBG139" s="1251"/>
      <c r="BBH139" s="1251"/>
      <c r="BBI139" s="1251"/>
      <c r="BBJ139" s="1251"/>
      <c r="BBK139" s="1251"/>
      <c r="BBL139" s="1251"/>
      <c r="BBM139" s="1251"/>
      <c r="BBN139" s="1251"/>
      <c r="BBO139" s="1251"/>
      <c r="BBP139" s="1251"/>
      <c r="BBQ139" s="1251"/>
      <c r="BBR139" s="1251"/>
      <c r="BBS139" s="1251"/>
      <c r="BBT139" s="1251"/>
      <c r="BBU139" s="1251"/>
      <c r="BBV139" s="1251"/>
      <c r="BBW139" s="1251"/>
      <c r="BBX139" s="1251"/>
      <c r="BBY139" s="1251"/>
      <c r="BBZ139" s="1251"/>
      <c r="BCA139" s="1251"/>
      <c r="BCB139" s="1251"/>
      <c r="BCC139" s="1251"/>
      <c r="BCD139" s="1251"/>
      <c r="BCE139" s="1251"/>
      <c r="BCF139" s="1251"/>
      <c r="BCG139" s="1251"/>
      <c r="BCH139" s="1251"/>
      <c r="BCI139" s="1251"/>
      <c r="BCJ139" s="1251"/>
      <c r="BCK139" s="1251"/>
      <c r="BCL139" s="1251"/>
      <c r="BCM139" s="1251"/>
      <c r="BCN139" s="1251"/>
      <c r="BCO139" s="1251"/>
      <c r="BCP139" s="1251"/>
      <c r="BCQ139" s="1251"/>
      <c r="BCR139" s="1251"/>
      <c r="BCS139" s="1251"/>
      <c r="BCT139" s="1251"/>
      <c r="BCU139" s="1251"/>
      <c r="BCV139" s="1251"/>
      <c r="BCW139" s="1251"/>
      <c r="BCX139" s="1251"/>
      <c r="BCY139" s="1251"/>
      <c r="BCZ139" s="1251"/>
      <c r="BDA139" s="1251"/>
      <c r="BDB139" s="1251"/>
      <c r="BDC139" s="1251"/>
      <c r="BDD139" s="1251"/>
      <c r="BDE139" s="1251"/>
      <c r="BDF139" s="1251"/>
      <c r="BDG139" s="1251"/>
      <c r="BDH139" s="1251"/>
      <c r="BDI139" s="1251"/>
      <c r="BDJ139" s="1251"/>
      <c r="BDK139" s="1251"/>
      <c r="BDL139" s="1251"/>
      <c r="BDM139" s="1251"/>
      <c r="BDN139" s="1251"/>
      <c r="BDO139" s="1251"/>
      <c r="BDP139" s="1251"/>
      <c r="BDQ139" s="1251"/>
      <c r="BDR139" s="1251"/>
      <c r="BDS139" s="1251"/>
      <c r="BDT139" s="1251"/>
      <c r="BDU139" s="1251"/>
      <c r="BDV139" s="1251"/>
      <c r="BDW139" s="1251"/>
      <c r="BDX139" s="1251"/>
      <c r="BDY139" s="1251"/>
      <c r="BDZ139" s="1251"/>
      <c r="BEA139" s="1251"/>
      <c r="BEB139" s="1251"/>
      <c r="BEC139" s="1251"/>
      <c r="BED139" s="1251"/>
      <c r="BEE139" s="1251"/>
      <c r="BEF139" s="1251"/>
      <c r="BEG139" s="1251"/>
      <c r="BEH139" s="1251"/>
      <c r="BEI139" s="1251"/>
      <c r="BEJ139" s="1251"/>
      <c r="BEK139" s="1251"/>
      <c r="BEL139" s="1251"/>
      <c r="BEM139" s="1251"/>
      <c r="BEN139" s="1251"/>
      <c r="BEO139" s="1251"/>
      <c r="BEP139" s="1251"/>
      <c r="BEQ139" s="1251"/>
      <c r="BER139" s="1251"/>
      <c r="BES139" s="1251"/>
      <c r="BET139" s="1251"/>
      <c r="BEU139" s="1251"/>
      <c r="BEV139" s="1251"/>
      <c r="BEW139" s="1251"/>
      <c r="BEX139" s="1251"/>
      <c r="BEY139" s="1251"/>
      <c r="BEZ139" s="1251"/>
      <c r="BFA139" s="1251"/>
      <c r="BFB139" s="1251"/>
      <c r="BFC139" s="1251"/>
      <c r="BFD139" s="1251"/>
      <c r="BFE139" s="1251"/>
      <c r="BFF139" s="1251"/>
      <c r="BFG139" s="1251"/>
      <c r="BFH139" s="1251"/>
      <c r="BFI139" s="1251"/>
      <c r="BFJ139" s="1251"/>
      <c r="BFK139" s="1251"/>
      <c r="BFL139" s="1251"/>
      <c r="BFM139" s="1251"/>
      <c r="BFN139" s="1251"/>
      <c r="BFO139" s="1251"/>
      <c r="BFP139" s="1251"/>
      <c r="BFQ139" s="1251"/>
      <c r="BFR139" s="1251"/>
      <c r="BFS139" s="1251"/>
      <c r="BFT139" s="1251"/>
      <c r="BFU139" s="1251"/>
      <c r="BFV139" s="1251"/>
      <c r="BFW139" s="1251"/>
      <c r="BFX139" s="1251"/>
      <c r="BFY139" s="1251"/>
      <c r="BFZ139" s="1251"/>
      <c r="BGA139" s="1251"/>
      <c r="BGB139" s="1251"/>
      <c r="BGC139" s="1251"/>
      <c r="BGD139" s="1251"/>
      <c r="BGE139" s="1251"/>
      <c r="BGF139" s="1251"/>
      <c r="BGG139" s="1251"/>
      <c r="BGH139" s="1251"/>
      <c r="BGI139" s="1251"/>
      <c r="BGJ139" s="1251"/>
      <c r="BGK139" s="1251"/>
      <c r="BGL139" s="1251"/>
      <c r="BGM139" s="1251"/>
      <c r="BGN139" s="1251"/>
      <c r="BGO139" s="1251"/>
      <c r="BGP139" s="1251"/>
      <c r="BGQ139" s="1251"/>
      <c r="BGR139" s="1251"/>
      <c r="BGS139" s="1251"/>
      <c r="BGT139" s="1251"/>
      <c r="BGU139" s="1251"/>
      <c r="BGV139" s="1251"/>
      <c r="BGW139" s="1251"/>
      <c r="BGX139" s="1251"/>
      <c r="BGY139" s="1251"/>
      <c r="BGZ139" s="1251"/>
      <c r="BHA139" s="1251"/>
      <c r="BHB139" s="1251"/>
      <c r="BHC139" s="1251"/>
      <c r="BHD139" s="1251"/>
      <c r="BHE139" s="1251"/>
      <c r="BHF139" s="1251"/>
      <c r="BHG139" s="1251"/>
      <c r="BHH139" s="1251"/>
      <c r="BHI139" s="1251"/>
      <c r="BHJ139" s="1251"/>
      <c r="BHK139" s="1251"/>
      <c r="BHL139" s="1251"/>
      <c r="BHM139" s="1251"/>
      <c r="BHN139" s="1251"/>
      <c r="BHO139" s="1251"/>
      <c r="BHP139" s="1251"/>
      <c r="BHQ139" s="1251"/>
      <c r="BHR139" s="1251"/>
      <c r="BHS139" s="1251"/>
      <c r="BHT139" s="1251"/>
      <c r="BHU139" s="1251"/>
      <c r="BHV139" s="1251"/>
      <c r="BHW139" s="1251"/>
      <c r="BHX139" s="1251"/>
      <c r="BHY139" s="1251"/>
      <c r="BHZ139" s="1251"/>
      <c r="BIA139" s="1251"/>
      <c r="BIB139" s="1251"/>
      <c r="BIC139" s="1251"/>
      <c r="BID139" s="1251"/>
      <c r="BIE139" s="1251"/>
      <c r="BIF139" s="1251"/>
      <c r="BIG139" s="1251"/>
      <c r="BIH139" s="1251"/>
      <c r="BII139" s="1251"/>
      <c r="BIJ139" s="1251"/>
      <c r="BIK139" s="1251"/>
      <c r="BIL139" s="1251"/>
      <c r="BIM139" s="1251"/>
      <c r="BIN139" s="1251"/>
      <c r="BIO139" s="1251"/>
      <c r="BIP139" s="1251"/>
      <c r="BIQ139" s="1251"/>
      <c r="BIR139" s="1251"/>
      <c r="BIS139" s="1251"/>
      <c r="BIT139" s="1251"/>
      <c r="BIU139" s="1251"/>
      <c r="BIV139" s="1251"/>
      <c r="BIW139" s="1251"/>
      <c r="BIX139" s="1251"/>
      <c r="BIY139" s="1251"/>
      <c r="BIZ139" s="1251"/>
      <c r="BJA139" s="1251"/>
      <c r="BJB139" s="1251"/>
      <c r="BJC139" s="1251"/>
      <c r="BJD139" s="1251"/>
      <c r="BJE139" s="1251"/>
      <c r="BJF139" s="1251"/>
      <c r="BJG139" s="1251"/>
      <c r="BJH139" s="1251"/>
      <c r="BJI139" s="1251"/>
      <c r="BJJ139" s="1251"/>
      <c r="BJK139" s="1251"/>
      <c r="BJL139" s="1251"/>
      <c r="BJM139" s="1251"/>
      <c r="BJN139" s="1251"/>
      <c r="BJO139" s="1251"/>
      <c r="BJP139" s="1251"/>
      <c r="BJQ139" s="1251"/>
      <c r="BJR139" s="1251"/>
      <c r="BJS139" s="1251"/>
      <c r="BJT139" s="1251"/>
      <c r="BJU139" s="1251"/>
      <c r="BJV139" s="1251"/>
      <c r="BJW139" s="1251"/>
      <c r="BJX139" s="1251"/>
      <c r="BJY139" s="1251"/>
      <c r="BJZ139" s="1251"/>
      <c r="BKA139" s="1251"/>
      <c r="BKB139" s="1251"/>
      <c r="BKC139" s="1251"/>
      <c r="BKD139" s="1251"/>
      <c r="BKE139" s="1251"/>
      <c r="BKF139" s="1251"/>
      <c r="BKG139" s="1251"/>
      <c r="BKH139" s="1251"/>
      <c r="BKI139" s="1251"/>
      <c r="BKJ139" s="1251"/>
      <c r="BKK139" s="1251"/>
      <c r="BKL139" s="1251"/>
      <c r="BKM139" s="1251"/>
      <c r="BKN139" s="1251"/>
      <c r="BKO139" s="1251"/>
      <c r="BKP139" s="1251"/>
      <c r="BKQ139" s="1251"/>
      <c r="BKR139" s="1251"/>
      <c r="BKS139" s="1251"/>
      <c r="BKT139" s="1251"/>
      <c r="BKU139" s="1251"/>
      <c r="BKV139" s="1251"/>
      <c r="BKW139" s="1251"/>
      <c r="BKX139" s="1251"/>
      <c r="BKY139" s="1251"/>
      <c r="BKZ139" s="1251"/>
      <c r="BLA139" s="1251"/>
      <c r="BLB139" s="1251"/>
      <c r="BLC139" s="1251"/>
      <c r="BLD139" s="1251"/>
      <c r="BLE139" s="1251"/>
      <c r="BLF139" s="1251"/>
      <c r="BLG139" s="1251"/>
      <c r="BLH139" s="1251"/>
      <c r="BLI139" s="1251"/>
      <c r="BLJ139" s="1251"/>
      <c r="BLK139" s="1251"/>
      <c r="BLL139" s="1251"/>
      <c r="BLM139" s="1251"/>
      <c r="BLN139" s="1251"/>
      <c r="BLO139" s="1251"/>
      <c r="BLP139" s="1251"/>
      <c r="BLQ139" s="1251"/>
      <c r="BLR139" s="1251"/>
      <c r="BLS139" s="1251"/>
      <c r="BLT139" s="1251"/>
      <c r="BLU139" s="1251"/>
      <c r="BLV139" s="1251"/>
      <c r="BLW139" s="1251"/>
      <c r="BLX139" s="1251"/>
      <c r="BLY139" s="1251"/>
      <c r="BLZ139" s="1251"/>
      <c r="BMA139" s="1251"/>
      <c r="BMB139" s="1251"/>
      <c r="BMC139" s="1251"/>
      <c r="BMD139" s="1251"/>
      <c r="BME139" s="1251"/>
      <c r="BMF139" s="1251"/>
      <c r="BMG139" s="1251"/>
      <c r="BMH139" s="1251"/>
      <c r="BMI139" s="1251"/>
      <c r="BMJ139" s="1251"/>
      <c r="BMK139" s="1251"/>
      <c r="BML139" s="1251"/>
      <c r="BMM139" s="1251"/>
      <c r="BMN139" s="1251"/>
      <c r="BMO139" s="1251"/>
      <c r="BMP139" s="1251"/>
      <c r="BMQ139" s="1251"/>
      <c r="BMR139" s="1251"/>
      <c r="BMS139" s="1251"/>
      <c r="BMT139" s="1251"/>
      <c r="BMU139" s="1251"/>
      <c r="BMV139" s="1251"/>
      <c r="BMW139" s="1251"/>
      <c r="BMX139" s="1251"/>
      <c r="BMY139" s="1251"/>
      <c r="BMZ139" s="1251"/>
      <c r="BNA139" s="1251"/>
      <c r="BNB139" s="1251"/>
      <c r="BNC139" s="1251"/>
      <c r="BND139" s="1251"/>
      <c r="BNE139" s="1251"/>
      <c r="BNF139" s="1251"/>
      <c r="BNG139" s="1251"/>
      <c r="BNH139" s="1251"/>
      <c r="BNI139" s="1251"/>
      <c r="BNJ139" s="1251"/>
      <c r="BNK139" s="1251"/>
      <c r="BNL139" s="1251"/>
      <c r="BNM139" s="1251"/>
      <c r="BNN139" s="1251"/>
      <c r="BNO139" s="1251"/>
      <c r="BNP139" s="1251"/>
      <c r="BNQ139" s="1251"/>
      <c r="BNR139" s="1251"/>
      <c r="BNS139" s="1251"/>
      <c r="BNT139" s="1251"/>
      <c r="BNU139" s="1251"/>
      <c r="BNV139" s="1251"/>
      <c r="BNW139" s="1251"/>
      <c r="BNX139" s="1251"/>
      <c r="BNY139" s="1251"/>
      <c r="BNZ139" s="1251"/>
      <c r="BOA139" s="1251"/>
      <c r="BOB139" s="1251"/>
      <c r="BOC139" s="1251"/>
      <c r="BOD139" s="1251"/>
      <c r="BOE139" s="1251"/>
      <c r="BOF139" s="1251"/>
      <c r="BOG139" s="1251"/>
      <c r="BOH139" s="1251"/>
      <c r="BOI139" s="1251"/>
      <c r="BOJ139" s="1251"/>
      <c r="BOK139" s="1251"/>
      <c r="BOL139" s="1251"/>
      <c r="BOM139" s="1251"/>
      <c r="BON139" s="1251"/>
      <c r="BOO139" s="1251"/>
      <c r="BOP139" s="1251"/>
      <c r="BOQ139" s="1251"/>
      <c r="BOR139" s="1251"/>
      <c r="BOS139" s="1251"/>
      <c r="BOT139" s="1251"/>
      <c r="BOU139" s="1251"/>
      <c r="BOV139" s="1251"/>
      <c r="BOW139" s="1251"/>
      <c r="BOX139" s="1251"/>
      <c r="BOY139" s="1251"/>
      <c r="BOZ139" s="1251"/>
      <c r="BPA139" s="1251"/>
      <c r="BPB139" s="1251"/>
      <c r="BPC139" s="1251"/>
      <c r="BPD139" s="1251"/>
      <c r="BPE139" s="1251"/>
      <c r="BPF139" s="1251"/>
      <c r="BPG139" s="1251"/>
      <c r="BPH139" s="1251"/>
      <c r="BPI139" s="1251"/>
      <c r="BPJ139" s="1251"/>
      <c r="BPK139" s="1251"/>
      <c r="BPL139" s="1251"/>
      <c r="BPM139" s="1251"/>
      <c r="BPN139" s="1251"/>
      <c r="BPO139" s="1251"/>
      <c r="BPP139" s="1251"/>
      <c r="BPQ139" s="1251"/>
      <c r="BPR139" s="1251"/>
      <c r="BPS139" s="1251"/>
      <c r="BPT139" s="1251"/>
      <c r="BPU139" s="1251"/>
      <c r="BPV139" s="1251"/>
      <c r="BPW139" s="1251"/>
      <c r="BPX139" s="1251"/>
      <c r="BPY139" s="1251"/>
      <c r="BPZ139" s="1251"/>
      <c r="BQA139" s="1251"/>
      <c r="BQB139" s="1251"/>
      <c r="BQC139" s="1251"/>
      <c r="BQD139" s="1251"/>
      <c r="BQE139" s="1251"/>
      <c r="BQF139" s="1251"/>
      <c r="BQG139" s="1251"/>
      <c r="BQH139" s="1251"/>
      <c r="BQI139" s="1251"/>
      <c r="BQJ139" s="1251"/>
      <c r="BQK139" s="1251"/>
      <c r="BQL139" s="1251"/>
      <c r="BQM139" s="1251"/>
      <c r="BQN139" s="1251"/>
      <c r="BQO139" s="1251"/>
      <c r="BQP139" s="1251"/>
      <c r="BQQ139" s="1251"/>
      <c r="BQR139" s="1251"/>
      <c r="BQS139" s="1251"/>
      <c r="BQT139" s="1251"/>
      <c r="BQU139" s="1251"/>
      <c r="BQV139" s="1251"/>
      <c r="BQW139" s="1251"/>
      <c r="BQX139" s="1251"/>
      <c r="BQY139" s="1251"/>
      <c r="BQZ139" s="1251"/>
      <c r="BRA139" s="1251"/>
      <c r="BRB139" s="1251"/>
      <c r="BRC139" s="1251"/>
      <c r="BRD139" s="1251"/>
      <c r="BRE139" s="1251"/>
      <c r="BRF139" s="1251"/>
      <c r="BRG139" s="1251"/>
      <c r="BRH139" s="1251"/>
      <c r="BRI139" s="1251"/>
      <c r="BRJ139" s="1251"/>
      <c r="BRK139" s="1251"/>
      <c r="BRL139" s="1251"/>
      <c r="BRM139" s="1251"/>
      <c r="BRN139" s="1251"/>
      <c r="BRO139" s="1251"/>
      <c r="BRP139" s="1251"/>
      <c r="BRQ139" s="1251"/>
      <c r="BRR139" s="1251"/>
      <c r="BRS139" s="1251"/>
      <c r="BRT139" s="1251"/>
      <c r="BRU139" s="1251"/>
      <c r="BRV139" s="1251"/>
      <c r="BRW139" s="1251"/>
      <c r="BRX139" s="1251"/>
      <c r="BRY139" s="1251"/>
      <c r="BRZ139" s="1251"/>
      <c r="BSA139" s="1251"/>
      <c r="BSB139" s="1251"/>
      <c r="BSC139" s="1251"/>
      <c r="BSD139" s="1251"/>
      <c r="BSE139" s="1251"/>
      <c r="BSF139" s="1251"/>
      <c r="BSG139" s="1251"/>
      <c r="BSH139" s="1251"/>
      <c r="BSI139" s="1251"/>
      <c r="BSJ139" s="1251"/>
      <c r="BSK139" s="1251"/>
      <c r="BSL139" s="1251"/>
      <c r="BSM139" s="1251"/>
      <c r="BSN139" s="1251"/>
      <c r="BSO139" s="1251"/>
      <c r="BSP139" s="1251"/>
      <c r="BSQ139" s="1251"/>
      <c r="BSR139" s="1251"/>
      <c r="BSS139" s="1251"/>
      <c r="BST139" s="1251"/>
      <c r="BSU139" s="1251"/>
      <c r="BSV139" s="1251"/>
      <c r="BSW139" s="1251"/>
      <c r="BSX139" s="1251"/>
      <c r="BSY139" s="1251"/>
      <c r="BSZ139" s="1251"/>
      <c r="BTA139" s="1251"/>
      <c r="BTB139" s="1251"/>
      <c r="BTC139" s="1251"/>
      <c r="BTD139" s="1251"/>
      <c r="BTE139" s="1251"/>
      <c r="BTF139" s="1251"/>
      <c r="BTG139" s="1251"/>
      <c r="BTH139" s="1251"/>
      <c r="BTI139" s="1251"/>
    </row>
    <row r="140" spans="1:1881" s="1261" customFormat="1" ht="126" hidden="1" customHeight="1" x14ac:dyDescent="0.3">
      <c r="A140" s="749">
        <v>633</v>
      </c>
      <c r="B140" s="308" t="s">
        <v>805</v>
      </c>
      <c r="C140" s="308" t="s">
        <v>656</v>
      </c>
      <c r="D140" s="1281" t="s">
        <v>1469</v>
      </c>
      <c r="E140" s="1249" t="e">
        <f>HLOOKUP($D$2,'2020 Data(H)'!$C$1:$CZ$426,292,FALSE)</f>
        <v>#N/A</v>
      </c>
      <c r="F140" s="1263">
        <v>0</v>
      </c>
      <c r="G140" s="741" t="str">
        <f>IF(F140&gt;=(F141+F142+F143+F144+F145+F146),"","Account 633 is less than the total sum of accounts 634 through 638 + 383")</f>
        <v/>
      </c>
      <c r="H140" s="747">
        <f>F140-(F141+F142+F143+F144+F145+F146)</f>
        <v>0</v>
      </c>
      <c r="I140" s="732" t="str">
        <f>IF(F140&gt;=(F141+F142+F143+F144+F145+F146),"","Account 633 is less than the total sum of accounts 634 through 638 + 383")</f>
        <v/>
      </c>
      <c r="J140" s="1251"/>
      <c r="K140" s="1251"/>
      <c r="L140" s="1251"/>
      <c r="M140" s="1251"/>
      <c r="N140" s="1253"/>
      <c r="O140" s="1251"/>
      <c r="P140" s="1251"/>
      <c r="Q140" s="1251"/>
      <c r="R140" s="1251"/>
      <c r="S140" s="1251"/>
      <c r="T140" s="1251"/>
      <c r="U140" s="1251"/>
      <c r="V140" s="1251"/>
      <c r="W140" s="1251"/>
      <c r="X140" s="1251"/>
      <c r="Y140" s="1251"/>
      <c r="Z140" s="749"/>
      <c r="AA140" s="749"/>
      <c r="AB140" s="749"/>
      <c r="AC140" s="749"/>
      <c r="AD140" s="749"/>
      <c r="AE140" s="749"/>
      <c r="AF140" s="749"/>
      <c r="AG140" s="749"/>
      <c r="AH140" s="749"/>
      <c r="AI140" s="749"/>
      <c r="AJ140" s="749"/>
      <c r="AK140" s="749"/>
      <c r="AL140" s="749"/>
      <c r="AM140" s="749"/>
      <c r="AN140" s="749"/>
      <c r="AO140" s="749"/>
      <c r="AP140" s="749"/>
      <c r="AQ140" s="749"/>
      <c r="AR140" s="749"/>
      <c r="AS140" s="1251"/>
      <c r="AT140" s="1251"/>
      <c r="AU140" s="1251"/>
      <c r="AV140" s="1251"/>
      <c r="AW140" s="1251"/>
      <c r="AX140" s="1251"/>
      <c r="AY140" s="1251"/>
      <c r="AZ140" s="1251"/>
      <c r="BA140" s="1251"/>
      <c r="BB140" s="1251"/>
      <c r="BC140" s="1251"/>
      <c r="BD140" s="1251"/>
      <c r="BE140" s="1251"/>
      <c r="BF140" s="1251"/>
      <c r="BG140" s="1251"/>
      <c r="BH140" s="1251"/>
      <c r="BI140" s="1251"/>
      <c r="BJ140" s="1251"/>
      <c r="BK140" s="1251"/>
      <c r="BL140" s="1251"/>
      <c r="BM140" s="1251"/>
      <c r="BN140" s="1251"/>
      <c r="BO140" s="1251"/>
      <c r="BP140" s="1251"/>
      <c r="BQ140" s="1251"/>
      <c r="BR140" s="1251"/>
      <c r="BS140" s="1251"/>
      <c r="BT140" s="1251"/>
      <c r="BU140" s="1251"/>
      <c r="BV140" s="1251"/>
      <c r="BW140" s="1251"/>
      <c r="BX140" s="1251"/>
      <c r="BY140" s="1251"/>
      <c r="BZ140" s="1251"/>
      <c r="CA140" s="1251"/>
      <c r="CB140" s="1251"/>
      <c r="CC140" s="1251"/>
      <c r="CD140" s="1251"/>
      <c r="CE140" s="1251"/>
      <c r="CF140" s="1251"/>
      <c r="CG140" s="1251"/>
      <c r="CH140" s="1251"/>
      <c r="CI140" s="1251"/>
      <c r="CJ140" s="1251"/>
      <c r="CK140" s="1251"/>
      <c r="CL140" s="1251"/>
      <c r="CM140" s="1251"/>
      <c r="CN140" s="1251"/>
      <c r="CO140" s="1251"/>
      <c r="CP140" s="1251"/>
      <c r="CQ140" s="1251"/>
      <c r="CR140" s="1251"/>
      <c r="CS140" s="1251"/>
      <c r="CT140" s="1251"/>
      <c r="CU140" s="1251"/>
      <c r="CV140" s="1251"/>
      <c r="CW140" s="1251"/>
      <c r="CX140" s="1251"/>
      <c r="CY140" s="1251"/>
      <c r="CZ140" s="1251"/>
      <c r="DA140" s="1251"/>
      <c r="DB140" s="1251"/>
      <c r="DC140" s="1251"/>
      <c r="DD140" s="1251"/>
      <c r="DE140" s="1251"/>
      <c r="DF140" s="1251"/>
      <c r="DG140" s="1251"/>
      <c r="DH140" s="1251"/>
      <c r="DI140" s="1251"/>
      <c r="DJ140" s="1251"/>
      <c r="DK140" s="1251"/>
      <c r="DL140" s="1251"/>
      <c r="DM140" s="1251"/>
      <c r="DN140" s="1251"/>
      <c r="DO140" s="1251"/>
      <c r="DP140" s="1251"/>
      <c r="DQ140" s="1251"/>
      <c r="DR140" s="1251"/>
      <c r="DS140" s="1251"/>
      <c r="DT140" s="1251"/>
      <c r="DU140" s="1251"/>
      <c r="DV140" s="1251"/>
      <c r="DW140" s="1251"/>
      <c r="DX140" s="1251"/>
      <c r="DY140" s="1251"/>
      <c r="DZ140" s="1251"/>
      <c r="EA140" s="1251"/>
      <c r="EB140" s="1251"/>
      <c r="EC140" s="1251"/>
      <c r="ED140" s="1251"/>
      <c r="EE140" s="1251"/>
      <c r="EF140" s="1251"/>
      <c r="EG140" s="1251"/>
      <c r="EH140" s="1251"/>
      <c r="EI140" s="1251"/>
      <c r="EJ140" s="1251"/>
      <c r="EK140" s="1251"/>
      <c r="EL140" s="1251"/>
      <c r="EM140" s="1251"/>
      <c r="EN140" s="1251"/>
      <c r="EO140" s="1251"/>
      <c r="EP140" s="1251"/>
      <c r="EQ140" s="1251"/>
      <c r="ER140" s="1251"/>
      <c r="ES140" s="1251"/>
      <c r="ET140" s="1251"/>
      <c r="EU140" s="1251"/>
      <c r="EV140" s="1251"/>
      <c r="EW140" s="1251"/>
      <c r="EX140" s="1251"/>
      <c r="EY140" s="1251"/>
      <c r="EZ140" s="1251"/>
      <c r="FA140" s="1251"/>
      <c r="FB140" s="1251"/>
      <c r="FC140" s="1251"/>
      <c r="FD140" s="1251"/>
      <c r="FE140" s="1251"/>
      <c r="FF140" s="1251"/>
      <c r="FG140" s="1251"/>
      <c r="FH140" s="1251"/>
      <c r="FI140" s="1251"/>
      <c r="FJ140" s="1251"/>
      <c r="FK140" s="1251"/>
      <c r="FL140" s="1251"/>
      <c r="FM140" s="1251"/>
      <c r="FN140" s="1251"/>
      <c r="FO140" s="1251"/>
      <c r="FP140" s="1251"/>
      <c r="FQ140" s="1251"/>
      <c r="FR140" s="1251"/>
      <c r="FS140" s="1251"/>
      <c r="FT140" s="1251"/>
      <c r="FU140" s="1251"/>
      <c r="FV140" s="1251"/>
      <c r="FW140" s="1251"/>
      <c r="FX140" s="1251"/>
      <c r="FY140" s="1251"/>
      <c r="FZ140" s="1251"/>
      <c r="GA140" s="1251"/>
      <c r="GB140" s="1251"/>
      <c r="GC140" s="1251"/>
      <c r="GD140" s="1251"/>
      <c r="GE140" s="1251"/>
      <c r="GF140" s="1251"/>
      <c r="GG140" s="1251"/>
      <c r="GH140" s="1251"/>
      <c r="GI140" s="1251"/>
      <c r="GJ140" s="1251"/>
      <c r="GK140" s="1251"/>
      <c r="GL140" s="1251"/>
      <c r="GM140" s="1251"/>
      <c r="GN140" s="1251"/>
      <c r="GO140" s="1251"/>
      <c r="GP140" s="1251"/>
      <c r="GQ140" s="1251"/>
      <c r="GR140" s="1251"/>
      <c r="GS140" s="1251"/>
      <c r="GT140" s="1251"/>
      <c r="GU140" s="1251"/>
      <c r="GV140" s="1251"/>
      <c r="GW140" s="1251"/>
      <c r="GX140" s="1251"/>
      <c r="GY140" s="1251"/>
      <c r="GZ140" s="1251"/>
      <c r="HA140" s="1251"/>
      <c r="HB140" s="1251"/>
      <c r="HC140" s="1251"/>
      <c r="HD140" s="1251"/>
      <c r="HE140" s="1251"/>
      <c r="HF140" s="1251"/>
      <c r="HG140" s="1251"/>
      <c r="HH140" s="1251"/>
      <c r="HI140" s="1251"/>
      <c r="HJ140" s="1251"/>
      <c r="HK140" s="1251"/>
      <c r="HL140" s="1251"/>
      <c r="HM140" s="1251"/>
      <c r="HN140" s="1251"/>
      <c r="HO140" s="1251"/>
      <c r="HP140" s="1251"/>
      <c r="HQ140" s="1251"/>
      <c r="HR140" s="1251"/>
      <c r="HS140" s="1251"/>
      <c r="HT140" s="1251"/>
      <c r="HU140" s="1251"/>
      <c r="HV140" s="1251"/>
      <c r="HW140" s="1251"/>
      <c r="HX140" s="1251"/>
      <c r="HY140" s="1251"/>
      <c r="HZ140" s="1251"/>
      <c r="IA140" s="1251"/>
      <c r="IB140" s="1251"/>
      <c r="IC140" s="1251"/>
      <c r="ID140" s="1251"/>
      <c r="IE140" s="1251"/>
      <c r="IF140" s="1251"/>
      <c r="IG140" s="1251"/>
      <c r="IH140" s="1251"/>
      <c r="II140" s="1251"/>
      <c r="IJ140" s="1251"/>
      <c r="IK140" s="1251"/>
      <c r="IL140" s="1251"/>
      <c r="IM140" s="1251"/>
      <c r="IN140" s="1251"/>
      <c r="IO140" s="1251"/>
      <c r="IP140" s="1251"/>
      <c r="IQ140" s="1251"/>
      <c r="IR140" s="1251"/>
      <c r="IS140" s="1251"/>
      <c r="IT140" s="1251"/>
      <c r="IU140" s="1251"/>
      <c r="IV140" s="1251"/>
      <c r="IW140" s="1251"/>
      <c r="IX140" s="1251"/>
      <c r="IY140" s="1251"/>
      <c r="IZ140" s="1251"/>
      <c r="JA140" s="1251"/>
      <c r="JB140" s="1251"/>
      <c r="JC140" s="1251"/>
      <c r="JD140" s="1251"/>
      <c r="JE140" s="1251"/>
      <c r="JF140" s="1251"/>
      <c r="JG140" s="1251"/>
      <c r="JH140" s="1251"/>
      <c r="JI140" s="1251"/>
      <c r="JJ140" s="1251"/>
      <c r="JK140" s="1251"/>
      <c r="JL140" s="1251"/>
      <c r="JM140" s="1251"/>
      <c r="JN140" s="1251"/>
      <c r="JO140" s="1251"/>
      <c r="JP140" s="1251"/>
      <c r="JQ140" s="1251"/>
      <c r="JR140" s="1251"/>
      <c r="JS140" s="1251"/>
      <c r="JT140" s="1251"/>
      <c r="JU140" s="1251"/>
      <c r="JV140" s="1251"/>
      <c r="JW140" s="1251"/>
      <c r="JX140" s="1251"/>
      <c r="JY140" s="1251"/>
      <c r="JZ140" s="1251"/>
      <c r="KA140" s="1251"/>
      <c r="KB140" s="1251"/>
      <c r="KC140" s="1251"/>
      <c r="KD140" s="1251"/>
      <c r="KE140" s="1251"/>
      <c r="KF140" s="1251"/>
      <c r="KG140" s="1251"/>
      <c r="KH140" s="1251"/>
      <c r="KI140" s="1251"/>
      <c r="KJ140" s="1251"/>
      <c r="KK140" s="1251"/>
      <c r="KL140" s="1251"/>
      <c r="KM140" s="1251"/>
      <c r="KN140" s="1251"/>
      <c r="KO140" s="1251"/>
      <c r="KP140" s="1251"/>
      <c r="KQ140" s="1251"/>
      <c r="KR140" s="1251"/>
      <c r="KS140" s="1251"/>
      <c r="KT140" s="1251"/>
      <c r="KU140" s="1251"/>
      <c r="KV140" s="1251"/>
      <c r="KW140" s="1251"/>
      <c r="KX140" s="1251"/>
      <c r="KY140" s="1251"/>
      <c r="KZ140" s="1251"/>
      <c r="LA140" s="1251"/>
      <c r="LB140" s="1251"/>
      <c r="LC140" s="1251"/>
      <c r="LD140" s="1251"/>
      <c r="LE140" s="1251"/>
      <c r="LF140" s="1251"/>
      <c r="LG140" s="1251"/>
      <c r="LH140" s="1251"/>
      <c r="LI140" s="1251"/>
      <c r="LJ140" s="1251"/>
      <c r="LK140" s="1251"/>
      <c r="LL140" s="1251"/>
      <c r="LM140" s="1251"/>
      <c r="LN140" s="1251"/>
      <c r="LO140" s="1251"/>
      <c r="LP140" s="1251"/>
      <c r="LQ140" s="1251"/>
      <c r="LR140" s="1251"/>
      <c r="LS140" s="1251"/>
      <c r="LT140" s="1251"/>
      <c r="LU140" s="1251"/>
      <c r="LV140" s="1251"/>
      <c r="LW140" s="1251"/>
      <c r="LX140" s="1251"/>
      <c r="LY140" s="1251"/>
      <c r="LZ140" s="1251"/>
      <c r="MA140" s="1251"/>
      <c r="MB140" s="1251"/>
      <c r="MC140" s="1251"/>
      <c r="MD140" s="1251"/>
      <c r="ME140" s="1251"/>
      <c r="MF140" s="1251"/>
      <c r="MG140" s="1251"/>
      <c r="MH140" s="1251"/>
      <c r="MI140" s="1251"/>
      <c r="MJ140" s="1251"/>
      <c r="MK140" s="1251"/>
      <c r="ML140" s="1251"/>
      <c r="MM140" s="1251"/>
      <c r="MN140" s="1251"/>
      <c r="MO140" s="1251"/>
      <c r="MP140" s="1251"/>
      <c r="MQ140" s="1251"/>
      <c r="MR140" s="1251"/>
      <c r="MS140" s="1251"/>
      <c r="MT140" s="1251"/>
      <c r="MU140" s="1251"/>
      <c r="MV140" s="1251"/>
      <c r="MW140" s="1251"/>
      <c r="MX140" s="1251"/>
      <c r="MY140" s="1251"/>
      <c r="MZ140" s="1251"/>
      <c r="NA140" s="1251"/>
      <c r="NB140" s="1251"/>
      <c r="NC140" s="1251"/>
      <c r="ND140" s="1251"/>
      <c r="NE140" s="1251"/>
      <c r="NF140" s="1251"/>
      <c r="NG140" s="1251"/>
      <c r="NH140" s="1251"/>
      <c r="NI140" s="1251"/>
      <c r="NJ140" s="1251"/>
      <c r="NK140" s="1251"/>
      <c r="NL140" s="1251"/>
      <c r="NM140" s="1251"/>
      <c r="NN140" s="1251"/>
      <c r="NO140" s="1251"/>
      <c r="NP140" s="1251"/>
      <c r="NQ140" s="1251"/>
      <c r="NR140" s="1251"/>
      <c r="NS140" s="1251"/>
      <c r="NT140" s="1251"/>
      <c r="NU140" s="1251"/>
      <c r="NV140" s="1251"/>
      <c r="NW140" s="1251"/>
      <c r="NX140" s="1251"/>
      <c r="NY140" s="1251"/>
      <c r="NZ140" s="1251"/>
      <c r="OA140" s="1251"/>
      <c r="OB140" s="1251"/>
      <c r="OC140" s="1251"/>
      <c r="OD140" s="1251"/>
      <c r="OE140" s="1251"/>
      <c r="OF140" s="1251"/>
      <c r="OG140" s="1251"/>
      <c r="OH140" s="1251"/>
      <c r="OI140" s="1251"/>
      <c r="OJ140" s="1251"/>
      <c r="OK140" s="1251"/>
      <c r="OL140" s="1251"/>
      <c r="OM140" s="1251"/>
      <c r="ON140" s="1251"/>
      <c r="OO140" s="1251"/>
      <c r="OP140" s="1251"/>
      <c r="OQ140" s="1251"/>
      <c r="OR140" s="1251"/>
      <c r="OS140" s="1251"/>
      <c r="OT140" s="1251"/>
      <c r="OU140" s="1251"/>
      <c r="OV140" s="1251"/>
      <c r="OW140" s="1251"/>
      <c r="OX140" s="1251"/>
      <c r="OY140" s="1251"/>
      <c r="OZ140" s="1251"/>
      <c r="PA140" s="1251"/>
      <c r="PB140" s="1251"/>
      <c r="PC140" s="1251"/>
      <c r="PD140" s="1251"/>
      <c r="PE140" s="1251"/>
      <c r="PF140" s="1251"/>
      <c r="PG140" s="1251"/>
      <c r="PH140" s="1251"/>
      <c r="PI140" s="1251"/>
      <c r="PJ140" s="1251"/>
      <c r="PK140" s="1251"/>
      <c r="PL140" s="1251"/>
      <c r="PM140" s="1251"/>
      <c r="PN140" s="1251"/>
      <c r="PO140" s="1251"/>
      <c r="PP140" s="1251"/>
      <c r="PQ140" s="1251"/>
      <c r="PR140" s="1251"/>
      <c r="PS140" s="1251"/>
      <c r="PT140" s="1251"/>
      <c r="PU140" s="1251"/>
      <c r="PV140" s="1251"/>
      <c r="PW140" s="1251"/>
      <c r="PX140" s="1251"/>
      <c r="PY140" s="1251"/>
      <c r="PZ140" s="1251"/>
      <c r="QA140" s="1251"/>
      <c r="QB140" s="1251"/>
      <c r="QC140" s="1251"/>
      <c r="QD140" s="1251"/>
      <c r="QE140" s="1251"/>
      <c r="QF140" s="1251"/>
      <c r="QG140" s="1251"/>
      <c r="QH140" s="1251"/>
      <c r="QI140" s="1251"/>
      <c r="QJ140" s="1251"/>
      <c r="QK140" s="1251"/>
      <c r="QL140" s="1251"/>
      <c r="QM140" s="1251"/>
      <c r="QN140" s="1251"/>
      <c r="QO140" s="1251"/>
      <c r="QP140" s="1251"/>
      <c r="QQ140" s="1251"/>
      <c r="QR140" s="1251"/>
      <c r="QS140" s="1251"/>
      <c r="QT140" s="1251"/>
      <c r="QU140" s="1251"/>
      <c r="QV140" s="1251"/>
      <c r="QW140" s="1251"/>
      <c r="QX140" s="1251"/>
      <c r="QY140" s="1251"/>
      <c r="QZ140" s="1251"/>
      <c r="RA140" s="1251"/>
      <c r="RB140" s="1251"/>
      <c r="RC140" s="1251"/>
      <c r="RD140" s="1251"/>
      <c r="RE140" s="1251"/>
      <c r="RF140" s="1251"/>
      <c r="RG140" s="1251"/>
      <c r="RH140" s="1251"/>
      <c r="RI140" s="1251"/>
      <c r="RJ140" s="1251"/>
      <c r="RK140" s="1251"/>
      <c r="RL140" s="1251"/>
      <c r="RM140" s="1251"/>
      <c r="RN140" s="1251"/>
      <c r="RO140" s="1251"/>
      <c r="RP140" s="1251"/>
      <c r="RQ140" s="1251"/>
      <c r="RR140" s="1251"/>
      <c r="RS140" s="1251"/>
      <c r="RT140" s="1251"/>
      <c r="RU140" s="1251"/>
      <c r="RV140" s="1251"/>
      <c r="RW140" s="1251"/>
      <c r="RX140" s="1251"/>
      <c r="RY140" s="1251"/>
      <c r="RZ140" s="1251"/>
      <c r="SA140" s="1251"/>
      <c r="SB140" s="1251"/>
      <c r="SC140" s="1251"/>
      <c r="SD140" s="1251"/>
      <c r="SE140" s="1251"/>
      <c r="SF140" s="1251"/>
      <c r="SG140" s="1251"/>
      <c r="SH140" s="1251"/>
      <c r="SI140" s="1251"/>
      <c r="SJ140" s="1251"/>
      <c r="SK140" s="1251"/>
      <c r="SL140" s="1251"/>
      <c r="SM140" s="1251"/>
      <c r="SN140" s="1251"/>
      <c r="SO140" s="1251"/>
      <c r="SP140" s="1251"/>
      <c r="SQ140" s="1251"/>
      <c r="SR140" s="1251"/>
      <c r="SS140" s="1251"/>
      <c r="ST140" s="1251"/>
      <c r="SU140" s="1251"/>
      <c r="SV140" s="1251"/>
      <c r="SW140" s="1251"/>
      <c r="SX140" s="1251"/>
      <c r="SY140" s="1251"/>
      <c r="SZ140" s="1251"/>
      <c r="TA140" s="1251"/>
      <c r="TB140" s="1251"/>
      <c r="TC140" s="1251"/>
      <c r="TD140" s="1251"/>
      <c r="TE140" s="1251"/>
      <c r="TF140" s="1251"/>
      <c r="TG140" s="1251"/>
      <c r="TH140" s="1251"/>
      <c r="TI140" s="1251"/>
      <c r="TJ140" s="1251"/>
      <c r="TK140" s="1251"/>
      <c r="TL140" s="1251"/>
      <c r="TM140" s="1251"/>
      <c r="TN140" s="1251"/>
      <c r="TO140" s="1251"/>
      <c r="TP140" s="1251"/>
      <c r="TQ140" s="1251"/>
      <c r="TR140" s="1251"/>
      <c r="TS140" s="1251"/>
      <c r="TT140" s="1251"/>
      <c r="TU140" s="1251"/>
      <c r="TV140" s="1251"/>
      <c r="TW140" s="1251"/>
      <c r="TX140" s="1251"/>
      <c r="TY140" s="1251"/>
      <c r="TZ140" s="1251"/>
      <c r="UA140" s="1251"/>
      <c r="UB140" s="1251"/>
      <c r="UC140" s="1251"/>
      <c r="UD140" s="1251"/>
      <c r="UE140" s="1251"/>
      <c r="UF140" s="1251"/>
      <c r="UG140" s="1251"/>
      <c r="UH140" s="1251"/>
      <c r="UI140" s="1251"/>
      <c r="UJ140" s="1251"/>
      <c r="UK140" s="1251"/>
      <c r="UL140" s="1251"/>
      <c r="UM140" s="1251"/>
      <c r="UN140" s="1251"/>
      <c r="UO140" s="1251"/>
      <c r="UP140" s="1251"/>
      <c r="UQ140" s="1251"/>
      <c r="UR140" s="1251"/>
      <c r="US140" s="1251"/>
      <c r="UT140" s="1251"/>
      <c r="UU140" s="1251"/>
      <c r="UV140" s="1251"/>
      <c r="UW140" s="1251"/>
      <c r="UX140" s="1251"/>
      <c r="UY140" s="1251"/>
      <c r="UZ140" s="1251"/>
      <c r="VA140" s="1251"/>
      <c r="VB140" s="1251"/>
      <c r="VC140" s="1251"/>
      <c r="VD140" s="1251"/>
      <c r="VE140" s="1251"/>
      <c r="VF140" s="1251"/>
      <c r="VG140" s="1251"/>
      <c r="VH140" s="1251"/>
      <c r="VI140" s="1251"/>
      <c r="VJ140" s="1251"/>
      <c r="VK140" s="1251"/>
      <c r="VL140" s="1251"/>
      <c r="VM140" s="1251"/>
      <c r="VN140" s="1251"/>
      <c r="VO140" s="1251"/>
      <c r="VP140" s="1251"/>
      <c r="VQ140" s="1251"/>
      <c r="VR140" s="1251"/>
      <c r="VS140" s="1251"/>
      <c r="VT140" s="1251"/>
      <c r="VU140" s="1251"/>
      <c r="VV140" s="1251"/>
      <c r="VW140" s="1251"/>
      <c r="VX140" s="1251"/>
      <c r="VY140" s="1251"/>
      <c r="VZ140" s="1251"/>
      <c r="WA140" s="1251"/>
      <c r="WB140" s="1251"/>
      <c r="WC140" s="1251"/>
      <c r="WD140" s="1251"/>
      <c r="WE140" s="1251"/>
      <c r="WF140" s="1251"/>
      <c r="WG140" s="1251"/>
      <c r="WH140" s="1251"/>
      <c r="WI140" s="1251"/>
      <c r="WJ140" s="1251"/>
      <c r="WK140" s="1251"/>
      <c r="WL140" s="1251"/>
      <c r="WM140" s="1251"/>
      <c r="WN140" s="1251"/>
      <c r="WO140" s="1251"/>
      <c r="WP140" s="1251"/>
      <c r="WQ140" s="1251"/>
      <c r="WR140" s="1251"/>
      <c r="WS140" s="1251"/>
      <c r="WT140" s="1251"/>
      <c r="WU140" s="1251"/>
      <c r="WV140" s="1251"/>
      <c r="WW140" s="1251"/>
      <c r="WX140" s="1251"/>
      <c r="WY140" s="1251"/>
      <c r="WZ140" s="1251"/>
      <c r="XA140" s="1251"/>
      <c r="XB140" s="1251"/>
      <c r="XC140" s="1251"/>
      <c r="XD140" s="1251"/>
      <c r="XE140" s="1251"/>
      <c r="XF140" s="1251"/>
      <c r="XG140" s="1251"/>
      <c r="XH140" s="1251"/>
      <c r="XI140" s="1251"/>
      <c r="XJ140" s="1251"/>
      <c r="XK140" s="1251"/>
      <c r="XL140" s="1251"/>
      <c r="XM140" s="1251"/>
      <c r="XN140" s="1251"/>
      <c r="XO140" s="1251"/>
      <c r="XP140" s="1251"/>
      <c r="XQ140" s="1251"/>
      <c r="XR140" s="1251"/>
      <c r="XS140" s="1251"/>
      <c r="XT140" s="1251"/>
      <c r="XU140" s="1251"/>
      <c r="XV140" s="1251"/>
      <c r="XW140" s="1251"/>
      <c r="XX140" s="1251"/>
      <c r="XY140" s="1251"/>
      <c r="XZ140" s="1251"/>
      <c r="YA140" s="1251"/>
      <c r="YB140" s="1251"/>
      <c r="YC140" s="1251"/>
      <c r="YD140" s="1251"/>
      <c r="YE140" s="1251"/>
      <c r="YF140" s="1251"/>
      <c r="YG140" s="1251"/>
      <c r="YH140" s="1251"/>
      <c r="YI140" s="1251"/>
      <c r="YJ140" s="1251"/>
      <c r="YK140" s="1251"/>
      <c r="YL140" s="1251"/>
      <c r="YM140" s="1251"/>
      <c r="YN140" s="1251"/>
      <c r="YO140" s="1251"/>
      <c r="YP140" s="1251"/>
      <c r="YQ140" s="1251"/>
      <c r="YR140" s="1251"/>
      <c r="YS140" s="1251"/>
      <c r="YT140" s="1251"/>
      <c r="YU140" s="1251"/>
      <c r="YV140" s="1251"/>
      <c r="YW140" s="1251"/>
      <c r="YX140" s="1251"/>
      <c r="YY140" s="1251"/>
      <c r="YZ140" s="1251"/>
      <c r="ZA140" s="1251"/>
      <c r="ZB140" s="1251"/>
      <c r="ZC140" s="1251"/>
      <c r="ZD140" s="1251"/>
      <c r="ZE140" s="1251"/>
      <c r="ZF140" s="1251"/>
      <c r="ZG140" s="1251"/>
      <c r="ZH140" s="1251"/>
      <c r="ZI140" s="1251"/>
      <c r="ZJ140" s="1251"/>
      <c r="ZK140" s="1251"/>
      <c r="ZL140" s="1251"/>
      <c r="ZM140" s="1251"/>
      <c r="ZN140" s="1251"/>
      <c r="ZO140" s="1251"/>
      <c r="ZP140" s="1251"/>
      <c r="ZQ140" s="1251"/>
      <c r="ZR140" s="1251"/>
      <c r="ZS140" s="1251"/>
      <c r="ZT140" s="1251"/>
      <c r="ZU140" s="1251"/>
      <c r="ZV140" s="1251"/>
      <c r="ZW140" s="1251"/>
      <c r="ZX140" s="1251"/>
      <c r="ZY140" s="1251"/>
      <c r="ZZ140" s="1251"/>
      <c r="AAA140" s="1251"/>
      <c r="AAB140" s="1251"/>
      <c r="AAC140" s="1251"/>
      <c r="AAD140" s="1251"/>
      <c r="AAE140" s="1251"/>
      <c r="AAF140" s="1251"/>
      <c r="AAG140" s="1251"/>
      <c r="AAH140" s="1251"/>
      <c r="AAI140" s="1251"/>
      <c r="AAJ140" s="1251"/>
      <c r="AAK140" s="1251"/>
      <c r="AAL140" s="1251"/>
      <c r="AAM140" s="1251"/>
      <c r="AAN140" s="1251"/>
      <c r="AAO140" s="1251"/>
      <c r="AAP140" s="1251"/>
      <c r="AAQ140" s="1251"/>
      <c r="AAR140" s="1251"/>
      <c r="AAS140" s="1251"/>
      <c r="AAT140" s="1251"/>
      <c r="AAU140" s="1251"/>
      <c r="AAV140" s="1251"/>
      <c r="AAW140" s="1251"/>
      <c r="AAX140" s="1251"/>
      <c r="AAY140" s="1251"/>
      <c r="AAZ140" s="1251"/>
      <c r="ABA140" s="1251"/>
      <c r="ABB140" s="1251"/>
      <c r="ABC140" s="1251"/>
      <c r="ABD140" s="1251"/>
      <c r="ABE140" s="1251"/>
      <c r="ABF140" s="1251"/>
      <c r="ABG140" s="1251"/>
      <c r="ABH140" s="1251"/>
      <c r="ABI140" s="1251"/>
      <c r="ABJ140" s="1251"/>
      <c r="ABK140" s="1251"/>
      <c r="ABL140" s="1251"/>
      <c r="ABM140" s="1251"/>
      <c r="ABN140" s="1251"/>
      <c r="ABO140" s="1251"/>
      <c r="ABP140" s="1251"/>
      <c r="ABQ140" s="1251"/>
      <c r="ABR140" s="1251"/>
      <c r="ABS140" s="1251"/>
      <c r="ABT140" s="1251"/>
      <c r="ABU140" s="1251"/>
      <c r="ABV140" s="1251"/>
      <c r="ABW140" s="1251"/>
      <c r="ABX140" s="1251"/>
      <c r="ABY140" s="1251"/>
      <c r="ABZ140" s="1251"/>
      <c r="ACA140" s="1251"/>
      <c r="ACB140" s="1251"/>
      <c r="ACC140" s="1251"/>
      <c r="ACD140" s="1251"/>
      <c r="ACE140" s="1251"/>
      <c r="ACF140" s="1251"/>
      <c r="ACG140" s="1251"/>
      <c r="ACH140" s="1251"/>
      <c r="ACI140" s="1251"/>
      <c r="ACJ140" s="1251"/>
      <c r="ACK140" s="1251"/>
      <c r="ACL140" s="1251"/>
      <c r="ACM140" s="1251"/>
      <c r="ACN140" s="1251"/>
      <c r="ACO140" s="1251"/>
      <c r="ACP140" s="1251"/>
      <c r="ACQ140" s="1251"/>
      <c r="ACR140" s="1251"/>
      <c r="ACS140" s="1251"/>
      <c r="ACT140" s="1251"/>
      <c r="ACU140" s="1251"/>
      <c r="ACV140" s="1251"/>
      <c r="ACW140" s="1251"/>
      <c r="ACX140" s="1251"/>
      <c r="ACY140" s="1251"/>
      <c r="ACZ140" s="1251"/>
      <c r="ADA140" s="1251"/>
      <c r="ADB140" s="1251"/>
      <c r="ADC140" s="1251"/>
      <c r="ADD140" s="1251"/>
      <c r="ADE140" s="1251"/>
      <c r="ADF140" s="1251"/>
      <c r="ADG140" s="1251"/>
      <c r="ADH140" s="1251"/>
      <c r="ADI140" s="1251"/>
      <c r="ADJ140" s="1251"/>
      <c r="ADK140" s="1251"/>
      <c r="ADL140" s="1251"/>
      <c r="ADM140" s="1251"/>
      <c r="ADN140" s="1251"/>
      <c r="ADO140" s="1251"/>
      <c r="ADP140" s="1251"/>
      <c r="ADQ140" s="1251"/>
      <c r="ADR140" s="1251"/>
      <c r="ADS140" s="1251"/>
      <c r="ADT140" s="1251"/>
      <c r="ADU140" s="1251"/>
      <c r="ADV140" s="1251"/>
      <c r="ADW140" s="1251"/>
      <c r="ADX140" s="1251"/>
      <c r="ADY140" s="1251"/>
      <c r="ADZ140" s="1251"/>
      <c r="AEA140" s="1251"/>
      <c r="AEB140" s="1251"/>
      <c r="AEC140" s="1251"/>
      <c r="AED140" s="1251"/>
      <c r="AEE140" s="1251"/>
      <c r="AEF140" s="1251"/>
      <c r="AEG140" s="1251"/>
      <c r="AEH140" s="1251"/>
      <c r="AEI140" s="1251"/>
      <c r="AEJ140" s="1251"/>
      <c r="AEK140" s="1251"/>
      <c r="AEL140" s="1251"/>
      <c r="AEM140" s="1251"/>
      <c r="AEN140" s="1251"/>
      <c r="AEO140" s="1251"/>
      <c r="AEP140" s="1251"/>
      <c r="AEQ140" s="1251"/>
      <c r="AER140" s="1251"/>
      <c r="AES140" s="1251"/>
      <c r="AET140" s="1251"/>
      <c r="AEU140" s="1251"/>
      <c r="AEV140" s="1251"/>
      <c r="AEW140" s="1251"/>
      <c r="AEX140" s="1251"/>
      <c r="AEY140" s="1251"/>
      <c r="AEZ140" s="1251"/>
      <c r="AFA140" s="1251"/>
      <c r="AFB140" s="1251"/>
      <c r="AFC140" s="1251"/>
      <c r="AFD140" s="1251"/>
      <c r="AFE140" s="1251"/>
      <c r="AFF140" s="1251"/>
      <c r="AFG140" s="1251"/>
      <c r="AFH140" s="1251"/>
      <c r="AFI140" s="1251"/>
      <c r="AFJ140" s="1251"/>
      <c r="AFK140" s="1251"/>
      <c r="AFL140" s="1251"/>
      <c r="AFM140" s="1251"/>
      <c r="AFN140" s="1251"/>
      <c r="AFO140" s="1251"/>
      <c r="AFP140" s="1251"/>
      <c r="AFQ140" s="1251"/>
      <c r="AFR140" s="1251"/>
      <c r="AFS140" s="1251"/>
      <c r="AFT140" s="1251"/>
      <c r="AFU140" s="1251"/>
      <c r="AFV140" s="1251"/>
      <c r="AFW140" s="1251"/>
      <c r="AFX140" s="1251"/>
      <c r="AFY140" s="1251"/>
      <c r="AFZ140" s="1251"/>
      <c r="AGA140" s="1251"/>
      <c r="AGB140" s="1251"/>
      <c r="AGC140" s="1251"/>
      <c r="AGD140" s="1251"/>
      <c r="AGE140" s="1251"/>
      <c r="AGF140" s="1251"/>
      <c r="AGG140" s="1251"/>
      <c r="AGH140" s="1251"/>
      <c r="AGI140" s="1251"/>
      <c r="AGJ140" s="1251"/>
      <c r="AGK140" s="1251"/>
      <c r="AGL140" s="1251"/>
      <c r="AGM140" s="1251"/>
      <c r="AGN140" s="1251"/>
      <c r="AGO140" s="1251"/>
      <c r="AGP140" s="1251"/>
      <c r="AGQ140" s="1251"/>
      <c r="AGR140" s="1251"/>
      <c r="AGS140" s="1251"/>
      <c r="AGT140" s="1251"/>
      <c r="AGU140" s="1251"/>
      <c r="AGV140" s="1251"/>
      <c r="AGW140" s="1251"/>
      <c r="AGX140" s="1251"/>
      <c r="AGY140" s="1251"/>
      <c r="AGZ140" s="1251"/>
      <c r="AHA140" s="1251"/>
      <c r="AHB140" s="1251"/>
      <c r="AHC140" s="1251"/>
      <c r="AHD140" s="1251"/>
      <c r="AHE140" s="1251"/>
      <c r="AHF140" s="1251"/>
      <c r="AHG140" s="1251"/>
      <c r="AHH140" s="1251"/>
      <c r="AHI140" s="1251"/>
      <c r="AHJ140" s="1251"/>
      <c r="AHK140" s="1251"/>
      <c r="AHL140" s="1251"/>
      <c r="AHM140" s="1251"/>
      <c r="AHN140" s="1251"/>
      <c r="AHO140" s="1251"/>
      <c r="AHP140" s="1251"/>
      <c r="AHQ140" s="1251"/>
      <c r="AHR140" s="1251"/>
      <c r="AHS140" s="1251"/>
      <c r="AHT140" s="1251"/>
      <c r="AHU140" s="1251"/>
      <c r="AHV140" s="1251"/>
      <c r="AHW140" s="1251"/>
      <c r="AHX140" s="1251"/>
      <c r="AHY140" s="1251"/>
      <c r="AHZ140" s="1251"/>
      <c r="AIA140" s="1251"/>
      <c r="AIB140" s="1251"/>
      <c r="AIC140" s="1251"/>
      <c r="AID140" s="1251"/>
      <c r="AIE140" s="1251"/>
      <c r="AIF140" s="1251"/>
      <c r="AIG140" s="1251"/>
      <c r="AIH140" s="1251"/>
      <c r="AII140" s="1251"/>
      <c r="AIJ140" s="1251"/>
      <c r="AIK140" s="1251"/>
      <c r="AIL140" s="1251"/>
      <c r="AIM140" s="1251"/>
      <c r="AIN140" s="1251"/>
      <c r="AIO140" s="1251"/>
      <c r="AIP140" s="1251"/>
      <c r="AIQ140" s="1251"/>
      <c r="AIR140" s="1251"/>
      <c r="AIS140" s="1251"/>
      <c r="AIT140" s="1251"/>
      <c r="AIU140" s="1251"/>
      <c r="AIV140" s="1251"/>
      <c r="AIW140" s="1251"/>
      <c r="AIX140" s="1251"/>
      <c r="AIY140" s="1251"/>
      <c r="AIZ140" s="1251"/>
      <c r="AJA140" s="1251"/>
      <c r="AJB140" s="1251"/>
      <c r="AJC140" s="1251"/>
      <c r="AJD140" s="1251"/>
      <c r="AJE140" s="1251"/>
      <c r="AJF140" s="1251"/>
      <c r="AJG140" s="1251"/>
      <c r="AJH140" s="1251"/>
      <c r="AJI140" s="1251"/>
      <c r="AJJ140" s="1251"/>
      <c r="AJK140" s="1251"/>
      <c r="AJL140" s="1251"/>
      <c r="AJM140" s="1251"/>
      <c r="AJN140" s="1251"/>
      <c r="AJO140" s="1251"/>
      <c r="AJP140" s="1251"/>
      <c r="AJQ140" s="1251"/>
      <c r="AJR140" s="1251"/>
      <c r="AJS140" s="1251"/>
      <c r="AJT140" s="1251"/>
      <c r="AJU140" s="1251"/>
      <c r="AJV140" s="1251"/>
      <c r="AJW140" s="1251"/>
      <c r="AJX140" s="1251"/>
      <c r="AJY140" s="1251"/>
      <c r="AJZ140" s="1251"/>
      <c r="AKA140" s="1251"/>
      <c r="AKB140" s="1251"/>
      <c r="AKC140" s="1251"/>
      <c r="AKD140" s="1251"/>
      <c r="AKE140" s="1251"/>
      <c r="AKF140" s="1251"/>
      <c r="AKG140" s="1251"/>
      <c r="AKH140" s="1251"/>
      <c r="AKI140" s="1251"/>
      <c r="AKJ140" s="1251"/>
      <c r="AKK140" s="1251"/>
      <c r="AKL140" s="1251"/>
      <c r="AKM140" s="1251"/>
      <c r="AKN140" s="1251"/>
      <c r="AKO140" s="1251"/>
      <c r="AKP140" s="1251"/>
      <c r="AKQ140" s="1251"/>
      <c r="AKR140" s="1251"/>
      <c r="AKS140" s="1251"/>
      <c r="AKT140" s="1251"/>
      <c r="AKU140" s="1251"/>
      <c r="AKV140" s="1251"/>
      <c r="AKW140" s="1251"/>
      <c r="AKX140" s="1251"/>
      <c r="AKY140" s="1251"/>
      <c r="AKZ140" s="1251"/>
      <c r="ALA140" s="1251"/>
      <c r="ALB140" s="1251"/>
      <c r="ALC140" s="1251"/>
      <c r="ALD140" s="1251"/>
      <c r="ALE140" s="1251"/>
      <c r="ALF140" s="1251"/>
      <c r="ALG140" s="1251"/>
      <c r="ALH140" s="1251"/>
      <c r="ALI140" s="1251"/>
      <c r="ALJ140" s="1251"/>
      <c r="ALK140" s="1251"/>
      <c r="ALL140" s="1251"/>
      <c r="ALM140" s="1251"/>
      <c r="ALN140" s="1251"/>
      <c r="ALO140" s="1251"/>
      <c r="ALP140" s="1251"/>
      <c r="ALQ140" s="1251"/>
      <c r="ALR140" s="1251"/>
      <c r="ALS140" s="1251"/>
      <c r="ALT140" s="1251"/>
      <c r="ALU140" s="1251"/>
      <c r="ALV140" s="1251"/>
      <c r="ALW140" s="1251"/>
      <c r="ALX140" s="1251"/>
      <c r="ALY140" s="1251"/>
      <c r="ALZ140" s="1251"/>
      <c r="AMA140" s="1251"/>
      <c r="AMB140" s="1251"/>
      <c r="AMC140" s="1251"/>
      <c r="AMD140" s="1251"/>
      <c r="AME140" s="1251"/>
      <c r="AMF140" s="1251"/>
      <c r="AMG140" s="1251"/>
      <c r="AMH140" s="1251"/>
      <c r="AMI140" s="1251"/>
      <c r="AMJ140" s="1251"/>
      <c r="AMK140" s="1251"/>
      <c r="AML140" s="1251"/>
      <c r="AMM140" s="1251"/>
      <c r="AMN140" s="1251"/>
      <c r="AMO140" s="1251"/>
      <c r="AMP140" s="1251"/>
      <c r="AMQ140" s="1251"/>
      <c r="AMR140" s="1251"/>
      <c r="AMS140" s="1251"/>
      <c r="AMT140" s="1251"/>
      <c r="AMU140" s="1251"/>
      <c r="AMV140" s="1251"/>
      <c r="AMW140" s="1251"/>
      <c r="AMX140" s="1251"/>
      <c r="AMY140" s="1251"/>
      <c r="AMZ140" s="1251"/>
      <c r="ANA140" s="1251"/>
      <c r="ANB140" s="1251"/>
      <c r="ANC140" s="1251"/>
      <c r="AND140" s="1251"/>
      <c r="ANE140" s="1251"/>
      <c r="ANF140" s="1251"/>
      <c r="ANG140" s="1251"/>
      <c r="ANH140" s="1251"/>
      <c r="ANI140" s="1251"/>
      <c r="ANJ140" s="1251"/>
      <c r="ANK140" s="1251"/>
      <c r="ANL140" s="1251"/>
      <c r="ANM140" s="1251"/>
      <c r="ANN140" s="1251"/>
      <c r="ANO140" s="1251"/>
      <c r="ANP140" s="1251"/>
      <c r="ANQ140" s="1251"/>
      <c r="ANR140" s="1251"/>
      <c r="ANS140" s="1251"/>
      <c r="ANT140" s="1251"/>
      <c r="ANU140" s="1251"/>
      <c r="ANV140" s="1251"/>
      <c r="ANW140" s="1251"/>
      <c r="ANX140" s="1251"/>
      <c r="ANY140" s="1251"/>
      <c r="ANZ140" s="1251"/>
      <c r="AOA140" s="1251"/>
      <c r="AOB140" s="1251"/>
      <c r="AOC140" s="1251"/>
      <c r="AOD140" s="1251"/>
      <c r="AOE140" s="1251"/>
      <c r="AOF140" s="1251"/>
      <c r="AOG140" s="1251"/>
      <c r="AOH140" s="1251"/>
      <c r="AOI140" s="1251"/>
      <c r="AOJ140" s="1251"/>
      <c r="AOK140" s="1251"/>
      <c r="AOL140" s="1251"/>
      <c r="AOM140" s="1251"/>
      <c r="AON140" s="1251"/>
      <c r="AOO140" s="1251"/>
      <c r="AOP140" s="1251"/>
      <c r="AOQ140" s="1251"/>
      <c r="AOR140" s="1251"/>
      <c r="AOS140" s="1251"/>
      <c r="AOT140" s="1251"/>
      <c r="AOU140" s="1251"/>
      <c r="AOV140" s="1251"/>
      <c r="AOW140" s="1251"/>
      <c r="AOX140" s="1251"/>
      <c r="AOY140" s="1251"/>
      <c r="AOZ140" s="1251"/>
      <c r="APA140" s="1251"/>
      <c r="APB140" s="1251"/>
      <c r="APC140" s="1251"/>
      <c r="APD140" s="1251"/>
      <c r="APE140" s="1251"/>
      <c r="APF140" s="1251"/>
      <c r="APG140" s="1251"/>
      <c r="APH140" s="1251"/>
      <c r="API140" s="1251"/>
      <c r="APJ140" s="1251"/>
      <c r="APK140" s="1251"/>
      <c r="APL140" s="1251"/>
      <c r="APM140" s="1251"/>
      <c r="APN140" s="1251"/>
      <c r="APO140" s="1251"/>
      <c r="APP140" s="1251"/>
      <c r="APQ140" s="1251"/>
      <c r="APR140" s="1251"/>
      <c r="APS140" s="1251"/>
      <c r="APT140" s="1251"/>
      <c r="APU140" s="1251"/>
      <c r="APV140" s="1251"/>
      <c r="APW140" s="1251"/>
      <c r="APX140" s="1251"/>
      <c r="APY140" s="1251"/>
      <c r="APZ140" s="1251"/>
      <c r="AQA140" s="1251"/>
      <c r="AQB140" s="1251"/>
      <c r="AQC140" s="1251"/>
      <c r="AQD140" s="1251"/>
      <c r="AQE140" s="1251"/>
      <c r="AQF140" s="1251"/>
      <c r="AQG140" s="1251"/>
      <c r="AQH140" s="1251"/>
      <c r="AQI140" s="1251"/>
      <c r="AQJ140" s="1251"/>
      <c r="AQK140" s="1251"/>
      <c r="AQL140" s="1251"/>
      <c r="AQM140" s="1251"/>
      <c r="AQN140" s="1251"/>
      <c r="AQO140" s="1251"/>
      <c r="AQP140" s="1251"/>
      <c r="AQQ140" s="1251"/>
      <c r="AQR140" s="1251"/>
      <c r="AQS140" s="1251"/>
      <c r="AQT140" s="1251"/>
      <c r="AQU140" s="1251"/>
      <c r="AQV140" s="1251"/>
      <c r="AQW140" s="1251"/>
      <c r="AQX140" s="1251"/>
      <c r="AQY140" s="1251"/>
      <c r="AQZ140" s="1251"/>
      <c r="ARA140" s="1251"/>
      <c r="ARB140" s="1251"/>
      <c r="ARC140" s="1251"/>
      <c r="ARD140" s="1251"/>
      <c r="ARE140" s="1251"/>
      <c r="ARF140" s="1251"/>
      <c r="ARG140" s="1251"/>
      <c r="ARH140" s="1251"/>
      <c r="ARI140" s="1251"/>
      <c r="ARJ140" s="1251"/>
      <c r="ARK140" s="1251"/>
      <c r="ARL140" s="1251"/>
      <c r="ARM140" s="1251"/>
      <c r="ARN140" s="1251"/>
      <c r="ARO140" s="1251"/>
      <c r="ARP140" s="1251"/>
      <c r="ARQ140" s="1251"/>
      <c r="ARR140" s="1251"/>
      <c r="ARS140" s="1251"/>
      <c r="ART140" s="1251"/>
      <c r="ARU140" s="1251"/>
      <c r="ARV140" s="1251"/>
      <c r="ARW140" s="1251"/>
      <c r="ARX140" s="1251"/>
      <c r="ARY140" s="1251"/>
      <c r="ARZ140" s="1251"/>
      <c r="ASA140" s="1251"/>
      <c r="ASB140" s="1251"/>
      <c r="ASC140" s="1251"/>
      <c r="ASD140" s="1251"/>
      <c r="ASE140" s="1251"/>
      <c r="ASF140" s="1251"/>
      <c r="ASG140" s="1251"/>
      <c r="ASH140" s="1251"/>
      <c r="ASI140" s="1251"/>
      <c r="ASJ140" s="1251"/>
      <c r="ASK140" s="1251"/>
      <c r="ASL140" s="1251"/>
      <c r="ASM140" s="1251"/>
      <c r="ASN140" s="1251"/>
      <c r="ASO140" s="1251"/>
      <c r="ASP140" s="1251"/>
      <c r="ASQ140" s="1251"/>
      <c r="ASR140" s="1251"/>
      <c r="ASS140" s="1251"/>
      <c r="AST140" s="1251"/>
      <c r="ASU140" s="1251"/>
      <c r="ASV140" s="1251"/>
      <c r="ASW140" s="1251"/>
      <c r="ASX140" s="1251"/>
      <c r="ASY140" s="1251"/>
      <c r="ASZ140" s="1251"/>
      <c r="ATA140" s="1251"/>
      <c r="ATB140" s="1251"/>
      <c r="ATC140" s="1251"/>
      <c r="ATD140" s="1251"/>
      <c r="ATE140" s="1251"/>
      <c r="ATF140" s="1251"/>
      <c r="ATG140" s="1251"/>
      <c r="ATH140" s="1251"/>
      <c r="ATI140" s="1251"/>
      <c r="ATJ140" s="1251"/>
      <c r="ATK140" s="1251"/>
      <c r="ATL140" s="1251"/>
      <c r="ATM140" s="1251"/>
      <c r="ATN140" s="1251"/>
      <c r="ATO140" s="1251"/>
      <c r="ATP140" s="1251"/>
      <c r="ATQ140" s="1251"/>
      <c r="ATR140" s="1251"/>
      <c r="ATS140" s="1251"/>
      <c r="ATT140" s="1251"/>
      <c r="ATU140" s="1251"/>
      <c r="ATV140" s="1251"/>
      <c r="ATW140" s="1251"/>
      <c r="ATX140" s="1251"/>
      <c r="ATY140" s="1251"/>
      <c r="ATZ140" s="1251"/>
      <c r="AUA140" s="1251"/>
      <c r="AUB140" s="1251"/>
      <c r="AUC140" s="1251"/>
      <c r="AUD140" s="1251"/>
      <c r="AUE140" s="1251"/>
      <c r="AUF140" s="1251"/>
      <c r="AUG140" s="1251"/>
      <c r="AUH140" s="1251"/>
      <c r="AUI140" s="1251"/>
      <c r="AUJ140" s="1251"/>
      <c r="AUK140" s="1251"/>
      <c r="AUL140" s="1251"/>
      <c r="AUM140" s="1251"/>
      <c r="AUN140" s="1251"/>
      <c r="AUO140" s="1251"/>
      <c r="AUP140" s="1251"/>
      <c r="AUQ140" s="1251"/>
      <c r="AUR140" s="1251"/>
      <c r="AUS140" s="1251"/>
      <c r="AUT140" s="1251"/>
      <c r="AUU140" s="1251"/>
      <c r="AUV140" s="1251"/>
      <c r="AUW140" s="1251"/>
      <c r="AUX140" s="1251"/>
      <c r="AUY140" s="1251"/>
      <c r="AUZ140" s="1251"/>
      <c r="AVA140" s="1251"/>
      <c r="AVB140" s="1251"/>
      <c r="AVC140" s="1251"/>
      <c r="AVD140" s="1251"/>
      <c r="AVE140" s="1251"/>
      <c r="AVF140" s="1251"/>
      <c r="AVG140" s="1251"/>
      <c r="AVH140" s="1251"/>
      <c r="AVI140" s="1251"/>
      <c r="AVJ140" s="1251"/>
      <c r="AVK140" s="1251"/>
      <c r="AVL140" s="1251"/>
      <c r="AVM140" s="1251"/>
      <c r="AVN140" s="1251"/>
      <c r="AVO140" s="1251"/>
      <c r="AVP140" s="1251"/>
      <c r="AVQ140" s="1251"/>
      <c r="AVR140" s="1251"/>
      <c r="AVS140" s="1251"/>
      <c r="AVT140" s="1251"/>
      <c r="AVU140" s="1251"/>
      <c r="AVV140" s="1251"/>
      <c r="AVW140" s="1251"/>
      <c r="AVX140" s="1251"/>
      <c r="AVY140" s="1251"/>
      <c r="AVZ140" s="1251"/>
      <c r="AWA140" s="1251"/>
      <c r="AWB140" s="1251"/>
      <c r="AWC140" s="1251"/>
      <c r="AWD140" s="1251"/>
      <c r="AWE140" s="1251"/>
      <c r="AWF140" s="1251"/>
      <c r="AWG140" s="1251"/>
      <c r="AWH140" s="1251"/>
      <c r="AWI140" s="1251"/>
      <c r="AWJ140" s="1251"/>
      <c r="AWK140" s="1251"/>
      <c r="AWL140" s="1251"/>
      <c r="AWM140" s="1251"/>
      <c r="AWN140" s="1251"/>
      <c r="AWO140" s="1251"/>
      <c r="AWP140" s="1251"/>
      <c r="AWQ140" s="1251"/>
      <c r="AWR140" s="1251"/>
      <c r="AWS140" s="1251"/>
      <c r="AWT140" s="1251"/>
      <c r="AWU140" s="1251"/>
      <c r="AWV140" s="1251"/>
      <c r="AWW140" s="1251"/>
      <c r="AWX140" s="1251"/>
      <c r="AWY140" s="1251"/>
      <c r="AWZ140" s="1251"/>
      <c r="AXA140" s="1251"/>
      <c r="AXB140" s="1251"/>
      <c r="AXC140" s="1251"/>
      <c r="AXD140" s="1251"/>
      <c r="AXE140" s="1251"/>
      <c r="AXF140" s="1251"/>
      <c r="AXG140" s="1251"/>
      <c r="AXH140" s="1251"/>
      <c r="AXI140" s="1251"/>
      <c r="AXJ140" s="1251"/>
      <c r="AXK140" s="1251"/>
      <c r="AXL140" s="1251"/>
      <c r="AXM140" s="1251"/>
      <c r="AXN140" s="1251"/>
      <c r="AXO140" s="1251"/>
      <c r="AXP140" s="1251"/>
      <c r="AXQ140" s="1251"/>
      <c r="AXR140" s="1251"/>
      <c r="AXS140" s="1251"/>
      <c r="AXT140" s="1251"/>
      <c r="AXU140" s="1251"/>
      <c r="AXV140" s="1251"/>
      <c r="AXW140" s="1251"/>
      <c r="AXX140" s="1251"/>
      <c r="AXY140" s="1251"/>
      <c r="AXZ140" s="1251"/>
      <c r="AYA140" s="1251"/>
      <c r="AYB140" s="1251"/>
      <c r="AYC140" s="1251"/>
      <c r="AYD140" s="1251"/>
      <c r="AYE140" s="1251"/>
      <c r="AYF140" s="1251"/>
      <c r="AYG140" s="1251"/>
      <c r="AYH140" s="1251"/>
      <c r="AYI140" s="1251"/>
      <c r="AYJ140" s="1251"/>
      <c r="AYK140" s="1251"/>
      <c r="AYL140" s="1251"/>
      <c r="AYM140" s="1251"/>
      <c r="AYN140" s="1251"/>
      <c r="AYO140" s="1251"/>
      <c r="AYP140" s="1251"/>
      <c r="AYQ140" s="1251"/>
      <c r="AYR140" s="1251"/>
      <c r="AYS140" s="1251"/>
      <c r="AYT140" s="1251"/>
      <c r="AYU140" s="1251"/>
      <c r="AYV140" s="1251"/>
      <c r="AYW140" s="1251"/>
      <c r="AYX140" s="1251"/>
      <c r="AYY140" s="1251"/>
      <c r="AYZ140" s="1251"/>
      <c r="AZA140" s="1251"/>
      <c r="AZB140" s="1251"/>
      <c r="AZC140" s="1251"/>
      <c r="AZD140" s="1251"/>
      <c r="AZE140" s="1251"/>
      <c r="AZF140" s="1251"/>
      <c r="AZG140" s="1251"/>
      <c r="AZH140" s="1251"/>
      <c r="AZI140" s="1251"/>
      <c r="AZJ140" s="1251"/>
      <c r="AZK140" s="1251"/>
      <c r="AZL140" s="1251"/>
      <c r="AZM140" s="1251"/>
      <c r="AZN140" s="1251"/>
      <c r="AZO140" s="1251"/>
      <c r="AZP140" s="1251"/>
      <c r="AZQ140" s="1251"/>
      <c r="AZR140" s="1251"/>
      <c r="AZS140" s="1251"/>
      <c r="AZT140" s="1251"/>
      <c r="AZU140" s="1251"/>
      <c r="AZV140" s="1251"/>
      <c r="AZW140" s="1251"/>
      <c r="AZX140" s="1251"/>
      <c r="AZY140" s="1251"/>
      <c r="AZZ140" s="1251"/>
      <c r="BAA140" s="1251"/>
      <c r="BAB140" s="1251"/>
      <c r="BAC140" s="1251"/>
      <c r="BAD140" s="1251"/>
      <c r="BAE140" s="1251"/>
      <c r="BAF140" s="1251"/>
      <c r="BAG140" s="1251"/>
      <c r="BAH140" s="1251"/>
      <c r="BAI140" s="1251"/>
      <c r="BAJ140" s="1251"/>
      <c r="BAK140" s="1251"/>
      <c r="BAL140" s="1251"/>
      <c r="BAM140" s="1251"/>
      <c r="BAN140" s="1251"/>
      <c r="BAO140" s="1251"/>
      <c r="BAP140" s="1251"/>
      <c r="BAQ140" s="1251"/>
      <c r="BAR140" s="1251"/>
      <c r="BAS140" s="1251"/>
      <c r="BAT140" s="1251"/>
      <c r="BAU140" s="1251"/>
      <c r="BAV140" s="1251"/>
      <c r="BAW140" s="1251"/>
      <c r="BAX140" s="1251"/>
      <c r="BAY140" s="1251"/>
      <c r="BAZ140" s="1251"/>
      <c r="BBA140" s="1251"/>
      <c r="BBB140" s="1251"/>
      <c r="BBC140" s="1251"/>
      <c r="BBD140" s="1251"/>
      <c r="BBE140" s="1251"/>
      <c r="BBF140" s="1251"/>
      <c r="BBG140" s="1251"/>
      <c r="BBH140" s="1251"/>
      <c r="BBI140" s="1251"/>
      <c r="BBJ140" s="1251"/>
      <c r="BBK140" s="1251"/>
      <c r="BBL140" s="1251"/>
      <c r="BBM140" s="1251"/>
      <c r="BBN140" s="1251"/>
      <c r="BBO140" s="1251"/>
      <c r="BBP140" s="1251"/>
      <c r="BBQ140" s="1251"/>
      <c r="BBR140" s="1251"/>
      <c r="BBS140" s="1251"/>
      <c r="BBT140" s="1251"/>
      <c r="BBU140" s="1251"/>
      <c r="BBV140" s="1251"/>
      <c r="BBW140" s="1251"/>
      <c r="BBX140" s="1251"/>
      <c r="BBY140" s="1251"/>
      <c r="BBZ140" s="1251"/>
      <c r="BCA140" s="1251"/>
      <c r="BCB140" s="1251"/>
      <c r="BCC140" s="1251"/>
      <c r="BCD140" s="1251"/>
      <c r="BCE140" s="1251"/>
      <c r="BCF140" s="1251"/>
      <c r="BCG140" s="1251"/>
      <c r="BCH140" s="1251"/>
      <c r="BCI140" s="1251"/>
      <c r="BCJ140" s="1251"/>
      <c r="BCK140" s="1251"/>
      <c r="BCL140" s="1251"/>
      <c r="BCM140" s="1251"/>
      <c r="BCN140" s="1251"/>
      <c r="BCO140" s="1251"/>
      <c r="BCP140" s="1251"/>
      <c r="BCQ140" s="1251"/>
      <c r="BCR140" s="1251"/>
      <c r="BCS140" s="1251"/>
      <c r="BCT140" s="1251"/>
      <c r="BCU140" s="1251"/>
      <c r="BCV140" s="1251"/>
      <c r="BCW140" s="1251"/>
      <c r="BCX140" s="1251"/>
      <c r="BCY140" s="1251"/>
      <c r="BCZ140" s="1251"/>
      <c r="BDA140" s="1251"/>
      <c r="BDB140" s="1251"/>
      <c r="BDC140" s="1251"/>
      <c r="BDD140" s="1251"/>
      <c r="BDE140" s="1251"/>
      <c r="BDF140" s="1251"/>
      <c r="BDG140" s="1251"/>
      <c r="BDH140" s="1251"/>
      <c r="BDI140" s="1251"/>
      <c r="BDJ140" s="1251"/>
      <c r="BDK140" s="1251"/>
      <c r="BDL140" s="1251"/>
      <c r="BDM140" s="1251"/>
      <c r="BDN140" s="1251"/>
      <c r="BDO140" s="1251"/>
      <c r="BDP140" s="1251"/>
      <c r="BDQ140" s="1251"/>
      <c r="BDR140" s="1251"/>
      <c r="BDS140" s="1251"/>
      <c r="BDT140" s="1251"/>
      <c r="BDU140" s="1251"/>
      <c r="BDV140" s="1251"/>
      <c r="BDW140" s="1251"/>
      <c r="BDX140" s="1251"/>
      <c r="BDY140" s="1251"/>
      <c r="BDZ140" s="1251"/>
      <c r="BEA140" s="1251"/>
      <c r="BEB140" s="1251"/>
      <c r="BEC140" s="1251"/>
      <c r="BED140" s="1251"/>
      <c r="BEE140" s="1251"/>
      <c r="BEF140" s="1251"/>
      <c r="BEG140" s="1251"/>
      <c r="BEH140" s="1251"/>
      <c r="BEI140" s="1251"/>
      <c r="BEJ140" s="1251"/>
      <c r="BEK140" s="1251"/>
      <c r="BEL140" s="1251"/>
      <c r="BEM140" s="1251"/>
      <c r="BEN140" s="1251"/>
      <c r="BEO140" s="1251"/>
      <c r="BEP140" s="1251"/>
      <c r="BEQ140" s="1251"/>
      <c r="BER140" s="1251"/>
      <c r="BES140" s="1251"/>
      <c r="BET140" s="1251"/>
      <c r="BEU140" s="1251"/>
      <c r="BEV140" s="1251"/>
      <c r="BEW140" s="1251"/>
      <c r="BEX140" s="1251"/>
      <c r="BEY140" s="1251"/>
      <c r="BEZ140" s="1251"/>
      <c r="BFA140" s="1251"/>
      <c r="BFB140" s="1251"/>
      <c r="BFC140" s="1251"/>
      <c r="BFD140" s="1251"/>
      <c r="BFE140" s="1251"/>
      <c r="BFF140" s="1251"/>
      <c r="BFG140" s="1251"/>
      <c r="BFH140" s="1251"/>
      <c r="BFI140" s="1251"/>
      <c r="BFJ140" s="1251"/>
      <c r="BFK140" s="1251"/>
      <c r="BFL140" s="1251"/>
      <c r="BFM140" s="1251"/>
      <c r="BFN140" s="1251"/>
      <c r="BFO140" s="1251"/>
      <c r="BFP140" s="1251"/>
      <c r="BFQ140" s="1251"/>
      <c r="BFR140" s="1251"/>
      <c r="BFS140" s="1251"/>
      <c r="BFT140" s="1251"/>
      <c r="BFU140" s="1251"/>
      <c r="BFV140" s="1251"/>
      <c r="BFW140" s="1251"/>
      <c r="BFX140" s="1251"/>
      <c r="BFY140" s="1251"/>
      <c r="BFZ140" s="1251"/>
      <c r="BGA140" s="1251"/>
      <c r="BGB140" s="1251"/>
      <c r="BGC140" s="1251"/>
      <c r="BGD140" s="1251"/>
      <c r="BGE140" s="1251"/>
      <c r="BGF140" s="1251"/>
      <c r="BGG140" s="1251"/>
      <c r="BGH140" s="1251"/>
      <c r="BGI140" s="1251"/>
      <c r="BGJ140" s="1251"/>
      <c r="BGK140" s="1251"/>
      <c r="BGL140" s="1251"/>
      <c r="BGM140" s="1251"/>
      <c r="BGN140" s="1251"/>
      <c r="BGO140" s="1251"/>
      <c r="BGP140" s="1251"/>
      <c r="BGQ140" s="1251"/>
      <c r="BGR140" s="1251"/>
      <c r="BGS140" s="1251"/>
      <c r="BGT140" s="1251"/>
      <c r="BGU140" s="1251"/>
      <c r="BGV140" s="1251"/>
      <c r="BGW140" s="1251"/>
      <c r="BGX140" s="1251"/>
      <c r="BGY140" s="1251"/>
      <c r="BGZ140" s="1251"/>
      <c r="BHA140" s="1251"/>
      <c r="BHB140" s="1251"/>
      <c r="BHC140" s="1251"/>
      <c r="BHD140" s="1251"/>
      <c r="BHE140" s="1251"/>
      <c r="BHF140" s="1251"/>
      <c r="BHG140" s="1251"/>
      <c r="BHH140" s="1251"/>
      <c r="BHI140" s="1251"/>
      <c r="BHJ140" s="1251"/>
      <c r="BHK140" s="1251"/>
      <c r="BHL140" s="1251"/>
      <c r="BHM140" s="1251"/>
      <c r="BHN140" s="1251"/>
      <c r="BHO140" s="1251"/>
      <c r="BHP140" s="1251"/>
      <c r="BHQ140" s="1251"/>
      <c r="BHR140" s="1251"/>
      <c r="BHS140" s="1251"/>
      <c r="BHT140" s="1251"/>
      <c r="BHU140" s="1251"/>
      <c r="BHV140" s="1251"/>
      <c r="BHW140" s="1251"/>
      <c r="BHX140" s="1251"/>
      <c r="BHY140" s="1251"/>
      <c r="BHZ140" s="1251"/>
      <c r="BIA140" s="1251"/>
      <c r="BIB140" s="1251"/>
      <c r="BIC140" s="1251"/>
      <c r="BID140" s="1251"/>
      <c r="BIE140" s="1251"/>
      <c r="BIF140" s="1251"/>
      <c r="BIG140" s="1251"/>
      <c r="BIH140" s="1251"/>
      <c r="BII140" s="1251"/>
      <c r="BIJ140" s="1251"/>
      <c r="BIK140" s="1251"/>
      <c r="BIL140" s="1251"/>
      <c r="BIM140" s="1251"/>
      <c r="BIN140" s="1251"/>
      <c r="BIO140" s="1251"/>
      <c r="BIP140" s="1251"/>
      <c r="BIQ140" s="1251"/>
      <c r="BIR140" s="1251"/>
      <c r="BIS140" s="1251"/>
      <c r="BIT140" s="1251"/>
      <c r="BIU140" s="1251"/>
      <c r="BIV140" s="1251"/>
      <c r="BIW140" s="1251"/>
      <c r="BIX140" s="1251"/>
      <c r="BIY140" s="1251"/>
      <c r="BIZ140" s="1251"/>
      <c r="BJA140" s="1251"/>
      <c r="BJB140" s="1251"/>
      <c r="BJC140" s="1251"/>
      <c r="BJD140" s="1251"/>
      <c r="BJE140" s="1251"/>
      <c r="BJF140" s="1251"/>
      <c r="BJG140" s="1251"/>
      <c r="BJH140" s="1251"/>
      <c r="BJI140" s="1251"/>
      <c r="BJJ140" s="1251"/>
      <c r="BJK140" s="1251"/>
      <c r="BJL140" s="1251"/>
      <c r="BJM140" s="1251"/>
      <c r="BJN140" s="1251"/>
      <c r="BJO140" s="1251"/>
      <c r="BJP140" s="1251"/>
      <c r="BJQ140" s="1251"/>
      <c r="BJR140" s="1251"/>
      <c r="BJS140" s="1251"/>
      <c r="BJT140" s="1251"/>
      <c r="BJU140" s="1251"/>
      <c r="BJV140" s="1251"/>
      <c r="BJW140" s="1251"/>
      <c r="BJX140" s="1251"/>
      <c r="BJY140" s="1251"/>
      <c r="BJZ140" s="1251"/>
      <c r="BKA140" s="1251"/>
      <c r="BKB140" s="1251"/>
      <c r="BKC140" s="1251"/>
      <c r="BKD140" s="1251"/>
      <c r="BKE140" s="1251"/>
      <c r="BKF140" s="1251"/>
      <c r="BKG140" s="1251"/>
      <c r="BKH140" s="1251"/>
      <c r="BKI140" s="1251"/>
      <c r="BKJ140" s="1251"/>
      <c r="BKK140" s="1251"/>
      <c r="BKL140" s="1251"/>
      <c r="BKM140" s="1251"/>
      <c r="BKN140" s="1251"/>
      <c r="BKO140" s="1251"/>
      <c r="BKP140" s="1251"/>
      <c r="BKQ140" s="1251"/>
      <c r="BKR140" s="1251"/>
      <c r="BKS140" s="1251"/>
      <c r="BKT140" s="1251"/>
      <c r="BKU140" s="1251"/>
      <c r="BKV140" s="1251"/>
      <c r="BKW140" s="1251"/>
      <c r="BKX140" s="1251"/>
      <c r="BKY140" s="1251"/>
      <c r="BKZ140" s="1251"/>
      <c r="BLA140" s="1251"/>
      <c r="BLB140" s="1251"/>
      <c r="BLC140" s="1251"/>
      <c r="BLD140" s="1251"/>
      <c r="BLE140" s="1251"/>
      <c r="BLF140" s="1251"/>
      <c r="BLG140" s="1251"/>
      <c r="BLH140" s="1251"/>
      <c r="BLI140" s="1251"/>
      <c r="BLJ140" s="1251"/>
      <c r="BLK140" s="1251"/>
      <c r="BLL140" s="1251"/>
      <c r="BLM140" s="1251"/>
      <c r="BLN140" s="1251"/>
      <c r="BLO140" s="1251"/>
      <c r="BLP140" s="1251"/>
      <c r="BLQ140" s="1251"/>
      <c r="BLR140" s="1251"/>
      <c r="BLS140" s="1251"/>
      <c r="BLT140" s="1251"/>
      <c r="BLU140" s="1251"/>
      <c r="BLV140" s="1251"/>
      <c r="BLW140" s="1251"/>
      <c r="BLX140" s="1251"/>
      <c r="BLY140" s="1251"/>
      <c r="BLZ140" s="1251"/>
      <c r="BMA140" s="1251"/>
      <c r="BMB140" s="1251"/>
      <c r="BMC140" s="1251"/>
      <c r="BMD140" s="1251"/>
      <c r="BME140" s="1251"/>
      <c r="BMF140" s="1251"/>
      <c r="BMG140" s="1251"/>
      <c r="BMH140" s="1251"/>
      <c r="BMI140" s="1251"/>
      <c r="BMJ140" s="1251"/>
      <c r="BMK140" s="1251"/>
      <c r="BML140" s="1251"/>
      <c r="BMM140" s="1251"/>
      <c r="BMN140" s="1251"/>
      <c r="BMO140" s="1251"/>
      <c r="BMP140" s="1251"/>
      <c r="BMQ140" s="1251"/>
      <c r="BMR140" s="1251"/>
      <c r="BMS140" s="1251"/>
      <c r="BMT140" s="1251"/>
      <c r="BMU140" s="1251"/>
      <c r="BMV140" s="1251"/>
      <c r="BMW140" s="1251"/>
      <c r="BMX140" s="1251"/>
      <c r="BMY140" s="1251"/>
      <c r="BMZ140" s="1251"/>
      <c r="BNA140" s="1251"/>
      <c r="BNB140" s="1251"/>
      <c r="BNC140" s="1251"/>
      <c r="BND140" s="1251"/>
      <c r="BNE140" s="1251"/>
      <c r="BNF140" s="1251"/>
      <c r="BNG140" s="1251"/>
      <c r="BNH140" s="1251"/>
      <c r="BNI140" s="1251"/>
      <c r="BNJ140" s="1251"/>
      <c r="BNK140" s="1251"/>
      <c r="BNL140" s="1251"/>
      <c r="BNM140" s="1251"/>
      <c r="BNN140" s="1251"/>
      <c r="BNO140" s="1251"/>
      <c r="BNP140" s="1251"/>
      <c r="BNQ140" s="1251"/>
      <c r="BNR140" s="1251"/>
      <c r="BNS140" s="1251"/>
      <c r="BNT140" s="1251"/>
      <c r="BNU140" s="1251"/>
      <c r="BNV140" s="1251"/>
      <c r="BNW140" s="1251"/>
      <c r="BNX140" s="1251"/>
      <c r="BNY140" s="1251"/>
      <c r="BNZ140" s="1251"/>
      <c r="BOA140" s="1251"/>
      <c r="BOB140" s="1251"/>
      <c r="BOC140" s="1251"/>
      <c r="BOD140" s="1251"/>
      <c r="BOE140" s="1251"/>
      <c r="BOF140" s="1251"/>
      <c r="BOG140" s="1251"/>
      <c r="BOH140" s="1251"/>
      <c r="BOI140" s="1251"/>
      <c r="BOJ140" s="1251"/>
      <c r="BOK140" s="1251"/>
      <c r="BOL140" s="1251"/>
      <c r="BOM140" s="1251"/>
      <c r="BON140" s="1251"/>
      <c r="BOO140" s="1251"/>
      <c r="BOP140" s="1251"/>
      <c r="BOQ140" s="1251"/>
      <c r="BOR140" s="1251"/>
      <c r="BOS140" s="1251"/>
      <c r="BOT140" s="1251"/>
      <c r="BOU140" s="1251"/>
      <c r="BOV140" s="1251"/>
      <c r="BOW140" s="1251"/>
      <c r="BOX140" s="1251"/>
      <c r="BOY140" s="1251"/>
      <c r="BOZ140" s="1251"/>
      <c r="BPA140" s="1251"/>
      <c r="BPB140" s="1251"/>
      <c r="BPC140" s="1251"/>
      <c r="BPD140" s="1251"/>
      <c r="BPE140" s="1251"/>
      <c r="BPF140" s="1251"/>
      <c r="BPG140" s="1251"/>
      <c r="BPH140" s="1251"/>
      <c r="BPI140" s="1251"/>
      <c r="BPJ140" s="1251"/>
      <c r="BPK140" s="1251"/>
      <c r="BPL140" s="1251"/>
      <c r="BPM140" s="1251"/>
      <c r="BPN140" s="1251"/>
      <c r="BPO140" s="1251"/>
      <c r="BPP140" s="1251"/>
      <c r="BPQ140" s="1251"/>
      <c r="BPR140" s="1251"/>
      <c r="BPS140" s="1251"/>
      <c r="BPT140" s="1251"/>
      <c r="BPU140" s="1251"/>
      <c r="BPV140" s="1251"/>
      <c r="BPW140" s="1251"/>
      <c r="BPX140" s="1251"/>
      <c r="BPY140" s="1251"/>
      <c r="BPZ140" s="1251"/>
      <c r="BQA140" s="1251"/>
      <c r="BQB140" s="1251"/>
      <c r="BQC140" s="1251"/>
      <c r="BQD140" s="1251"/>
      <c r="BQE140" s="1251"/>
      <c r="BQF140" s="1251"/>
      <c r="BQG140" s="1251"/>
      <c r="BQH140" s="1251"/>
      <c r="BQI140" s="1251"/>
      <c r="BQJ140" s="1251"/>
      <c r="BQK140" s="1251"/>
      <c r="BQL140" s="1251"/>
      <c r="BQM140" s="1251"/>
      <c r="BQN140" s="1251"/>
      <c r="BQO140" s="1251"/>
      <c r="BQP140" s="1251"/>
      <c r="BQQ140" s="1251"/>
      <c r="BQR140" s="1251"/>
      <c r="BQS140" s="1251"/>
      <c r="BQT140" s="1251"/>
      <c r="BQU140" s="1251"/>
      <c r="BQV140" s="1251"/>
      <c r="BQW140" s="1251"/>
      <c r="BQX140" s="1251"/>
      <c r="BQY140" s="1251"/>
      <c r="BQZ140" s="1251"/>
      <c r="BRA140" s="1251"/>
      <c r="BRB140" s="1251"/>
      <c r="BRC140" s="1251"/>
      <c r="BRD140" s="1251"/>
      <c r="BRE140" s="1251"/>
      <c r="BRF140" s="1251"/>
      <c r="BRG140" s="1251"/>
      <c r="BRH140" s="1251"/>
      <c r="BRI140" s="1251"/>
      <c r="BRJ140" s="1251"/>
      <c r="BRK140" s="1251"/>
      <c r="BRL140" s="1251"/>
      <c r="BRM140" s="1251"/>
      <c r="BRN140" s="1251"/>
      <c r="BRO140" s="1251"/>
      <c r="BRP140" s="1251"/>
      <c r="BRQ140" s="1251"/>
      <c r="BRR140" s="1251"/>
      <c r="BRS140" s="1251"/>
      <c r="BRT140" s="1251"/>
      <c r="BRU140" s="1251"/>
      <c r="BRV140" s="1251"/>
      <c r="BRW140" s="1251"/>
      <c r="BRX140" s="1251"/>
      <c r="BRY140" s="1251"/>
      <c r="BRZ140" s="1251"/>
      <c r="BSA140" s="1251"/>
      <c r="BSB140" s="1251"/>
      <c r="BSC140" s="1251"/>
      <c r="BSD140" s="1251"/>
      <c r="BSE140" s="1251"/>
      <c r="BSF140" s="1251"/>
      <c r="BSG140" s="1251"/>
      <c r="BSH140" s="1251"/>
      <c r="BSI140" s="1251"/>
      <c r="BSJ140" s="1251"/>
      <c r="BSK140" s="1251"/>
      <c r="BSL140" s="1251"/>
      <c r="BSM140" s="1251"/>
      <c r="BSN140" s="1251"/>
      <c r="BSO140" s="1251"/>
      <c r="BSP140" s="1251"/>
      <c r="BSQ140" s="1251"/>
      <c r="BSR140" s="1251"/>
      <c r="BSS140" s="1251"/>
      <c r="BST140" s="1251"/>
      <c r="BSU140" s="1251"/>
      <c r="BSV140" s="1251"/>
      <c r="BSW140" s="1251"/>
      <c r="BSX140" s="1251"/>
      <c r="BSY140" s="1251"/>
      <c r="BSZ140" s="1251"/>
      <c r="BTA140" s="1251"/>
      <c r="BTB140" s="1251"/>
      <c r="BTC140" s="1251"/>
      <c r="BTD140" s="1251"/>
      <c r="BTE140" s="1251"/>
      <c r="BTF140" s="1251"/>
      <c r="BTG140" s="1251"/>
      <c r="BTH140" s="1251"/>
      <c r="BTI140" s="1251"/>
    </row>
    <row r="141" spans="1:1881" s="1261" customFormat="1" ht="109.5" hidden="1" customHeight="1" x14ac:dyDescent="0.3">
      <c r="A141" s="1265">
        <v>634</v>
      </c>
      <c r="B141" s="1282" t="s">
        <v>652</v>
      </c>
      <c r="C141" s="308" t="s">
        <v>656</v>
      </c>
      <c r="D141" s="1281" t="s">
        <v>1471</v>
      </c>
      <c r="E141" s="1249" t="e">
        <f>HLOOKUP($D$2,'2020 Data(H)'!$C$1:$CZ$426,293,FALSE)</f>
        <v>#N/A</v>
      </c>
      <c r="F141" s="1263">
        <v>0</v>
      </c>
      <c r="G141" s="742">
        <f>IF(F141&gt;F140,"Please review account numbers 634&gt;633",)</f>
        <v>0</v>
      </c>
      <c r="H141" s="732"/>
      <c r="I141" s="732"/>
      <c r="J141" s="1251"/>
      <c r="K141" s="1251"/>
      <c r="L141" s="1251"/>
      <c r="M141" s="1251"/>
      <c r="N141" s="1253"/>
      <c r="O141" s="1251"/>
      <c r="P141" s="1251"/>
      <c r="Q141" s="1251"/>
      <c r="R141" s="1251"/>
      <c r="S141" s="1251"/>
      <c r="T141" s="1251"/>
      <c r="U141" s="1251"/>
      <c r="V141" s="1251"/>
      <c r="W141" s="1251"/>
      <c r="X141" s="1251"/>
      <c r="Y141" s="1251"/>
      <c r="Z141" s="1265"/>
      <c r="AA141" s="1265"/>
      <c r="AB141" s="1265"/>
      <c r="AC141" s="1265"/>
      <c r="AD141" s="1265"/>
      <c r="AE141" s="1265"/>
      <c r="AF141" s="1265"/>
      <c r="AG141" s="1265"/>
      <c r="AH141" s="1265"/>
      <c r="AI141" s="1265"/>
      <c r="AJ141" s="1265"/>
      <c r="AK141" s="1265"/>
      <c r="AL141" s="1265"/>
      <c r="AM141" s="1265"/>
      <c r="AN141" s="1265"/>
      <c r="AO141" s="1265"/>
      <c r="AP141" s="1265"/>
      <c r="AQ141" s="1265"/>
      <c r="AR141" s="1265"/>
      <c r="AS141" s="1251"/>
      <c r="AT141" s="1251"/>
      <c r="AU141" s="1251"/>
      <c r="AV141" s="1251"/>
      <c r="AW141" s="1251"/>
      <c r="AX141" s="1251"/>
      <c r="AY141" s="1251"/>
      <c r="AZ141" s="1251"/>
      <c r="BA141" s="1251"/>
      <c r="BB141" s="1251"/>
      <c r="BC141" s="1251"/>
      <c r="BD141" s="1251"/>
      <c r="BE141" s="1251"/>
      <c r="BF141" s="1251"/>
      <c r="BG141" s="1251"/>
      <c r="BH141" s="1251"/>
      <c r="BI141" s="1251"/>
      <c r="BJ141" s="1251"/>
      <c r="BK141" s="1251"/>
      <c r="BL141" s="1251"/>
      <c r="BM141" s="1251"/>
      <c r="BN141" s="1251"/>
      <c r="BO141" s="1251"/>
      <c r="BP141" s="1251"/>
      <c r="BQ141" s="1251"/>
      <c r="BR141" s="1251"/>
      <c r="BS141" s="1251"/>
      <c r="BT141" s="1251"/>
      <c r="BU141" s="1251"/>
      <c r="BV141" s="1251"/>
      <c r="BW141" s="1251"/>
      <c r="BX141" s="1251"/>
      <c r="BY141" s="1251"/>
      <c r="BZ141" s="1251"/>
      <c r="CA141" s="1251"/>
      <c r="CB141" s="1251"/>
      <c r="CC141" s="1251"/>
      <c r="CD141" s="1251"/>
      <c r="CE141" s="1251"/>
      <c r="CF141" s="1251"/>
      <c r="CG141" s="1251"/>
      <c r="CH141" s="1251"/>
      <c r="CI141" s="1251"/>
      <c r="CJ141" s="1251"/>
      <c r="CK141" s="1251"/>
      <c r="CL141" s="1251"/>
      <c r="CM141" s="1251"/>
      <c r="CN141" s="1251"/>
      <c r="CO141" s="1251"/>
      <c r="CP141" s="1251"/>
      <c r="CQ141" s="1251"/>
      <c r="CR141" s="1251"/>
      <c r="CS141" s="1251"/>
      <c r="CT141" s="1251"/>
      <c r="CU141" s="1251"/>
      <c r="CV141" s="1251"/>
      <c r="CW141" s="1251"/>
      <c r="CX141" s="1251"/>
      <c r="CY141" s="1251"/>
      <c r="CZ141" s="1251"/>
      <c r="DA141" s="1251"/>
      <c r="DB141" s="1251"/>
      <c r="DC141" s="1251"/>
      <c r="DD141" s="1251"/>
      <c r="DE141" s="1251"/>
      <c r="DF141" s="1251"/>
      <c r="DG141" s="1251"/>
      <c r="DH141" s="1251"/>
      <c r="DI141" s="1251"/>
      <c r="DJ141" s="1251"/>
      <c r="DK141" s="1251"/>
      <c r="DL141" s="1251"/>
      <c r="DM141" s="1251"/>
      <c r="DN141" s="1251"/>
      <c r="DO141" s="1251"/>
      <c r="DP141" s="1251"/>
      <c r="DQ141" s="1251"/>
      <c r="DR141" s="1251"/>
      <c r="DS141" s="1251"/>
      <c r="DT141" s="1251"/>
      <c r="DU141" s="1251"/>
      <c r="DV141" s="1251"/>
      <c r="DW141" s="1251"/>
      <c r="DX141" s="1251"/>
      <c r="DY141" s="1251"/>
      <c r="DZ141" s="1251"/>
      <c r="EA141" s="1251"/>
      <c r="EB141" s="1251"/>
      <c r="EC141" s="1251"/>
      <c r="ED141" s="1251"/>
      <c r="EE141" s="1251"/>
      <c r="EF141" s="1251"/>
      <c r="EG141" s="1251"/>
      <c r="EH141" s="1251"/>
      <c r="EI141" s="1251"/>
      <c r="EJ141" s="1251"/>
      <c r="EK141" s="1251"/>
      <c r="EL141" s="1251"/>
      <c r="EM141" s="1251"/>
      <c r="EN141" s="1251"/>
      <c r="EO141" s="1251"/>
      <c r="EP141" s="1251"/>
      <c r="EQ141" s="1251"/>
      <c r="ER141" s="1251"/>
      <c r="ES141" s="1251"/>
      <c r="ET141" s="1251"/>
      <c r="EU141" s="1251"/>
      <c r="EV141" s="1251"/>
      <c r="EW141" s="1251"/>
      <c r="EX141" s="1251"/>
      <c r="EY141" s="1251"/>
      <c r="EZ141" s="1251"/>
      <c r="FA141" s="1251"/>
      <c r="FB141" s="1251"/>
      <c r="FC141" s="1251"/>
      <c r="FD141" s="1251"/>
      <c r="FE141" s="1251"/>
      <c r="FF141" s="1251"/>
      <c r="FG141" s="1251"/>
      <c r="FH141" s="1251"/>
      <c r="FI141" s="1251"/>
      <c r="FJ141" s="1251"/>
      <c r="FK141" s="1251"/>
      <c r="FL141" s="1251"/>
      <c r="FM141" s="1251"/>
      <c r="FN141" s="1251"/>
      <c r="FO141" s="1251"/>
      <c r="FP141" s="1251"/>
      <c r="FQ141" s="1251"/>
      <c r="FR141" s="1251"/>
      <c r="FS141" s="1251"/>
      <c r="FT141" s="1251"/>
      <c r="FU141" s="1251"/>
      <c r="FV141" s="1251"/>
      <c r="FW141" s="1251"/>
      <c r="FX141" s="1251"/>
      <c r="FY141" s="1251"/>
      <c r="FZ141" s="1251"/>
      <c r="GA141" s="1251"/>
      <c r="GB141" s="1251"/>
      <c r="GC141" s="1251"/>
      <c r="GD141" s="1251"/>
      <c r="GE141" s="1251"/>
      <c r="GF141" s="1251"/>
      <c r="GG141" s="1251"/>
      <c r="GH141" s="1251"/>
      <c r="GI141" s="1251"/>
      <c r="GJ141" s="1251"/>
      <c r="GK141" s="1251"/>
      <c r="GL141" s="1251"/>
      <c r="GM141" s="1251"/>
      <c r="GN141" s="1251"/>
      <c r="GO141" s="1251"/>
      <c r="GP141" s="1251"/>
      <c r="GQ141" s="1251"/>
      <c r="GR141" s="1251"/>
      <c r="GS141" s="1251"/>
      <c r="GT141" s="1251"/>
      <c r="GU141" s="1251"/>
      <c r="GV141" s="1251"/>
      <c r="GW141" s="1251"/>
      <c r="GX141" s="1251"/>
      <c r="GY141" s="1251"/>
      <c r="GZ141" s="1251"/>
      <c r="HA141" s="1251"/>
      <c r="HB141" s="1251"/>
      <c r="HC141" s="1251"/>
      <c r="HD141" s="1251"/>
      <c r="HE141" s="1251"/>
      <c r="HF141" s="1251"/>
      <c r="HG141" s="1251"/>
      <c r="HH141" s="1251"/>
      <c r="HI141" s="1251"/>
      <c r="HJ141" s="1251"/>
      <c r="HK141" s="1251"/>
      <c r="HL141" s="1251"/>
      <c r="HM141" s="1251"/>
      <c r="HN141" s="1251"/>
      <c r="HO141" s="1251"/>
      <c r="HP141" s="1251"/>
      <c r="HQ141" s="1251"/>
      <c r="HR141" s="1251"/>
      <c r="HS141" s="1251"/>
      <c r="HT141" s="1251"/>
      <c r="HU141" s="1251"/>
      <c r="HV141" s="1251"/>
      <c r="HW141" s="1251"/>
      <c r="HX141" s="1251"/>
      <c r="HY141" s="1251"/>
      <c r="HZ141" s="1251"/>
      <c r="IA141" s="1251"/>
      <c r="IB141" s="1251"/>
      <c r="IC141" s="1251"/>
      <c r="ID141" s="1251"/>
      <c r="IE141" s="1251"/>
      <c r="IF141" s="1251"/>
      <c r="IG141" s="1251"/>
      <c r="IH141" s="1251"/>
      <c r="II141" s="1251"/>
      <c r="IJ141" s="1251"/>
      <c r="IK141" s="1251"/>
      <c r="IL141" s="1251"/>
      <c r="IM141" s="1251"/>
      <c r="IN141" s="1251"/>
      <c r="IO141" s="1251"/>
      <c r="IP141" s="1251"/>
      <c r="IQ141" s="1251"/>
      <c r="IR141" s="1251"/>
      <c r="IS141" s="1251"/>
      <c r="IT141" s="1251"/>
      <c r="IU141" s="1251"/>
      <c r="IV141" s="1251"/>
      <c r="IW141" s="1251"/>
      <c r="IX141" s="1251"/>
      <c r="IY141" s="1251"/>
      <c r="IZ141" s="1251"/>
      <c r="JA141" s="1251"/>
      <c r="JB141" s="1251"/>
      <c r="JC141" s="1251"/>
      <c r="JD141" s="1251"/>
      <c r="JE141" s="1251"/>
      <c r="JF141" s="1251"/>
      <c r="JG141" s="1251"/>
      <c r="JH141" s="1251"/>
      <c r="JI141" s="1251"/>
      <c r="JJ141" s="1251"/>
      <c r="JK141" s="1251"/>
      <c r="JL141" s="1251"/>
      <c r="JM141" s="1251"/>
      <c r="JN141" s="1251"/>
      <c r="JO141" s="1251"/>
      <c r="JP141" s="1251"/>
      <c r="JQ141" s="1251"/>
      <c r="JR141" s="1251"/>
      <c r="JS141" s="1251"/>
      <c r="JT141" s="1251"/>
      <c r="JU141" s="1251"/>
      <c r="JV141" s="1251"/>
      <c r="JW141" s="1251"/>
      <c r="JX141" s="1251"/>
      <c r="JY141" s="1251"/>
      <c r="JZ141" s="1251"/>
      <c r="KA141" s="1251"/>
      <c r="KB141" s="1251"/>
      <c r="KC141" s="1251"/>
      <c r="KD141" s="1251"/>
      <c r="KE141" s="1251"/>
      <c r="KF141" s="1251"/>
      <c r="KG141" s="1251"/>
      <c r="KH141" s="1251"/>
      <c r="KI141" s="1251"/>
      <c r="KJ141" s="1251"/>
      <c r="KK141" s="1251"/>
      <c r="KL141" s="1251"/>
      <c r="KM141" s="1251"/>
      <c r="KN141" s="1251"/>
      <c r="KO141" s="1251"/>
      <c r="KP141" s="1251"/>
      <c r="KQ141" s="1251"/>
      <c r="KR141" s="1251"/>
      <c r="KS141" s="1251"/>
      <c r="KT141" s="1251"/>
      <c r="KU141" s="1251"/>
      <c r="KV141" s="1251"/>
      <c r="KW141" s="1251"/>
      <c r="KX141" s="1251"/>
      <c r="KY141" s="1251"/>
      <c r="KZ141" s="1251"/>
      <c r="LA141" s="1251"/>
      <c r="LB141" s="1251"/>
      <c r="LC141" s="1251"/>
      <c r="LD141" s="1251"/>
      <c r="LE141" s="1251"/>
      <c r="LF141" s="1251"/>
      <c r="LG141" s="1251"/>
      <c r="LH141" s="1251"/>
      <c r="LI141" s="1251"/>
      <c r="LJ141" s="1251"/>
      <c r="LK141" s="1251"/>
      <c r="LL141" s="1251"/>
      <c r="LM141" s="1251"/>
      <c r="LN141" s="1251"/>
      <c r="LO141" s="1251"/>
      <c r="LP141" s="1251"/>
      <c r="LQ141" s="1251"/>
      <c r="LR141" s="1251"/>
      <c r="LS141" s="1251"/>
      <c r="LT141" s="1251"/>
      <c r="LU141" s="1251"/>
      <c r="LV141" s="1251"/>
      <c r="LW141" s="1251"/>
      <c r="LX141" s="1251"/>
      <c r="LY141" s="1251"/>
      <c r="LZ141" s="1251"/>
      <c r="MA141" s="1251"/>
      <c r="MB141" s="1251"/>
      <c r="MC141" s="1251"/>
      <c r="MD141" s="1251"/>
      <c r="ME141" s="1251"/>
      <c r="MF141" s="1251"/>
      <c r="MG141" s="1251"/>
      <c r="MH141" s="1251"/>
      <c r="MI141" s="1251"/>
      <c r="MJ141" s="1251"/>
      <c r="MK141" s="1251"/>
      <c r="ML141" s="1251"/>
      <c r="MM141" s="1251"/>
      <c r="MN141" s="1251"/>
      <c r="MO141" s="1251"/>
      <c r="MP141" s="1251"/>
      <c r="MQ141" s="1251"/>
      <c r="MR141" s="1251"/>
      <c r="MS141" s="1251"/>
      <c r="MT141" s="1251"/>
      <c r="MU141" s="1251"/>
      <c r="MV141" s="1251"/>
      <c r="MW141" s="1251"/>
      <c r="MX141" s="1251"/>
      <c r="MY141" s="1251"/>
      <c r="MZ141" s="1251"/>
      <c r="NA141" s="1251"/>
      <c r="NB141" s="1251"/>
      <c r="NC141" s="1251"/>
      <c r="ND141" s="1251"/>
      <c r="NE141" s="1251"/>
      <c r="NF141" s="1251"/>
      <c r="NG141" s="1251"/>
      <c r="NH141" s="1251"/>
      <c r="NI141" s="1251"/>
      <c r="NJ141" s="1251"/>
      <c r="NK141" s="1251"/>
      <c r="NL141" s="1251"/>
      <c r="NM141" s="1251"/>
      <c r="NN141" s="1251"/>
      <c r="NO141" s="1251"/>
      <c r="NP141" s="1251"/>
      <c r="NQ141" s="1251"/>
      <c r="NR141" s="1251"/>
      <c r="NS141" s="1251"/>
      <c r="NT141" s="1251"/>
      <c r="NU141" s="1251"/>
      <c r="NV141" s="1251"/>
      <c r="NW141" s="1251"/>
      <c r="NX141" s="1251"/>
      <c r="NY141" s="1251"/>
      <c r="NZ141" s="1251"/>
      <c r="OA141" s="1251"/>
      <c r="OB141" s="1251"/>
      <c r="OC141" s="1251"/>
      <c r="OD141" s="1251"/>
      <c r="OE141" s="1251"/>
      <c r="OF141" s="1251"/>
      <c r="OG141" s="1251"/>
      <c r="OH141" s="1251"/>
      <c r="OI141" s="1251"/>
      <c r="OJ141" s="1251"/>
      <c r="OK141" s="1251"/>
      <c r="OL141" s="1251"/>
      <c r="OM141" s="1251"/>
      <c r="ON141" s="1251"/>
      <c r="OO141" s="1251"/>
      <c r="OP141" s="1251"/>
      <c r="OQ141" s="1251"/>
      <c r="OR141" s="1251"/>
      <c r="OS141" s="1251"/>
      <c r="OT141" s="1251"/>
      <c r="OU141" s="1251"/>
      <c r="OV141" s="1251"/>
      <c r="OW141" s="1251"/>
      <c r="OX141" s="1251"/>
      <c r="OY141" s="1251"/>
      <c r="OZ141" s="1251"/>
      <c r="PA141" s="1251"/>
      <c r="PB141" s="1251"/>
      <c r="PC141" s="1251"/>
      <c r="PD141" s="1251"/>
      <c r="PE141" s="1251"/>
      <c r="PF141" s="1251"/>
      <c r="PG141" s="1251"/>
      <c r="PH141" s="1251"/>
      <c r="PI141" s="1251"/>
      <c r="PJ141" s="1251"/>
      <c r="PK141" s="1251"/>
      <c r="PL141" s="1251"/>
      <c r="PM141" s="1251"/>
      <c r="PN141" s="1251"/>
      <c r="PO141" s="1251"/>
      <c r="PP141" s="1251"/>
      <c r="PQ141" s="1251"/>
      <c r="PR141" s="1251"/>
      <c r="PS141" s="1251"/>
      <c r="PT141" s="1251"/>
      <c r="PU141" s="1251"/>
      <c r="PV141" s="1251"/>
      <c r="PW141" s="1251"/>
      <c r="PX141" s="1251"/>
      <c r="PY141" s="1251"/>
      <c r="PZ141" s="1251"/>
      <c r="QA141" s="1251"/>
      <c r="QB141" s="1251"/>
      <c r="QC141" s="1251"/>
      <c r="QD141" s="1251"/>
      <c r="QE141" s="1251"/>
      <c r="QF141" s="1251"/>
      <c r="QG141" s="1251"/>
      <c r="QH141" s="1251"/>
      <c r="QI141" s="1251"/>
      <c r="QJ141" s="1251"/>
      <c r="QK141" s="1251"/>
      <c r="QL141" s="1251"/>
      <c r="QM141" s="1251"/>
      <c r="QN141" s="1251"/>
      <c r="QO141" s="1251"/>
      <c r="QP141" s="1251"/>
      <c r="QQ141" s="1251"/>
      <c r="QR141" s="1251"/>
      <c r="QS141" s="1251"/>
      <c r="QT141" s="1251"/>
      <c r="QU141" s="1251"/>
      <c r="QV141" s="1251"/>
      <c r="QW141" s="1251"/>
      <c r="QX141" s="1251"/>
      <c r="QY141" s="1251"/>
      <c r="QZ141" s="1251"/>
      <c r="RA141" s="1251"/>
      <c r="RB141" s="1251"/>
      <c r="RC141" s="1251"/>
      <c r="RD141" s="1251"/>
      <c r="RE141" s="1251"/>
      <c r="RF141" s="1251"/>
      <c r="RG141" s="1251"/>
      <c r="RH141" s="1251"/>
      <c r="RI141" s="1251"/>
      <c r="RJ141" s="1251"/>
      <c r="RK141" s="1251"/>
      <c r="RL141" s="1251"/>
      <c r="RM141" s="1251"/>
      <c r="RN141" s="1251"/>
      <c r="RO141" s="1251"/>
      <c r="RP141" s="1251"/>
      <c r="RQ141" s="1251"/>
      <c r="RR141" s="1251"/>
      <c r="RS141" s="1251"/>
      <c r="RT141" s="1251"/>
      <c r="RU141" s="1251"/>
      <c r="RV141" s="1251"/>
      <c r="RW141" s="1251"/>
      <c r="RX141" s="1251"/>
      <c r="RY141" s="1251"/>
      <c r="RZ141" s="1251"/>
      <c r="SA141" s="1251"/>
      <c r="SB141" s="1251"/>
      <c r="SC141" s="1251"/>
      <c r="SD141" s="1251"/>
      <c r="SE141" s="1251"/>
      <c r="SF141" s="1251"/>
      <c r="SG141" s="1251"/>
      <c r="SH141" s="1251"/>
      <c r="SI141" s="1251"/>
      <c r="SJ141" s="1251"/>
      <c r="SK141" s="1251"/>
      <c r="SL141" s="1251"/>
      <c r="SM141" s="1251"/>
      <c r="SN141" s="1251"/>
      <c r="SO141" s="1251"/>
      <c r="SP141" s="1251"/>
      <c r="SQ141" s="1251"/>
      <c r="SR141" s="1251"/>
      <c r="SS141" s="1251"/>
      <c r="ST141" s="1251"/>
      <c r="SU141" s="1251"/>
      <c r="SV141" s="1251"/>
      <c r="SW141" s="1251"/>
      <c r="SX141" s="1251"/>
      <c r="SY141" s="1251"/>
      <c r="SZ141" s="1251"/>
      <c r="TA141" s="1251"/>
      <c r="TB141" s="1251"/>
      <c r="TC141" s="1251"/>
      <c r="TD141" s="1251"/>
      <c r="TE141" s="1251"/>
      <c r="TF141" s="1251"/>
      <c r="TG141" s="1251"/>
      <c r="TH141" s="1251"/>
      <c r="TI141" s="1251"/>
      <c r="TJ141" s="1251"/>
      <c r="TK141" s="1251"/>
      <c r="TL141" s="1251"/>
      <c r="TM141" s="1251"/>
      <c r="TN141" s="1251"/>
      <c r="TO141" s="1251"/>
      <c r="TP141" s="1251"/>
      <c r="TQ141" s="1251"/>
      <c r="TR141" s="1251"/>
      <c r="TS141" s="1251"/>
      <c r="TT141" s="1251"/>
      <c r="TU141" s="1251"/>
      <c r="TV141" s="1251"/>
      <c r="TW141" s="1251"/>
      <c r="TX141" s="1251"/>
      <c r="TY141" s="1251"/>
      <c r="TZ141" s="1251"/>
      <c r="UA141" s="1251"/>
      <c r="UB141" s="1251"/>
      <c r="UC141" s="1251"/>
      <c r="UD141" s="1251"/>
      <c r="UE141" s="1251"/>
      <c r="UF141" s="1251"/>
      <c r="UG141" s="1251"/>
      <c r="UH141" s="1251"/>
      <c r="UI141" s="1251"/>
      <c r="UJ141" s="1251"/>
      <c r="UK141" s="1251"/>
      <c r="UL141" s="1251"/>
      <c r="UM141" s="1251"/>
      <c r="UN141" s="1251"/>
      <c r="UO141" s="1251"/>
      <c r="UP141" s="1251"/>
      <c r="UQ141" s="1251"/>
      <c r="UR141" s="1251"/>
      <c r="US141" s="1251"/>
      <c r="UT141" s="1251"/>
      <c r="UU141" s="1251"/>
      <c r="UV141" s="1251"/>
      <c r="UW141" s="1251"/>
      <c r="UX141" s="1251"/>
      <c r="UY141" s="1251"/>
      <c r="UZ141" s="1251"/>
      <c r="VA141" s="1251"/>
      <c r="VB141" s="1251"/>
      <c r="VC141" s="1251"/>
      <c r="VD141" s="1251"/>
      <c r="VE141" s="1251"/>
      <c r="VF141" s="1251"/>
      <c r="VG141" s="1251"/>
      <c r="VH141" s="1251"/>
      <c r="VI141" s="1251"/>
      <c r="VJ141" s="1251"/>
      <c r="VK141" s="1251"/>
      <c r="VL141" s="1251"/>
      <c r="VM141" s="1251"/>
      <c r="VN141" s="1251"/>
      <c r="VO141" s="1251"/>
      <c r="VP141" s="1251"/>
      <c r="VQ141" s="1251"/>
      <c r="VR141" s="1251"/>
      <c r="VS141" s="1251"/>
      <c r="VT141" s="1251"/>
      <c r="VU141" s="1251"/>
      <c r="VV141" s="1251"/>
      <c r="VW141" s="1251"/>
      <c r="VX141" s="1251"/>
      <c r="VY141" s="1251"/>
      <c r="VZ141" s="1251"/>
      <c r="WA141" s="1251"/>
      <c r="WB141" s="1251"/>
      <c r="WC141" s="1251"/>
      <c r="WD141" s="1251"/>
      <c r="WE141" s="1251"/>
      <c r="WF141" s="1251"/>
      <c r="WG141" s="1251"/>
      <c r="WH141" s="1251"/>
      <c r="WI141" s="1251"/>
      <c r="WJ141" s="1251"/>
      <c r="WK141" s="1251"/>
      <c r="WL141" s="1251"/>
      <c r="WM141" s="1251"/>
      <c r="WN141" s="1251"/>
      <c r="WO141" s="1251"/>
      <c r="WP141" s="1251"/>
      <c r="WQ141" s="1251"/>
      <c r="WR141" s="1251"/>
      <c r="WS141" s="1251"/>
      <c r="WT141" s="1251"/>
      <c r="WU141" s="1251"/>
      <c r="WV141" s="1251"/>
      <c r="WW141" s="1251"/>
      <c r="WX141" s="1251"/>
      <c r="WY141" s="1251"/>
      <c r="WZ141" s="1251"/>
      <c r="XA141" s="1251"/>
      <c r="XB141" s="1251"/>
      <c r="XC141" s="1251"/>
      <c r="XD141" s="1251"/>
      <c r="XE141" s="1251"/>
      <c r="XF141" s="1251"/>
      <c r="XG141" s="1251"/>
      <c r="XH141" s="1251"/>
      <c r="XI141" s="1251"/>
      <c r="XJ141" s="1251"/>
      <c r="XK141" s="1251"/>
      <c r="XL141" s="1251"/>
      <c r="XM141" s="1251"/>
      <c r="XN141" s="1251"/>
      <c r="XO141" s="1251"/>
      <c r="XP141" s="1251"/>
      <c r="XQ141" s="1251"/>
      <c r="XR141" s="1251"/>
      <c r="XS141" s="1251"/>
      <c r="XT141" s="1251"/>
      <c r="XU141" s="1251"/>
      <c r="XV141" s="1251"/>
      <c r="XW141" s="1251"/>
      <c r="XX141" s="1251"/>
      <c r="XY141" s="1251"/>
      <c r="XZ141" s="1251"/>
      <c r="YA141" s="1251"/>
      <c r="YB141" s="1251"/>
      <c r="YC141" s="1251"/>
      <c r="YD141" s="1251"/>
      <c r="YE141" s="1251"/>
      <c r="YF141" s="1251"/>
      <c r="YG141" s="1251"/>
      <c r="YH141" s="1251"/>
      <c r="YI141" s="1251"/>
      <c r="YJ141" s="1251"/>
      <c r="YK141" s="1251"/>
      <c r="YL141" s="1251"/>
      <c r="YM141" s="1251"/>
      <c r="YN141" s="1251"/>
      <c r="YO141" s="1251"/>
      <c r="YP141" s="1251"/>
      <c r="YQ141" s="1251"/>
      <c r="YR141" s="1251"/>
      <c r="YS141" s="1251"/>
      <c r="YT141" s="1251"/>
      <c r="YU141" s="1251"/>
      <c r="YV141" s="1251"/>
      <c r="YW141" s="1251"/>
      <c r="YX141" s="1251"/>
      <c r="YY141" s="1251"/>
      <c r="YZ141" s="1251"/>
      <c r="ZA141" s="1251"/>
      <c r="ZB141" s="1251"/>
      <c r="ZC141" s="1251"/>
      <c r="ZD141" s="1251"/>
      <c r="ZE141" s="1251"/>
      <c r="ZF141" s="1251"/>
      <c r="ZG141" s="1251"/>
      <c r="ZH141" s="1251"/>
      <c r="ZI141" s="1251"/>
      <c r="ZJ141" s="1251"/>
      <c r="ZK141" s="1251"/>
      <c r="ZL141" s="1251"/>
      <c r="ZM141" s="1251"/>
      <c r="ZN141" s="1251"/>
      <c r="ZO141" s="1251"/>
      <c r="ZP141" s="1251"/>
      <c r="ZQ141" s="1251"/>
      <c r="ZR141" s="1251"/>
      <c r="ZS141" s="1251"/>
      <c r="ZT141" s="1251"/>
      <c r="ZU141" s="1251"/>
      <c r="ZV141" s="1251"/>
      <c r="ZW141" s="1251"/>
      <c r="ZX141" s="1251"/>
      <c r="ZY141" s="1251"/>
      <c r="ZZ141" s="1251"/>
      <c r="AAA141" s="1251"/>
      <c r="AAB141" s="1251"/>
      <c r="AAC141" s="1251"/>
      <c r="AAD141" s="1251"/>
      <c r="AAE141" s="1251"/>
      <c r="AAF141" s="1251"/>
      <c r="AAG141" s="1251"/>
      <c r="AAH141" s="1251"/>
      <c r="AAI141" s="1251"/>
      <c r="AAJ141" s="1251"/>
      <c r="AAK141" s="1251"/>
      <c r="AAL141" s="1251"/>
      <c r="AAM141" s="1251"/>
      <c r="AAN141" s="1251"/>
      <c r="AAO141" s="1251"/>
      <c r="AAP141" s="1251"/>
      <c r="AAQ141" s="1251"/>
      <c r="AAR141" s="1251"/>
      <c r="AAS141" s="1251"/>
      <c r="AAT141" s="1251"/>
      <c r="AAU141" s="1251"/>
      <c r="AAV141" s="1251"/>
      <c r="AAW141" s="1251"/>
      <c r="AAX141" s="1251"/>
      <c r="AAY141" s="1251"/>
      <c r="AAZ141" s="1251"/>
      <c r="ABA141" s="1251"/>
      <c r="ABB141" s="1251"/>
      <c r="ABC141" s="1251"/>
      <c r="ABD141" s="1251"/>
      <c r="ABE141" s="1251"/>
      <c r="ABF141" s="1251"/>
      <c r="ABG141" s="1251"/>
      <c r="ABH141" s="1251"/>
      <c r="ABI141" s="1251"/>
      <c r="ABJ141" s="1251"/>
      <c r="ABK141" s="1251"/>
      <c r="ABL141" s="1251"/>
      <c r="ABM141" s="1251"/>
      <c r="ABN141" s="1251"/>
      <c r="ABO141" s="1251"/>
      <c r="ABP141" s="1251"/>
      <c r="ABQ141" s="1251"/>
      <c r="ABR141" s="1251"/>
      <c r="ABS141" s="1251"/>
      <c r="ABT141" s="1251"/>
      <c r="ABU141" s="1251"/>
      <c r="ABV141" s="1251"/>
      <c r="ABW141" s="1251"/>
      <c r="ABX141" s="1251"/>
      <c r="ABY141" s="1251"/>
      <c r="ABZ141" s="1251"/>
      <c r="ACA141" s="1251"/>
      <c r="ACB141" s="1251"/>
      <c r="ACC141" s="1251"/>
      <c r="ACD141" s="1251"/>
      <c r="ACE141" s="1251"/>
      <c r="ACF141" s="1251"/>
      <c r="ACG141" s="1251"/>
      <c r="ACH141" s="1251"/>
      <c r="ACI141" s="1251"/>
      <c r="ACJ141" s="1251"/>
      <c r="ACK141" s="1251"/>
      <c r="ACL141" s="1251"/>
      <c r="ACM141" s="1251"/>
      <c r="ACN141" s="1251"/>
      <c r="ACO141" s="1251"/>
      <c r="ACP141" s="1251"/>
      <c r="ACQ141" s="1251"/>
      <c r="ACR141" s="1251"/>
      <c r="ACS141" s="1251"/>
      <c r="ACT141" s="1251"/>
      <c r="ACU141" s="1251"/>
      <c r="ACV141" s="1251"/>
      <c r="ACW141" s="1251"/>
      <c r="ACX141" s="1251"/>
      <c r="ACY141" s="1251"/>
      <c r="ACZ141" s="1251"/>
      <c r="ADA141" s="1251"/>
      <c r="ADB141" s="1251"/>
      <c r="ADC141" s="1251"/>
      <c r="ADD141" s="1251"/>
      <c r="ADE141" s="1251"/>
      <c r="ADF141" s="1251"/>
      <c r="ADG141" s="1251"/>
      <c r="ADH141" s="1251"/>
      <c r="ADI141" s="1251"/>
      <c r="ADJ141" s="1251"/>
      <c r="ADK141" s="1251"/>
      <c r="ADL141" s="1251"/>
      <c r="ADM141" s="1251"/>
      <c r="ADN141" s="1251"/>
      <c r="ADO141" s="1251"/>
      <c r="ADP141" s="1251"/>
      <c r="ADQ141" s="1251"/>
      <c r="ADR141" s="1251"/>
      <c r="ADS141" s="1251"/>
      <c r="ADT141" s="1251"/>
      <c r="ADU141" s="1251"/>
      <c r="ADV141" s="1251"/>
      <c r="ADW141" s="1251"/>
      <c r="ADX141" s="1251"/>
      <c r="ADY141" s="1251"/>
      <c r="ADZ141" s="1251"/>
      <c r="AEA141" s="1251"/>
      <c r="AEB141" s="1251"/>
      <c r="AEC141" s="1251"/>
      <c r="AED141" s="1251"/>
      <c r="AEE141" s="1251"/>
      <c r="AEF141" s="1251"/>
      <c r="AEG141" s="1251"/>
      <c r="AEH141" s="1251"/>
      <c r="AEI141" s="1251"/>
      <c r="AEJ141" s="1251"/>
      <c r="AEK141" s="1251"/>
      <c r="AEL141" s="1251"/>
      <c r="AEM141" s="1251"/>
      <c r="AEN141" s="1251"/>
      <c r="AEO141" s="1251"/>
      <c r="AEP141" s="1251"/>
      <c r="AEQ141" s="1251"/>
      <c r="AER141" s="1251"/>
      <c r="AES141" s="1251"/>
      <c r="AET141" s="1251"/>
      <c r="AEU141" s="1251"/>
      <c r="AEV141" s="1251"/>
      <c r="AEW141" s="1251"/>
      <c r="AEX141" s="1251"/>
      <c r="AEY141" s="1251"/>
      <c r="AEZ141" s="1251"/>
      <c r="AFA141" s="1251"/>
      <c r="AFB141" s="1251"/>
      <c r="AFC141" s="1251"/>
      <c r="AFD141" s="1251"/>
      <c r="AFE141" s="1251"/>
      <c r="AFF141" s="1251"/>
      <c r="AFG141" s="1251"/>
      <c r="AFH141" s="1251"/>
      <c r="AFI141" s="1251"/>
      <c r="AFJ141" s="1251"/>
      <c r="AFK141" s="1251"/>
      <c r="AFL141" s="1251"/>
      <c r="AFM141" s="1251"/>
      <c r="AFN141" s="1251"/>
      <c r="AFO141" s="1251"/>
      <c r="AFP141" s="1251"/>
      <c r="AFQ141" s="1251"/>
      <c r="AFR141" s="1251"/>
      <c r="AFS141" s="1251"/>
      <c r="AFT141" s="1251"/>
      <c r="AFU141" s="1251"/>
      <c r="AFV141" s="1251"/>
      <c r="AFW141" s="1251"/>
      <c r="AFX141" s="1251"/>
      <c r="AFY141" s="1251"/>
      <c r="AFZ141" s="1251"/>
      <c r="AGA141" s="1251"/>
      <c r="AGB141" s="1251"/>
      <c r="AGC141" s="1251"/>
      <c r="AGD141" s="1251"/>
      <c r="AGE141" s="1251"/>
      <c r="AGF141" s="1251"/>
      <c r="AGG141" s="1251"/>
      <c r="AGH141" s="1251"/>
      <c r="AGI141" s="1251"/>
      <c r="AGJ141" s="1251"/>
      <c r="AGK141" s="1251"/>
      <c r="AGL141" s="1251"/>
      <c r="AGM141" s="1251"/>
      <c r="AGN141" s="1251"/>
      <c r="AGO141" s="1251"/>
      <c r="AGP141" s="1251"/>
      <c r="AGQ141" s="1251"/>
      <c r="AGR141" s="1251"/>
      <c r="AGS141" s="1251"/>
      <c r="AGT141" s="1251"/>
      <c r="AGU141" s="1251"/>
      <c r="AGV141" s="1251"/>
      <c r="AGW141" s="1251"/>
      <c r="AGX141" s="1251"/>
      <c r="AGY141" s="1251"/>
      <c r="AGZ141" s="1251"/>
      <c r="AHA141" s="1251"/>
      <c r="AHB141" s="1251"/>
      <c r="AHC141" s="1251"/>
      <c r="AHD141" s="1251"/>
      <c r="AHE141" s="1251"/>
      <c r="AHF141" s="1251"/>
      <c r="AHG141" s="1251"/>
      <c r="AHH141" s="1251"/>
      <c r="AHI141" s="1251"/>
      <c r="AHJ141" s="1251"/>
      <c r="AHK141" s="1251"/>
      <c r="AHL141" s="1251"/>
      <c r="AHM141" s="1251"/>
      <c r="AHN141" s="1251"/>
      <c r="AHO141" s="1251"/>
      <c r="AHP141" s="1251"/>
      <c r="AHQ141" s="1251"/>
      <c r="AHR141" s="1251"/>
      <c r="AHS141" s="1251"/>
      <c r="AHT141" s="1251"/>
      <c r="AHU141" s="1251"/>
      <c r="AHV141" s="1251"/>
      <c r="AHW141" s="1251"/>
      <c r="AHX141" s="1251"/>
      <c r="AHY141" s="1251"/>
      <c r="AHZ141" s="1251"/>
      <c r="AIA141" s="1251"/>
      <c r="AIB141" s="1251"/>
      <c r="AIC141" s="1251"/>
      <c r="AID141" s="1251"/>
      <c r="AIE141" s="1251"/>
      <c r="AIF141" s="1251"/>
      <c r="AIG141" s="1251"/>
      <c r="AIH141" s="1251"/>
      <c r="AII141" s="1251"/>
      <c r="AIJ141" s="1251"/>
      <c r="AIK141" s="1251"/>
      <c r="AIL141" s="1251"/>
      <c r="AIM141" s="1251"/>
      <c r="AIN141" s="1251"/>
      <c r="AIO141" s="1251"/>
      <c r="AIP141" s="1251"/>
      <c r="AIQ141" s="1251"/>
      <c r="AIR141" s="1251"/>
      <c r="AIS141" s="1251"/>
      <c r="AIT141" s="1251"/>
      <c r="AIU141" s="1251"/>
      <c r="AIV141" s="1251"/>
      <c r="AIW141" s="1251"/>
      <c r="AIX141" s="1251"/>
      <c r="AIY141" s="1251"/>
      <c r="AIZ141" s="1251"/>
      <c r="AJA141" s="1251"/>
      <c r="AJB141" s="1251"/>
      <c r="AJC141" s="1251"/>
      <c r="AJD141" s="1251"/>
      <c r="AJE141" s="1251"/>
      <c r="AJF141" s="1251"/>
      <c r="AJG141" s="1251"/>
      <c r="AJH141" s="1251"/>
      <c r="AJI141" s="1251"/>
      <c r="AJJ141" s="1251"/>
      <c r="AJK141" s="1251"/>
      <c r="AJL141" s="1251"/>
      <c r="AJM141" s="1251"/>
      <c r="AJN141" s="1251"/>
      <c r="AJO141" s="1251"/>
      <c r="AJP141" s="1251"/>
      <c r="AJQ141" s="1251"/>
      <c r="AJR141" s="1251"/>
      <c r="AJS141" s="1251"/>
      <c r="AJT141" s="1251"/>
      <c r="AJU141" s="1251"/>
      <c r="AJV141" s="1251"/>
      <c r="AJW141" s="1251"/>
      <c r="AJX141" s="1251"/>
      <c r="AJY141" s="1251"/>
      <c r="AJZ141" s="1251"/>
      <c r="AKA141" s="1251"/>
      <c r="AKB141" s="1251"/>
      <c r="AKC141" s="1251"/>
      <c r="AKD141" s="1251"/>
      <c r="AKE141" s="1251"/>
      <c r="AKF141" s="1251"/>
      <c r="AKG141" s="1251"/>
      <c r="AKH141" s="1251"/>
      <c r="AKI141" s="1251"/>
      <c r="AKJ141" s="1251"/>
      <c r="AKK141" s="1251"/>
      <c r="AKL141" s="1251"/>
      <c r="AKM141" s="1251"/>
      <c r="AKN141" s="1251"/>
      <c r="AKO141" s="1251"/>
      <c r="AKP141" s="1251"/>
      <c r="AKQ141" s="1251"/>
      <c r="AKR141" s="1251"/>
      <c r="AKS141" s="1251"/>
      <c r="AKT141" s="1251"/>
      <c r="AKU141" s="1251"/>
      <c r="AKV141" s="1251"/>
      <c r="AKW141" s="1251"/>
      <c r="AKX141" s="1251"/>
      <c r="AKY141" s="1251"/>
      <c r="AKZ141" s="1251"/>
      <c r="ALA141" s="1251"/>
      <c r="ALB141" s="1251"/>
      <c r="ALC141" s="1251"/>
      <c r="ALD141" s="1251"/>
      <c r="ALE141" s="1251"/>
      <c r="ALF141" s="1251"/>
      <c r="ALG141" s="1251"/>
      <c r="ALH141" s="1251"/>
      <c r="ALI141" s="1251"/>
      <c r="ALJ141" s="1251"/>
      <c r="ALK141" s="1251"/>
      <c r="ALL141" s="1251"/>
      <c r="ALM141" s="1251"/>
      <c r="ALN141" s="1251"/>
      <c r="ALO141" s="1251"/>
      <c r="ALP141" s="1251"/>
      <c r="ALQ141" s="1251"/>
      <c r="ALR141" s="1251"/>
      <c r="ALS141" s="1251"/>
      <c r="ALT141" s="1251"/>
      <c r="ALU141" s="1251"/>
      <c r="ALV141" s="1251"/>
      <c r="ALW141" s="1251"/>
      <c r="ALX141" s="1251"/>
      <c r="ALY141" s="1251"/>
      <c r="ALZ141" s="1251"/>
      <c r="AMA141" s="1251"/>
      <c r="AMB141" s="1251"/>
      <c r="AMC141" s="1251"/>
      <c r="AMD141" s="1251"/>
      <c r="AME141" s="1251"/>
      <c r="AMF141" s="1251"/>
      <c r="AMG141" s="1251"/>
      <c r="AMH141" s="1251"/>
      <c r="AMI141" s="1251"/>
      <c r="AMJ141" s="1251"/>
      <c r="AMK141" s="1251"/>
      <c r="AML141" s="1251"/>
      <c r="AMM141" s="1251"/>
      <c r="AMN141" s="1251"/>
      <c r="AMO141" s="1251"/>
      <c r="AMP141" s="1251"/>
      <c r="AMQ141" s="1251"/>
      <c r="AMR141" s="1251"/>
      <c r="AMS141" s="1251"/>
      <c r="AMT141" s="1251"/>
      <c r="AMU141" s="1251"/>
      <c r="AMV141" s="1251"/>
      <c r="AMW141" s="1251"/>
      <c r="AMX141" s="1251"/>
      <c r="AMY141" s="1251"/>
      <c r="AMZ141" s="1251"/>
      <c r="ANA141" s="1251"/>
      <c r="ANB141" s="1251"/>
      <c r="ANC141" s="1251"/>
      <c r="AND141" s="1251"/>
      <c r="ANE141" s="1251"/>
      <c r="ANF141" s="1251"/>
      <c r="ANG141" s="1251"/>
      <c r="ANH141" s="1251"/>
      <c r="ANI141" s="1251"/>
      <c r="ANJ141" s="1251"/>
      <c r="ANK141" s="1251"/>
      <c r="ANL141" s="1251"/>
      <c r="ANM141" s="1251"/>
      <c r="ANN141" s="1251"/>
      <c r="ANO141" s="1251"/>
      <c r="ANP141" s="1251"/>
      <c r="ANQ141" s="1251"/>
      <c r="ANR141" s="1251"/>
      <c r="ANS141" s="1251"/>
      <c r="ANT141" s="1251"/>
      <c r="ANU141" s="1251"/>
      <c r="ANV141" s="1251"/>
      <c r="ANW141" s="1251"/>
      <c r="ANX141" s="1251"/>
      <c r="ANY141" s="1251"/>
      <c r="ANZ141" s="1251"/>
      <c r="AOA141" s="1251"/>
      <c r="AOB141" s="1251"/>
      <c r="AOC141" s="1251"/>
      <c r="AOD141" s="1251"/>
      <c r="AOE141" s="1251"/>
      <c r="AOF141" s="1251"/>
      <c r="AOG141" s="1251"/>
      <c r="AOH141" s="1251"/>
      <c r="AOI141" s="1251"/>
      <c r="AOJ141" s="1251"/>
      <c r="AOK141" s="1251"/>
      <c r="AOL141" s="1251"/>
      <c r="AOM141" s="1251"/>
      <c r="AON141" s="1251"/>
      <c r="AOO141" s="1251"/>
      <c r="AOP141" s="1251"/>
      <c r="AOQ141" s="1251"/>
      <c r="AOR141" s="1251"/>
      <c r="AOS141" s="1251"/>
      <c r="AOT141" s="1251"/>
      <c r="AOU141" s="1251"/>
      <c r="AOV141" s="1251"/>
      <c r="AOW141" s="1251"/>
      <c r="AOX141" s="1251"/>
      <c r="AOY141" s="1251"/>
      <c r="AOZ141" s="1251"/>
      <c r="APA141" s="1251"/>
      <c r="APB141" s="1251"/>
      <c r="APC141" s="1251"/>
      <c r="APD141" s="1251"/>
      <c r="APE141" s="1251"/>
      <c r="APF141" s="1251"/>
      <c r="APG141" s="1251"/>
      <c r="APH141" s="1251"/>
      <c r="API141" s="1251"/>
      <c r="APJ141" s="1251"/>
      <c r="APK141" s="1251"/>
      <c r="APL141" s="1251"/>
      <c r="APM141" s="1251"/>
      <c r="APN141" s="1251"/>
      <c r="APO141" s="1251"/>
      <c r="APP141" s="1251"/>
      <c r="APQ141" s="1251"/>
      <c r="APR141" s="1251"/>
      <c r="APS141" s="1251"/>
      <c r="APT141" s="1251"/>
      <c r="APU141" s="1251"/>
      <c r="APV141" s="1251"/>
      <c r="APW141" s="1251"/>
      <c r="APX141" s="1251"/>
      <c r="APY141" s="1251"/>
      <c r="APZ141" s="1251"/>
      <c r="AQA141" s="1251"/>
      <c r="AQB141" s="1251"/>
      <c r="AQC141" s="1251"/>
      <c r="AQD141" s="1251"/>
      <c r="AQE141" s="1251"/>
      <c r="AQF141" s="1251"/>
      <c r="AQG141" s="1251"/>
      <c r="AQH141" s="1251"/>
      <c r="AQI141" s="1251"/>
      <c r="AQJ141" s="1251"/>
      <c r="AQK141" s="1251"/>
      <c r="AQL141" s="1251"/>
      <c r="AQM141" s="1251"/>
      <c r="AQN141" s="1251"/>
      <c r="AQO141" s="1251"/>
      <c r="AQP141" s="1251"/>
      <c r="AQQ141" s="1251"/>
      <c r="AQR141" s="1251"/>
      <c r="AQS141" s="1251"/>
      <c r="AQT141" s="1251"/>
      <c r="AQU141" s="1251"/>
      <c r="AQV141" s="1251"/>
      <c r="AQW141" s="1251"/>
      <c r="AQX141" s="1251"/>
      <c r="AQY141" s="1251"/>
      <c r="AQZ141" s="1251"/>
      <c r="ARA141" s="1251"/>
      <c r="ARB141" s="1251"/>
      <c r="ARC141" s="1251"/>
      <c r="ARD141" s="1251"/>
      <c r="ARE141" s="1251"/>
      <c r="ARF141" s="1251"/>
      <c r="ARG141" s="1251"/>
      <c r="ARH141" s="1251"/>
      <c r="ARI141" s="1251"/>
      <c r="ARJ141" s="1251"/>
      <c r="ARK141" s="1251"/>
      <c r="ARL141" s="1251"/>
      <c r="ARM141" s="1251"/>
      <c r="ARN141" s="1251"/>
      <c r="ARO141" s="1251"/>
      <c r="ARP141" s="1251"/>
      <c r="ARQ141" s="1251"/>
      <c r="ARR141" s="1251"/>
      <c r="ARS141" s="1251"/>
      <c r="ART141" s="1251"/>
      <c r="ARU141" s="1251"/>
      <c r="ARV141" s="1251"/>
      <c r="ARW141" s="1251"/>
      <c r="ARX141" s="1251"/>
      <c r="ARY141" s="1251"/>
      <c r="ARZ141" s="1251"/>
      <c r="ASA141" s="1251"/>
      <c r="ASB141" s="1251"/>
      <c r="ASC141" s="1251"/>
      <c r="ASD141" s="1251"/>
      <c r="ASE141" s="1251"/>
      <c r="ASF141" s="1251"/>
      <c r="ASG141" s="1251"/>
      <c r="ASH141" s="1251"/>
      <c r="ASI141" s="1251"/>
      <c r="ASJ141" s="1251"/>
      <c r="ASK141" s="1251"/>
      <c r="ASL141" s="1251"/>
      <c r="ASM141" s="1251"/>
      <c r="ASN141" s="1251"/>
      <c r="ASO141" s="1251"/>
      <c r="ASP141" s="1251"/>
      <c r="ASQ141" s="1251"/>
      <c r="ASR141" s="1251"/>
      <c r="ASS141" s="1251"/>
      <c r="AST141" s="1251"/>
      <c r="ASU141" s="1251"/>
      <c r="ASV141" s="1251"/>
      <c r="ASW141" s="1251"/>
      <c r="ASX141" s="1251"/>
      <c r="ASY141" s="1251"/>
      <c r="ASZ141" s="1251"/>
      <c r="ATA141" s="1251"/>
      <c r="ATB141" s="1251"/>
      <c r="ATC141" s="1251"/>
      <c r="ATD141" s="1251"/>
      <c r="ATE141" s="1251"/>
      <c r="ATF141" s="1251"/>
      <c r="ATG141" s="1251"/>
      <c r="ATH141" s="1251"/>
      <c r="ATI141" s="1251"/>
      <c r="ATJ141" s="1251"/>
      <c r="ATK141" s="1251"/>
      <c r="ATL141" s="1251"/>
      <c r="ATM141" s="1251"/>
      <c r="ATN141" s="1251"/>
      <c r="ATO141" s="1251"/>
      <c r="ATP141" s="1251"/>
      <c r="ATQ141" s="1251"/>
      <c r="ATR141" s="1251"/>
      <c r="ATS141" s="1251"/>
      <c r="ATT141" s="1251"/>
      <c r="ATU141" s="1251"/>
      <c r="ATV141" s="1251"/>
      <c r="ATW141" s="1251"/>
      <c r="ATX141" s="1251"/>
      <c r="ATY141" s="1251"/>
      <c r="ATZ141" s="1251"/>
      <c r="AUA141" s="1251"/>
      <c r="AUB141" s="1251"/>
      <c r="AUC141" s="1251"/>
      <c r="AUD141" s="1251"/>
      <c r="AUE141" s="1251"/>
      <c r="AUF141" s="1251"/>
      <c r="AUG141" s="1251"/>
      <c r="AUH141" s="1251"/>
      <c r="AUI141" s="1251"/>
      <c r="AUJ141" s="1251"/>
      <c r="AUK141" s="1251"/>
      <c r="AUL141" s="1251"/>
      <c r="AUM141" s="1251"/>
      <c r="AUN141" s="1251"/>
      <c r="AUO141" s="1251"/>
      <c r="AUP141" s="1251"/>
      <c r="AUQ141" s="1251"/>
      <c r="AUR141" s="1251"/>
      <c r="AUS141" s="1251"/>
      <c r="AUT141" s="1251"/>
      <c r="AUU141" s="1251"/>
      <c r="AUV141" s="1251"/>
      <c r="AUW141" s="1251"/>
      <c r="AUX141" s="1251"/>
      <c r="AUY141" s="1251"/>
      <c r="AUZ141" s="1251"/>
      <c r="AVA141" s="1251"/>
      <c r="AVB141" s="1251"/>
      <c r="AVC141" s="1251"/>
      <c r="AVD141" s="1251"/>
      <c r="AVE141" s="1251"/>
      <c r="AVF141" s="1251"/>
      <c r="AVG141" s="1251"/>
      <c r="AVH141" s="1251"/>
      <c r="AVI141" s="1251"/>
      <c r="AVJ141" s="1251"/>
      <c r="AVK141" s="1251"/>
      <c r="AVL141" s="1251"/>
      <c r="AVM141" s="1251"/>
      <c r="AVN141" s="1251"/>
      <c r="AVO141" s="1251"/>
      <c r="AVP141" s="1251"/>
      <c r="AVQ141" s="1251"/>
      <c r="AVR141" s="1251"/>
      <c r="AVS141" s="1251"/>
      <c r="AVT141" s="1251"/>
      <c r="AVU141" s="1251"/>
      <c r="AVV141" s="1251"/>
      <c r="AVW141" s="1251"/>
      <c r="AVX141" s="1251"/>
      <c r="AVY141" s="1251"/>
      <c r="AVZ141" s="1251"/>
      <c r="AWA141" s="1251"/>
      <c r="AWB141" s="1251"/>
      <c r="AWC141" s="1251"/>
      <c r="AWD141" s="1251"/>
      <c r="AWE141" s="1251"/>
      <c r="AWF141" s="1251"/>
      <c r="AWG141" s="1251"/>
      <c r="AWH141" s="1251"/>
      <c r="AWI141" s="1251"/>
      <c r="AWJ141" s="1251"/>
      <c r="AWK141" s="1251"/>
      <c r="AWL141" s="1251"/>
      <c r="AWM141" s="1251"/>
      <c r="AWN141" s="1251"/>
      <c r="AWO141" s="1251"/>
      <c r="AWP141" s="1251"/>
      <c r="AWQ141" s="1251"/>
      <c r="AWR141" s="1251"/>
      <c r="AWS141" s="1251"/>
      <c r="AWT141" s="1251"/>
      <c r="AWU141" s="1251"/>
      <c r="AWV141" s="1251"/>
      <c r="AWW141" s="1251"/>
      <c r="AWX141" s="1251"/>
      <c r="AWY141" s="1251"/>
      <c r="AWZ141" s="1251"/>
      <c r="AXA141" s="1251"/>
      <c r="AXB141" s="1251"/>
      <c r="AXC141" s="1251"/>
      <c r="AXD141" s="1251"/>
      <c r="AXE141" s="1251"/>
      <c r="AXF141" s="1251"/>
      <c r="AXG141" s="1251"/>
      <c r="AXH141" s="1251"/>
      <c r="AXI141" s="1251"/>
      <c r="AXJ141" s="1251"/>
      <c r="AXK141" s="1251"/>
      <c r="AXL141" s="1251"/>
      <c r="AXM141" s="1251"/>
      <c r="AXN141" s="1251"/>
      <c r="AXO141" s="1251"/>
      <c r="AXP141" s="1251"/>
      <c r="AXQ141" s="1251"/>
      <c r="AXR141" s="1251"/>
      <c r="AXS141" s="1251"/>
      <c r="AXT141" s="1251"/>
      <c r="AXU141" s="1251"/>
      <c r="AXV141" s="1251"/>
      <c r="AXW141" s="1251"/>
      <c r="AXX141" s="1251"/>
      <c r="AXY141" s="1251"/>
      <c r="AXZ141" s="1251"/>
      <c r="AYA141" s="1251"/>
      <c r="AYB141" s="1251"/>
      <c r="AYC141" s="1251"/>
      <c r="AYD141" s="1251"/>
      <c r="AYE141" s="1251"/>
      <c r="AYF141" s="1251"/>
      <c r="AYG141" s="1251"/>
      <c r="AYH141" s="1251"/>
      <c r="AYI141" s="1251"/>
      <c r="AYJ141" s="1251"/>
      <c r="AYK141" s="1251"/>
      <c r="AYL141" s="1251"/>
      <c r="AYM141" s="1251"/>
      <c r="AYN141" s="1251"/>
      <c r="AYO141" s="1251"/>
      <c r="AYP141" s="1251"/>
      <c r="AYQ141" s="1251"/>
      <c r="AYR141" s="1251"/>
      <c r="AYS141" s="1251"/>
      <c r="AYT141" s="1251"/>
      <c r="AYU141" s="1251"/>
      <c r="AYV141" s="1251"/>
      <c r="AYW141" s="1251"/>
      <c r="AYX141" s="1251"/>
      <c r="AYY141" s="1251"/>
      <c r="AYZ141" s="1251"/>
      <c r="AZA141" s="1251"/>
      <c r="AZB141" s="1251"/>
      <c r="AZC141" s="1251"/>
      <c r="AZD141" s="1251"/>
      <c r="AZE141" s="1251"/>
      <c r="AZF141" s="1251"/>
      <c r="AZG141" s="1251"/>
      <c r="AZH141" s="1251"/>
      <c r="AZI141" s="1251"/>
      <c r="AZJ141" s="1251"/>
      <c r="AZK141" s="1251"/>
      <c r="AZL141" s="1251"/>
      <c r="AZM141" s="1251"/>
      <c r="AZN141" s="1251"/>
      <c r="AZO141" s="1251"/>
      <c r="AZP141" s="1251"/>
      <c r="AZQ141" s="1251"/>
      <c r="AZR141" s="1251"/>
      <c r="AZS141" s="1251"/>
      <c r="AZT141" s="1251"/>
      <c r="AZU141" s="1251"/>
      <c r="AZV141" s="1251"/>
      <c r="AZW141" s="1251"/>
      <c r="AZX141" s="1251"/>
      <c r="AZY141" s="1251"/>
      <c r="AZZ141" s="1251"/>
      <c r="BAA141" s="1251"/>
      <c r="BAB141" s="1251"/>
      <c r="BAC141" s="1251"/>
      <c r="BAD141" s="1251"/>
      <c r="BAE141" s="1251"/>
      <c r="BAF141" s="1251"/>
      <c r="BAG141" s="1251"/>
      <c r="BAH141" s="1251"/>
      <c r="BAI141" s="1251"/>
      <c r="BAJ141" s="1251"/>
      <c r="BAK141" s="1251"/>
      <c r="BAL141" s="1251"/>
      <c r="BAM141" s="1251"/>
      <c r="BAN141" s="1251"/>
      <c r="BAO141" s="1251"/>
      <c r="BAP141" s="1251"/>
      <c r="BAQ141" s="1251"/>
      <c r="BAR141" s="1251"/>
      <c r="BAS141" s="1251"/>
      <c r="BAT141" s="1251"/>
      <c r="BAU141" s="1251"/>
      <c r="BAV141" s="1251"/>
      <c r="BAW141" s="1251"/>
      <c r="BAX141" s="1251"/>
      <c r="BAY141" s="1251"/>
      <c r="BAZ141" s="1251"/>
      <c r="BBA141" s="1251"/>
      <c r="BBB141" s="1251"/>
      <c r="BBC141" s="1251"/>
      <c r="BBD141" s="1251"/>
      <c r="BBE141" s="1251"/>
      <c r="BBF141" s="1251"/>
      <c r="BBG141" s="1251"/>
      <c r="BBH141" s="1251"/>
      <c r="BBI141" s="1251"/>
      <c r="BBJ141" s="1251"/>
      <c r="BBK141" s="1251"/>
      <c r="BBL141" s="1251"/>
      <c r="BBM141" s="1251"/>
      <c r="BBN141" s="1251"/>
      <c r="BBO141" s="1251"/>
      <c r="BBP141" s="1251"/>
      <c r="BBQ141" s="1251"/>
      <c r="BBR141" s="1251"/>
      <c r="BBS141" s="1251"/>
      <c r="BBT141" s="1251"/>
      <c r="BBU141" s="1251"/>
      <c r="BBV141" s="1251"/>
      <c r="BBW141" s="1251"/>
      <c r="BBX141" s="1251"/>
      <c r="BBY141" s="1251"/>
      <c r="BBZ141" s="1251"/>
      <c r="BCA141" s="1251"/>
      <c r="BCB141" s="1251"/>
      <c r="BCC141" s="1251"/>
      <c r="BCD141" s="1251"/>
      <c r="BCE141" s="1251"/>
      <c r="BCF141" s="1251"/>
      <c r="BCG141" s="1251"/>
      <c r="BCH141" s="1251"/>
      <c r="BCI141" s="1251"/>
      <c r="BCJ141" s="1251"/>
      <c r="BCK141" s="1251"/>
      <c r="BCL141" s="1251"/>
      <c r="BCM141" s="1251"/>
      <c r="BCN141" s="1251"/>
      <c r="BCO141" s="1251"/>
      <c r="BCP141" s="1251"/>
      <c r="BCQ141" s="1251"/>
      <c r="BCR141" s="1251"/>
      <c r="BCS141" s="1251"/>
      <c r="BCT141" s="1251"/>
      <c r="BCU141" s="1251"/>
      <c r="BCV141" s="1251"/>
      <c r="BCW141" s="1251"/>
      <c r="BCX141" s="1251"/>
      <c r="BCY141" s="1251"/>
      <c r="BCZ141" s="1251"/>
      <c r="BDA141" s="1251"/>
      <c r="BDB141" s="1251"/>
      <c r="BDC141" s="1251"/>
      <c r="BDD141" s="1251"/>
      <c r="BDE141" s="1251"/>
      <c r="BDF141" s="1251"/>
      <c r="BDG141" s="1251"/>
      <c r="BDH141" s="1251"/>
      <c r="BDI141" s="1251"/>
      <c r="BDJ141" s="1251"/>
      <c r="BDK141" s="1251"/>
      <c r="BDL141" s="1251"/>
      <c r="BDM141" s="1251"/>
      <c r="BDN141" s="1251"/>
      <c r="BDO141" s="1251"/>
      <c r="BDP141" s="1251"/>
      <c r="BDQ141" s="1251"/>
      <c r="BDR141" s="1251"/>
      <c r="BDS141" s="1251"/>
      <c r="BDT141" s="1251"/>
      <c r="BDU141" s="1251"/>
      <c r="BDV141" s="1251"/>
      <c r="BDW141" s="1251"/>
      <c r="BDX141" s="1251"/>
      <c r="BDY141" s="1251"/>
      <c r="BDZ141" s="1251"/>
      <c r="BEA141" s="1251"/>
      <c r="BEB141" s="1251"/>
      <c r="BEC141" s="1251"/>
      <c r="BED141" s="1251"/>
      <c r="BEE141" s="1251"/>
      <c r="BEF141" s="1251"/>
      <c r="BEG141" s="1251"/>
      <c r="BEH141" s="1251"/>
      <c r="BEI141" s="1251"/>
      <c r="BEJ141" s="1251"/>
      <c r="BEK141" s="1251"/>
      <c r="BEL141" s="1251"/>
      <c r="BEM141" s="1251"/>
      <c r="BEN141" s="1251"/>
      <c r="BEO141" s="1251"/>
      <c r="BEP141" s="1251"/>
      <c r="BEQ141" s="1251"/>
      <c r="BER141" s="1251"/>
      <c r="BES141" s="1251"/>
      <c r="BET141" s="1251"/>
      <c r="BEU141" s="1251"/>
      <c r="BEV141" s="1251"/>
      <c r="BEW141" s="1251"/>
      <c r="BEX141" s="1251"/>
      <c r="BEY141" s="1251"/>
      <c r="BEZ141" s="1251"/>
      <c r="BFA141" s="1251"/>
      <c r="BFB141" s="1251"/>
      <c r="BFC141" s="1251"/>
      <c r="BFD141" s="1251"/>
      <c r="BFE141" s="1251"/>
      <c r="BFF141" s="1251"/>
      <c r="BFG141" s="1251"/>
      <c r="BFH141" s="1251"/>
      <c r="BFI141" s="1251"/>
      <c r="BFJ141" s="1251"/>
      <c r="BFK141" s="1251"/>
      <c r="BFL141" s="1251"/>
      <c r="BFM141" s="1251"/>
      <c r="BFN141" s="1251"/>
      <c r="BFO141" s="1251"/>
      <c r="BFP141" s="1251"/>
      <c r="BFQ141" s="1251"/>
      <c r="BFR141" s="1251"/>
      <c r="BFS141" s="1251"/>
      <c r="BFT141" s="1251"/>
      <c r="BFU141" s="1251"/>
      <c r="BFV141" s="1251"/>
      <c r="BFW141" s="1251"/>
      <c r="BFX141" s="1251"/>
      <c r="BFY141" s="1251"/>
      <c r="BFZ141" s="1251"/>
      <c r="BGA141" s="1251"/>
      <c r="BGB141" s="1251"/>
      <c r="BGC141" s="1251"/>
      <c r="BGD141" s="1251"/>
      <c r="BGE141" s="1251"/>
      <c r="BGF141" s="1251"/>
      <c r="BGG141" s="1251"/>
      <c r="BGH141" s="1251"/>
      <c r="BGI141" s="1251"/>
      <c r="BGJ141" s="1251"/>
      <c r="BGK141" s="1251"/>
      <c r="BGL141" s="1251"/>
      <c r="BGM141" s="1251"/>
      <c r="BGN141" s="1251"/>
      <c r="BGO141" s="1251"/>
      <c r="BGP141" s="1251"/>
      <c r="BGQ141" s="1251"/>
      <c r="BGR141" s="1251"/>
      <c r="BGS141" s="1251"/>
      <c r="BGT141" s="1251"/>
      <c r="BGU141" s="1251"/>
      <c r="BGV141" s="1251"/>
      <c r="BGW141" s="1251"/>
      <c r="BGX141" s="1251"/>
      <c r="BGY141" s="1251"/>
      <c r="BGZ141" s="1251"/>
      <c r="BHA141" s="1251"/>
      <c r="BHB141" s="1251"/>
      <c r="BHC141" s="1251"/>
      <c r="BHD141" s="1251"/>
      <c r="BHE141" s="1251"/>
      <c r="BHF141" s="1251"/>
      <c r="BHG141" s="1251"/>
      <c r="BHH141" s="1251"/>
      <c r="BHI141" s="1251"/>
      <c r="BHJ141" s="1251"/>
      <c r="BHK141" s="1251"/>
      <c r="BHL141" s="1251"/>
      <c r="BHM141" s="1251"/>
      <c r="BHN141" s="1251"/>
      <c r="BHO141" s="1251"/>
      <c r="BHP141" s="1251"/>
      <c r="BHQ141" s="1251"/>
      <c r="BHR141" s="1251"/>
      <c r="BHS141" s="1251"/>
      <c r="BHT141" s="1251"/>
      <c r="BHU141" s="1251"/>
      <c r="BHV141" s="1251"/>
      <c r="BHW141" s="1251"/>
      <c r="BHX141" s="1251"/>
      <c r="BHY141" s="1251"/>
      <c r="BHZ141" s="1251"/>
      <c r="BIA141" s="1251"/>
      <c r="BIB141" s="1251"/>
      <c r="BIC141" s="1251"/>
      <c r="BID141" s="1251"/>
      <c r="BIE141" s="1251"/>
      <c r="BIF141" s="1251"/>
      <c r="BIG141" s="1251"/>
      <c r="BIH141" s="1251"/>
      <c r="BII141" s="1251"/>
      <c r="BIJ141" s="1251"/>
      <c r="BIK141" s="1251"/>
      <c r="BIL141" s="1251"/>
      <c r="BIM141" s="1251"/>
      <c r="BIN141" s="1251"/>
      <c r="BIO141" s="1251"/>
      <c r="BIP141" s="1251"/>
      <c r="BIQ141" s="1251"/>
      <c r="BIR141" s="1251"/>
      <c r="BIS141" s="1251"/>
      <c r="BIT141" s="1251"/>
      <c r="BIU141" s="1251"/>
      <c r="BIV141" s="1251"/>
      <c r="BIW141" s="1251"/>
      <c r="BIX141" s="1251"/>
      <c r="BIY141" s="1251"/>
      <c r="BIZ141" s="1251"/>
      <c r="BJA141" s="1251"/>
      <c r="BJB141" s="1251"/>
      <c r="BJC141" s="1251"/>
      <c r="BJD141" s="1251"/>
      <c r="BJE141" s="1251"/>
      <c r="BJF141" s="1251"/>
      <c r="BJG141" s="1251"/>
      <c r="BJH141" s="1251"/>
      <c r="BJI141" s="1251"/>
      <c r="BJJ141" s="1251"/>
      <c r="BJK141" s="1251"/>
      <c r="BJL141" s="1251"/>
      <c r="BJM141" s="1251"/>
      <c r="BJN141" s="1251"/>
      <c r="BJO141" s="1251"/>
      <c r="BJP141" s="1251"/>
      <c r="BJQ141" s="1251"/>
      <c r="BJR141" s="1251"/>
      <c r="BJS141" s="1251"/>
      <c r="BJT141" s="1251"/>
      <c r="BJU141" s="1251"/>
      <c r="BJV141" s="1251"/>
      <c r="BJW141" s="1251"/>
      <c r="BJX141" s="1251"/>
      <c r="BJY141" s="1251"/>
      <c r="BJZ141" s="1251"/>
      <c r="BKA141" s="1251"/>
      <c r="BKB141" s="1251"/>
      <c r="BKC141" s="1251"/>
      <c r="BKD141" s="1251"/>
      <c r="BKE141" s="1251"/>
      <c r="BKF141" s="1251"/>
      <c r="BKG141" s="1251"/>
      <c r="BKH141" s="1251"/>
      <c r="BKI141" s="1251"/>
      <c r="BKJ141" s="1251"/>
      <c r="BKK141" s="1251"/>
      <c r="BKL141" s="1251"/>
      <c r="BKM141" s="1251"/>
      <c r="BKN141" s="1251"/>
      <c r="BKO141" s="1251"/>
      <c r="BKP141" s="1251"/>
      <c r="BKQ141" s="1251"/>
      <c r="BKR141" s="1251"/>
      <c r="BKS141" s="1251"/>
      <c r="BKT141" s="1251"/>
      <c r="BKU141" s="1251"/>
      <c r="BKV141" s="1251"/>
      <c r="BKW141" s="1251"/>
      <c r="BKX141" s="1251"/>
      <c r="BKY141" s="1251"/>
      <c r="BKZ141" s="1251"/>
      <c r="BLA141" s="1251"/>
      <c r="BLB141" s="1251"/>
      <c r="BLC141" s="1251"/>
      <c r="BLD141" s="1251"/>
      <c r="BLE141" s="1251"/>
      <c r="BLF141" s="1251"/>
      <c r="BLG141" s="1251"/>
      <c r="BLH141" s="1251"/>
      <c r="BLI141" s="1251"/>
      <c r="BLJ141" s="1251"/>
      <c r="BLK141" s="1251"/>
      <c r="BLL141" s="1251"/>
      <c r="BLM141" s="1251"/>
      <c r="BLN141" s="1251"/>
      <c r="BLO141" s="1251"/>
      <c r="BLP141" s="1251"/>
      <c r="BLQ141" s="1251"/>
      <c r="BLR141" s="1251"/>
      <c r="BLS141" s="1251"/>
      <c r="BLT141" s="1251"/>
      <c r="BLU141" s="1251"/>
      <c r="BLV141" s="1251"/>
      <c r="BLW141" s="1251"/>
      <c r="BLX141" s="1251"/>
      <c r="BLY141" s="1251"/>
      <c r="BLZ141" s="1251"/>
      <c r="BMA141" s="1251"/>
      <c r="BMB141" s="1251"/>
      <c r="BMC141" s="1251"/>
      <c r="BMD141" s="1251"/>
      <c r="BME141" s="1251"/>
      <c r="BMF141" s="1251"/>
      <c r="BMG141" s="1251"/>
      <c r="BMH141" s="1251"/>
      <c r="BMI141" s="1251"/>
      <c r="BMJ141" s="1251"/>
      <c r="BMK141" s="1251"/>
      <c r="BML141" s="1251"/>
      <c r="BMM141" s="1251"/>
      <c r="BMN141" s="1251"/>
      <c r="BMO141" s="1251"/>
      <c r="BMP141" s="1251"/>
      <c r="BMQ141" s="1251"/>
      <c r="BMR141" s="1251"/>
      <c r="BMS141" s="1251"/>
      <c r="BMT141" s="1251"/>
      <c r="BMU141" s="1251"/>
      <c r="BMV141" s="1251"/>
      <c r="BMW141" s="1251"/>
      <c r="BMX141" s="1251"/>
      <c r="BMY141" s="1251"/>
      <c r="BMZ141" s="1251"/>
      <c r="BNA141" s="1251"/>
      <c r="BNB141" s="1251"/>
      <c r="BNC141" s="1251"/>
      <c r="BND141" s="1251"/>
      <c r="BNE141" s="1251"/>
      <c r="BNF141" s="1251"/>
      <c r="BNG141" s="1251"/>
      <c r="BNH141" s="1251"/>
      <c r="BNI141" s="1251"/>
      <c r="BNJ141" s="1251"/>
      <c r="BNK141" s="1251"/>
      <c r="BNL141" s="1251"/>
      <c r="BNM141" s="1251"/>
      <c r="BNN141" s="1251"/>
      <c r="BNO141" s="1251"/>
      <c r="BNP141" s="1251"/>
      <c r="BNQ141" s="1251"/>
      <c r="BNR141" s="1251"/>
      <c r="BNS141" s="1251"/>
      <c r="BNT141" s="1251"/>
      <c r="BNU141" s="1251"/>
      <c r="BNV141" s="1251"/>
      <c r="BNW141" s="1251"/>
      <c r="BNX141" s="1251"/>
      <c r="BNY141" s="1251"/>
      <c r="BNZ141" s="1251"/>
      <c r="BOA141" s="1251"/>
      <c r="BOB141" s="1251"/>
      <c r="BOC141" s="1251"/>
      <c r="BOD141" s="1251"/>
      <c r="BOE141" s="1251"/>
      <c r="BOF141" s="1251"/>
      <c r="BOG141" s="1251"/>
      <c r="BOH141" s="1251"/>
      <c r="BOI141" s="1251"/>
      <c r="BOJ141" s="1251"/>
      <c r="BOK141" s="1251"/>
      <c r="BOL141" s="1251"/>
      <c r="BOM141" s="1251"/>
      <c r="BON141" s="1251"/>
      <c r="BOO141" s="1251"/>
      <c r="BOP141" s="1251"/>
      <c r="BOQ141" s="1251"/>
      <c r="BOR141" s="1251"/>
      <c r="BOS141" s="1251"/>
      <c r="BOT141" s="1251"/>
      <c r="BOU141" s="1251"/>
      <c r="BOV141" s="1251"/>
      <c r="BOW141" s="1251"/>
      <c r="BOX141" s="1251"/>
      <c r="BOY141" s="1251"/>
      <c r="BOZ141" s="1251"/>
      <c r="BPA141" s="1251"/>
      <c r="BPB141" s="1251"/>
      <c r="BPC141" s="1251"/>
      <c r="BPD141" s="1251"/>
      <c r="BPE141" s="1251"/>
      <c r="BPF141" s="1251"/>
      <c r="BPG141" s="1251"/>
      <c r="BPH141" s="1251"/>
      <c r="BPI141" s="1251"/>
      <c r="BPJ141" s="1251"/>
      <c r="BPK141" s="1251"/>
      <c r="BPL141" s="1251"/>
      <c r="BPM141" s="1251"/>
      <c r="BPN141" s="1251"/>
      <c r="BPO141" s="1251"/>
      <c r="BPP141" s="1251"/>
      <c r="BPQ141" s="1251"/>
      <c r="BPR141" s="1251"/>
      <c r="BPS141" s="1251"/>
      <c r="BPT141" s="1251"/>
      <c r="BPU141" s="1251"/>
      <c r="BPV141" s="1251"/>
      <c r="BPW141" s="1251"/>
      <c r="BPX141" s="1251"/>
      <c r="BPY141" s="1251"/>
      <c r="BPZ141" s="1251"/>
      <c r="BQA141" s="1251"/>
      <c r="BQB141" s="1251"/>
      <c r="BQC141" s="1251"/>
      <c r="BQD141" s="1251"/>
      <c r="BQE141" s="1251"/>
      <c r="BQF141" s="1251"/>
      <c r="BQG141" s="1251"/>
      <c r="BQH141" s="1251"/>
      <c r="BQI141" s="1251"/>
      <c r="BQJ141" s="1251"/>
      <c r="BQK141" s="1251"/>
      <c r="BQL141" s="1251"/>
      <c r="BQM141" s="1251"/>
      <c r="BQN141" s="1251"/>
      <c r="BQO141" s="1251"/>
      <c r="BQP141" s="1251"/>
      <c r="BQQ141" s="1251"/>
      <c r="BQR141" s="1251"/>
      <c r="BQS141" s="1251"/>
      <c r="BQT141" s="1251"/>
      <c r="BQU141" s="1251"/>
      <c r="BQV141" s="1251"/>
      <c r="BQW141" s="1251"/>
      <c r="BQX141" s="1251"/>
      <c r="BQY141" s="1251"/>
      <c r="BQZ141" s="1251"/>
      <c r="BRA141" s="1251"/>
      <c r="BRB141" s="1251"/>
      <c r="BRC141" s="1251"/>
      <c r="BRD141" s="1251"/>
      <c r="BRE141" s="1251"/>
      <c r="BRF141" s="1251"/>
      <c r="BRG141" s="1251"/>
      <c r="BRH141" s="1251"/>
      <c r="BRI141" s="1251"/>
      <c r="BRJ141" s="1251"/>
      <c r="BRK141" s="1251"/>
      <c r="BRL141" s="1251"/>
      <c r="BRM141" s="1251"/>
      <c r="BRN141" s="1251"/>
      <c r="BRO141" s="1251"/>
      <c r="BRP141" s="1251"/>
      <c r="BRQ141" s="1251"/>
      <c r="BRR141" s="1251"/>
      <c r="BRS141" s="1251"/>
      <c r="BRT141" s="1251"/>
      <c r="BRU141" s="1251"/>
      <c r="BRV141" s="1251"/>
      <c r="BRW141" s="1251"/>
      <c r="BRX141" s="1251"/>
      <c r="BRY141" s="1251"/>
      <c r="BRZ141" s="1251"/>
      <c r="BSA141" s="1251"/>
      <c r="BSB141" s="1251"/>
      <c r="BSC141" s="1251"/>
      <c r="BSD141" s="1251"/>
      <c r="BSE141" s="1251"/>
      <c r="BSF141" s="1251"/>
      <c r="BSG141" s="1251"/>
      <c r="BSH141" s="1251"/>
      <c r="BSI141" s="1251"/>
      <c r="BSJ141" s="1251"/>
      <c r="BSK141" s="1251"/>
      <c r="BSL141" s="1251"/>
      <c r="BSM141" s="1251"/>
      <c r="BSN141" s="1251"/>
      <c r="BSO141" s="1251"/>
      <c r="BSP141" s="1251"/>
      <c r="BSQ141" s="1251"/>
      <c r="BSR141" s="1251"/>
      <c r="BSS141" s="1251"/>
      <c r="BST141" s="1251"/>
      <c r="BSU141" s="1251"/>
      <c r="BSV141" s="1251"/>
      <c r="BSW141" s="1251"/>
      <c r="BSX141" s="1251"/>
      <c r="BSY141" s="1251"/>
      <c r="BSZ141" s="1251"/>
      <c r="BTA141" s="1251"/>
      <c r="BTB141" s="1251"/>
      <c r="BTC141" s="1251"/>
      <c r="BTD141" s="1251"/>
      <c r="BTE141" s="1251"/>
      <c r="BTF141" s="1251"/>
      <c r="BTG141" s="1251"/>
      <c r="BTH141" s="1251"/>
      <c r="BTI141" s="1251"/>
    </row>
    <row r="142" spans="1:1881" s="1261" customFormat="1" ht="130.5" hidden="1" customHeight="1" x14ac:dyDescent="0.3">
      <c r="A142" s="1265">
        <v>635</v>
      </c>
      <c r="B142" s="1282" t="s">
        <v>652</v>
      </c>
      <c r="C142" s="308" t="s">
        <v>656</v>
      </c>
      <c r="D142" s="1281" t="s">
        <v>1470</v>
      </c>
      <c r="E142" s="1249" t="e">
        <f>HLOOKUP($D$2,'2020 Data(H)'!$C$1:$CZ$426,294,FALSE)</f>
        <v>#N/A</v>
      </c>
      <c r="F142" s="1263">
        <v>0</v>
      </c>
      <c r="G142" s="742">
        <f>IF(F142&gt;F140,"Please review account numbers 635&gt;633",)</f>
        <v>0</v>
      </c>
      <c r="H142" s="732"/>
      <c r="I142" s="732"/>
      <c r="J142" s="1251"/>
      <c r="K142" s="1251"/>
      <c r="L142" s="1251"/>
      <c r="M142" s="1251"/>
      <c r="N142" s="1253"/>
      <c r="O142" s="1251"/>
      <c r="P142" s="1251"/>
      <c r="Q142" s="1251"/>
      <c r="R142" s="1251"/>
      <c r="S142" s="1251"/>
      <c r="T142" s="1251"/>
      <c r="U142" s="1251"/>
      <c r="V142" s="1251"/>
      <c r="W142" s="1251"/>
      <c r="X142" s="1251"/>
      <c r="Y142" s="1251"/>
      <c r="Z142" s="1265"/>
      <c r="AA142" s="1265"/>
      <c r="AB142" s="1265"/>
      <c r="AC142" s="1265"/>
      <c r="AD142" s="1265"/>
      <c r="AE142" s="1265"/>
      <c r="AF142" s="1265"/>
      <c r="AG142" s="1265"/>
      <c r="AH142" s="1265"/>
      <c r="AI142" s="1265"/>
      <c r="AJ142" s="1265"/>
      <c r="AK142" s="1265"/>
      <c r="AL142" s="1265"/>
      <c r="AM142" s="1265"/>
      <c r="AN142" s="1265"/>
      <c r="AO142" s="1265"/>
      <c r="AP142" s="1265"/>
      <c r="AQ142" s="1265"/>
      <c r="AR142" s="1265"/>
      <c r="AS142" s="1251"/>
      <c r="AT142" s="1251"/>
      <c r="AU142" s="1251"/>
      <c r="AV142" s="1251"/>
      <c r="AW142" s="1251"/>
      <c r="AX142" s="1251"/>
      <c r="AY142" s="1251"/>
      <c r="AZ142" s="1251"/>
      <c r="BA142" s="1251"/>
      <c r="BB142" s="1251"/>
      <c r="BC142" s="1251"/>
      <c r="BD142" s="1251"/>
      <c r="BE142" s="1251"/>
      <c r="BF142" s="1251"/>
      <c r="BG142" s="1251"/>
      <c r="BH142" s="1251"/>
      <c r="BI142" s="1251"/>
      <c r="BJ142" s="1251"/>
      <c r="BK142" s="1251"/>
      <c r="BL142" s="1251"/>
      <c r="BM142" s="1251"/>
      <c r="BN142" s="1251"/>
      <c r="BO142" s="1251"/>
      <c r="BP142" s="1251"/>
      <c r="BQ142" s="1251"/>
      <c r="BR142" s="1251"/>
      <c r="BS142" s="1251"/>
      <c r="BT142" s="1251"/>
      <c r="BU142" s="1251"/>
      <c r="BV142" s="1251"/>
      <c r="BW142" s="1251"/>
      <c r="BX142" s="1251"/>
      <c r="BY142" s="1251"/>
      <c r="BZ142" s="1251"/>
      <c r="CA142" s="1251"/>
      <c r="CB142" s="1251"/>
      <c r="CC142" s="1251"/>
      <c r="CD142" s="1251"/>
      <c r="CE142" s="1251"/>
      <c r="CF142" s="1251"/>
      <c r="CG142" s="1251"/>
      <c r="CH142" s="1251"/>
      <c r="CI142" s="1251"/>
      <c r="CJ142" s="1251"/>
      <c r="CK142" s="1251"/>
      <c r="CL142" s="1251"/>
      <c r="CM142" s="1251"/>
      <c r="CN142" s="1251"/>
      <c r="CO142" s="1251"/>
      <c r="CP142" s="1251"/>
      <c r="CQ142" s="1251"/>
      <c r="CR142" s="1251"/>
      <c r="CS142" s="1251"/>
      <c r="CT142" s="1251"/>
      <c r="CU142" s="1251"/>
      <c r="CV142" s="1251"/>
      <c r="CW142" s="1251"/>
      <c r="CX142" s="1251"/>
      <c r="CY142" s="1251"/>
      <c r="CZ142" s="1251"/>
      <c r="DA142" s="1251"/>
      <c r="DB142" s="1251"/>
      <c r="DC142" s="1251"/>
      <c r="DD142" s="1251"/>
      <c r="DE142" s="1251"/>
      <c r="DF142" s="1251"/>
      <c r="DG142" s="1251"/>
      <c r="DH142" s="1251"/>
      <c r="DI142" s="1251"/>
      <c r="DJ142" s="1251"/>
      <c r="DK142" s="1251"/>
      <c r="DL142" s="1251"/>
      <c r="DM142" s="1251"/>
      <c r="DN142" s="1251"/>
      <c r="DO142" s="1251"/>
      <c r="DP142" s="1251"/>
      <c r="DQ142" s="1251"/>
      <c r="DR142" s="1251"/>
      <c r="DS142" s="1251"/>
      <c r="DT142" s="1251"/>
      <c r="DU142" s="1251"/>
      <c r="DV142" s="1251"/>
      <c r="DW142" s="1251"/>
      <c r="DX142" s="1251"/>
      <c r="DY142" s="1251"/>
      <c r="DZ142" s="1251"/>
      <c r="EA142" s="1251"/>
      <c r="EB142" s="1251"/>
      <c r="EC142" s="1251"/>
      <c r="ED142" s="1251"/>
      <c r="EE142" s="1251"/>
      <c r="EF142" s="1251"/>
      <c r="EG142" s="1251"/>
      <c r="EH142" s="1251"/>
      <c r="EI142" s="1251"/>
      <c r="EJ142" s="1251"/>
      <c r="EK142" s="1251"/>
      <c r="EL142" s="1251"/>
      <c r="EM142" s="1251"/>
      <c r="EN142" s="1251"/>
      <c r="EO142" s="1251"/>
      <c r="EP142" s="1251"/>
      <c r="EQ142" s="1251"/>
      <c r="ER142" s="1251"/>
      <c r="ES142" s="1251"/>
      <c r="ET142" s="1251"/>
      <c r="EU142" s="1251"/>
      <c r="EV142" s="1251"/>
      <c r="EW142" s="1251"/>
      <c r="EX142" s="1251"/>
      <c r="EY142" s="1251"/>
      <c r="EZ142" s="1251"/>
      <c r="FA142" s="1251"/>
      <c r="FB142" s="1251"/>
      <c r="FC142" s="1251"/>
      <c r="FD142" s="1251"/>
      <c r="FE142" s="1251"/>
      <c r="FF142" s="1251"/>
      <c r="FG142" s="1251"/>
      <c r="FH142" s="1251"/>
      <c r="FI142" s="1251"/>
      <c r="FJ142" s="1251"/>
      <c r="FK142" s="1251"/>
      <c r="FL142" s="1251"/>
      <c r="FM142" s="1251"/>
      <c r="FN142" s="1251"/>
      <c r="FO142" s="1251"/>
      <c r="FP142" s="1251"/>
      <c r="FQ142" s="1251"/>
      <c r="FR142" s="1251"/>
      <c r="FS142" s="1251"/>
      <c r="FT142" s="1251"/>
      <c r="FU142" s="1251"/>
      <c r="FV142" s="1251"/>
      <c r="FW142" s="1251"/>
      <c r="FX142" s="1251"/>
      <c r="FY142" s="1251"/>
      <c r="FZ142" s="1251"/>
      <c r="GA142" s="1251"/>
      <c r="GB142" s="1251"/>
      <c r="GC142" s="1251"/>
      <c r="GD142" s="1251"/>
      <c r="GE142" s="1251"/>
      <c r="GF142" s="1251"/>
      <c r="GG142" s="1251"/>
      <c r="GH142" s="1251"/>
      <c r="GI142" s="1251"/>
      <c r="GJ142" s="1251"/>
      <c r="GK142" s="1251"/>
      <c r="GL142" s="1251"/>
      <c r="GM142" s="1251"/>
      <c r="GN142" s="1251"/>
      <c r="GO142" s="1251"/>
      <c r="GP142" s="1251"/>
      <c r="GQ142" s="1251"/>
      <c r="GR142" s="1251"/>
      <c r="GS142" s="1251"/>
      <c r="GT142" s="1251"/>
      <c r="GU142" s="1251"/>
      <c r="GV142" s="1251"/>
      <c r="GW142" s="1251"/>
      <c r="GX142" s="1251"/>
      <c r="GY142" s="1251"/>
      <c r="GZ142" s="1251"/>
      <c r="HA142" s="1251"/>
      <c r="HB142" s="1251"/>
      <c r="HC142" s="1251"/>
      <c r="HD142" s="1251"/>
      <c r="HE142" s="1251"/>
      <c r="HF142" s="1251"/>
      <c r="HG142" s="1251"/>
      <c r="HH142" s="1251"/>
      <c r="HI142" s="1251"/>
      <c r="HJ142" s="1251"/>
      <c r="HK142" s="1251"/>
      <c r="HL142" s="1251"/>
      <c r="HM142" s="1251"/>
      <c r="HN142" s="1251"/>
      <c r="HO142" s="1251"/>
      <c r="HP142" s="1251"/>
      <c r="HQ142" s="1251"/>
      <c r="HR142" s="1251"/>
      <c r="HS142" s="1251"/>
      <c r="HT142" s="1251"/>
      <c r="HU142" s="1251"/>
      <c r="HV142" s="1251"/>
      <c r="HW142" s="1251"/>
      <c r="HX142" s="1251"/>
      <c r="HY142" s="1251"/>
      <c r="HZ142" s="1251"/>
      <c r="IA142" s="1251"/>
      <c r="IB142" s="1251"/>
      <c r="IC142" s="1251"/>
      <c r="ID142" s="1251"/>
      <c r="IE142" s="1251"/>
      <c r="IF142" s="1251"/>
      <c r="IG142" s="1251"/>
      <c r="IH142" s="1251"/>
      <c r="II142" s="1251"/>
      <c r="IJ142" s="1251"/>
      <c r="IK142" s="1251"/>
      <c r="IL142" s="1251"/>
      <c r="IM142" s="1251"/>
      <c r="IN142" s="1251"/>
      <c r="IO142" s="1251"/>
      <c r="IP142" s="1251"/>
      <c r="IQ142" s="1251"/>
      <c r="IR142" s="1251"/>
      <c r="IS142" s="1251"/>
      <c r="IT142" s="1251"/>
      <c r="IU142" s="1251"/>
      <c r="IV142" s="1251"/>
      <c r="IW142" s="1251"/>
      <c r="IX142" s="1251"/>
      <c r="IY142" s="1251"/>
      <c r="IZ142" s="1251"/>
      <c r="JA142" s="1251"/>
      <c r="JB142" s="1251"/>
      <c r="JC142" s="1251"/>
      <c r="JD142" s="1251"/>
      <c r="JE142" s="1251"/>
      <c r="JF142" s="1251"/>
      <c r="JG142" s="1251"/>
      <c r="JH142" s="1251"/>
      <c r="JI142" s="1251"/>
      <c r="JJ142" s="1251"/>
      <c r="JK142" s="1251"/>
      <c r="JL142" s="1251"/>
      <c r="JM142" s="1251"/>
      <c r="JN142" s="1251"/>
      <c r="JO142" s="1251"/>
      <c r="JP142" s="1251"/>
      <c r="JQ142" s="1251"/>
      <c r="JR142" s="1251"/>
      <c r="JS142" s="1251"/>
      <c r="JT142" s="1251"/>
      <c r="JU142" s="1251"/>
      <c r="JV142" s="1251"/>
      <c r="JW142" s="1251"/>
      <c r="JX142" s="1251"/>
      <c r="JY142" s="1251"/>
      <c r="JZ142" s="1251"/>
      <c r="KA142" s="1251"/>
      <c r="KB142" s="1251"/>
      <c r="KC142" s="1251"/>
      <c r="KD142" s="1251"/>
      <c r="KE142" s="1251"/>
      <c r="KF142" s="1251"/>
      <c r="KG142" s="1251"/>
      <c r="KH142" s="1251"/>
      <c r="KI142" s="1251"/>
      <c r="KJ142" s="1251"/>
      <c r="KK142" s="1251"/>
      <c r="KL142" s="1251"/>
      <c r="KM142" s="1251"/>
      <c r="KN142" s="1251"/>
      <c r="KO142" s="1251"/>
      <c r="KP142" s="1251"/>
      <c r="KQ142" s="1251"/>
      <c r="KR142" s="1251"/>
      <c r="KS142" s="1251"/>
      <c r="KT142" s="1251"/>
      <c r="KU142" s="1251"/>
      <c r="KV142" s="1251"/>
      <c r="KW142" s="1251"/>
      <c r="KX142" s="1251"/>
      <c r="KY142" s="1251"/>
      <c r="KZ142" s="1251"/>
      <c r="LA142" s="1251"/>
      <c r="LB142" s="1251"/>
      <c r="LC142" s="1251"/>
      <c r="LD142" s="1251"/>
      <c r="LE142" s="1251"/>
      <c r="LF142" s="1251"/>
      <c r="LG142" s="1251"/>
      <c r="LH142" s="1251"/>
      <c r="LI142" s="1251"/>
      <c r="LJ142" s="1251"/>
      <c r="LK142" s="1251"/>
      <c r="LL142" s="1251"/>
      <c r="LM142" s="1251"/>
      <c r="LN142" s="1251"/>
      <c r="LO142" s="1251"/>
      <c r="LP142" s="1251"/>
      <c r="LQ142" s="1251"/>
      <c r="LR142" s="1251"/>
      <c r="LS142" s="1251"/>
      <c r="LT142" s="1251"/>
      <c r="LU142" s="1251"/>
      <c r="LV142" s="1251"/>
      <c r="LW142" s="1251"/>
      <c r="LX142" s="1251"/>
      <c r="LY142" s="1251"/>
      <c r="LZ142" s="1251"/>
      <c r="MA142" s="1251"/>
      <c r="MB142" s="1251"/>
      <c r="MC142" s="1251"/>
      <c r="MD142" s="1251"/>
      <c r="ME142" s="1251"/>
      <c r="MF142" s="1251"/>
      <c r="MG142" s="1251"/>
      <c r="MH142" s="1251"/>
      <c r="MI142" s="1251"/>
      <c r="MJ142" s="1251"/>
      <c r="MK142" s="1251"/>
      <c r="ML142" s="1251"/>
      <c r="MM142" s="1251"/>
      <c r="MN142" s="1251"/>
      <c r="MO142" s="1251"/>
      <c r="MP142" s="1251"/>
      <c r="MQ142" s="1251"/>
      <c r="MR142" s="1251"/>
      <c r="MS142" s="1251"/>
      <c r="MT142" s="1251"/>
      <c r="MU142" s="1251"/>
      <c r="MV142" s="1251"/>
      <c r="MW142" s="1251"/>
      <c r="MX142" s="1251"/>
      <c r="MY142" s="1251"/>
      <c r="MZ142" s="1251"/>
      <c r="NA142" s="1251"/>
      <c r="NB142" s="1251"/>
      <c r="NC142" s="1251"/>
      <c r="ND142" s="1251"/>
      <c r="NE142" s="1251"/>
      <c r="NF142" s="1251"/>
      <c r="NG142" s="1251"/>
      <c r="NH142" s="1251"/>
      <c r="NI142" s="1251"/>
      <c r="NJ142" s="1251"/>
      <c r="NK142" s="1251"/>
      <c r="NL142" s="1251"/>
      <c r="NM142" s="1251"/>
      <c r="NN142" s="1251"/>
      <c r="NO142" s="1251"/>
      <c r="NP142" s="1251"/>
      <c r="NQ142" s="1251"/>
      <c r="NR142" s="1251"/>
      <c r="NS142" s="1251"/>
      <c r="NT142" s="1251"/>
      <c r="NU142" s="1251"/>
      <c r="NV142" s="1251"/>
      <c r="NW142" s="1251"/>
      <c r="NX142" s="1251"/>
      <c r="NY142" s="1251"/>
      <c r="NZ142" s="1251"/>
      <c r="OA142" s="1251"/>
      <c r="OB142" s="1251"/>
      <c r="OC142" s="1251"/>
      <c r="OD142" s="1251"/>
      <c r="OE142" s="1251"/>
      <c r="OF142" s="1251"/>
      <c r="OG142" s="1251"/>
      <c r="OH142" s="1251"/>
      <c r="OI142" s="1251"/>
      <c r="OJ142" s="1251"/>
      <c r="OK142" s="1251"/>
      <c r="OL142" s="1251"/>
      <c r="OM142" s="1251"/>
      <c r="ON142" s="1251"/>
      <c r="OO142" s="1251"/>
      <c r="OP142" s="1251"/>
      <c r="OQ142" s="1251"/>
      <c r="OR142" s="1251"/>
      <c r="OS142" s="1251"/>
      <c r="OT142" s="1251"/>
      <c r="OU142" s="1251"/>
      <c r="OV142" s="1251"/>
      <c r="OW142" s="1251"/>
      <c r="OX142" s="1251"/>
      <c r="OY142" s="1251"/>
      <c r="OZ142" s="1251"/>
      <c r="PA142" s="1251"/>
      <c r="PB142" s="1251"/>
      <c r="PC142" s="1251"/>
      <c r="PD142" s="1251"/>
      <c r="PE142" s="1251"/>
      <c r="PF142" s="1251"/>
      <c r="PG142" s="1251"/>
      <c r="PH142" s="1251"/>
      <c r="PI142" s="1251"/>
      <c r="PJ142" s="1251"/>
      <c r="PK142" s="1251"/>
      <c r="PL142" s="1251"/>
      <c r="PM142" s="1251"/>
      <c r="PN142" s="1251"/>
      <c r="PO142" s="1251"/>
      <c r="PP142" s="1251"/>
      <c r="PQ142" s="1251"/>
      <c r="PR142" s="1251"/>
      <c r="PS142" s="1251"/>
      <c r="PT142" s="1251"/>
      <c r="PU142" s="1251"/>
      <c r="PV142" s="1251"/>
      <c r="PW142" s="1251"/>
      <c r="PX142" s="1251"/>
      <c r="PY142" s="1251"/>
      <c r="PZ142" s="1251"/>
      <c r="QA142" s="1251"/>
      <c r="QB142" s="1251"/>
      <c r="QC142" s="1251"/>
      <c r="QD142" s="1251"/>
      <c r="QE142" s="1251"/>
      <c r="QF142" s="1251"/>
      <c r="QG142" s="1251"/>
      <c r="QH142" s="1251"/>
      <c r="QI142" s="1251"/>
      <c r="QJ142" s="1251"/>
      <c r="QK142" s="1251"/>
      <c r="QL142" s="1251"/>
      <c r="QM142" s="1251"/>
      <c r="QN142" s="1251"/>
      <c r="QO142" s="1251"/>
      <c r="QP142" s="1251"/>
      <c r="QQ142" s="1251"/>
      <c r="QR142" s="1251"/>
      <c r="QS142" s="1251"/>
      <c r="QT142" s="1251"/>
      <c r="QU142" s="1251"/>
      <c r="QV142" s="1251"/>
      <c r="QW142" s="1251"/>
      <c r="QX142" s="1251"/>
      <c r="QY142" s="1251"/>
      <c r="QZ142" s="1251"/>
      <c r="RA142" s="1251"/>
      <c r="RB142" s="1251"/>
      <c r="RC142" s="1251"/>
      <c r="RD142" s="1251"/>
      <c r="RE142" s="1251"/>
      <c r="RF142" s="1251"/>
      <c r="RG142" s="1251"/>
      <c r="RH142" s="1251"/>
      <c r="RI142" s="1251"/>
      <c r="RJ142" s="1251"/>
      <c r="RK142" s="1251"/>
      <c r="RL142" s="1251"/>
      <c r="RM142" s="1251"/>
      <c r="RN142" s="1251"/>
      <c r="RO142" s="1251"/>
      <c r="RP142" s="1251"/>
      <c r="RQ142" s="1251"/>
      <c r="RR142" s="1251"/>
      <c r="RS142" s="1251"/>
      <c r="RT142" s="1251"/>
      <c r="RU142" s="1251"/>
      <c r="RV142" s="1251"/>
      <c r="RW142" s="1251"/>
      <c r="RX142" s="1251"/>
      <c r="RY142" s="1251"/>
      <c r="RZ142" s="1251"/>
      <c r="SA142" s="1251"/>
      <c r="SB142" s="1251"/>
      <c r="SC142" s="1251"/>
      <c r="SD142" s="1251"/>
      <c r="SE142" s="1251"/>
      <c r="SF142" s="1251"/>
      <c r="SG142" s="1251"/>
      <c r="SH142" s="1251"/>
      <c r="SI142" s="1251"/>
      <c r="SJ142" s="1251"/>
      <c r="SK142" s="1251"/>
      <c r="SL142" s="1251"/>
      <c r="SM142" s="1251"/>
      <c r="SN142" s="1251"/>
      <c r="SO142" s="1251"/>
      <c r="SP142" s="1251"/>
      <c r="SQ142" s="1251"/>
      <c r="SR142" s="1251"/>
      <c r="SS142" s="1251"/>
      <c r="ST142" s="1251"/>
      <c r="SU142" s="1251"/>
      <c r="SV142" s="1251"/>
      <c r="SW142" s="1251"/>
      <c r="SX142" s="1251"/>
      <c r="SY142" s="1251"/>
      <c r="SZ142" s="1251"/>
      <c r="TA142" s="1251"/>
      <c r="TB142" s="1251"/>
      <c r="TC142" s="1251"/>
      <c r="TD142" s="1251"/>
      <c r="TE142" s="1251"/>
      <c r="TF142" s="1251"/>
      <c r="TG142" s="1251"/>
      <c r="TH142" s="1251"/>
      <c r="TI142" s="1251"/>
      <c r="TJ142" s="1251"/>
      <c r="TK142" s="1251"/>
      <c r="TL142" s="1251"/>
      <c r="TM142" s="1251"/>
      <c r="TN142" s="1251"/>
      <c r="TO142" s="1251"/>
      <c r="TP142" s="1251"/>
      <c r="TQ142" s="1251"/>
      <c r="TR142" s="1251"/>
      <c r="TS142" s="1251"/>
      <c r="TT142" s="1251"/>
      <c r="TU142" s="1251"/>
      <c r="TV142" s="1251"/>
      <c r="TW142" s="1251"/>
      <c r="TX142" s="1251"/>
      <c r="TY142" s="1251"/>
      <c r="TZ142" s="1251"/>
      <c r="UA142" s="1251"/>
      <c r="UB142" s="1251"/>
      <c r="UC142" s="1251"/>
      <c r="UD142" s="1251"/>
      <c r="UE142" s="1251"/>
      <c r="UF142" s="1251"/>
      <c r="UG142" s="1251"/>
      <c r="UH142" s="1251"/>
      <c r="UI142" s="1251"/>
      <c r="UJ142" s="1251"/>
      <c r="UK142" s="1251"/>
      <c r="UL142" s="1251"/>
      <c r="UM142" s="1251"/>
      <c r="UN142" s="1251"/>
      <c r="UO142" s="1251"/>
      <c r="UP142" s="1251"/>
      <c r="UQ142" s="1251"/>
      <c r="UR142" s="1251"/>
      <c r="US142" s="1251"/>
      <c r="UT142" s="1251"/>
      <c r="UU142" s="1251"/>
      <c r="UV142" s="1251"/>
      <c r="UW142" s="1251"/>
      <c r="UX142" s="1251"/>
      <c r="UY142" s="1251"/>
      <c r="UZ142" s="1251"/>
      <c r="VA142" s="1251"/>
      <c r="VB142" s="1251"/>
      <c r="VC142" s="1251"/>
      <c r="VD142" s="1251"/>
      <c r="VE142" s="1251"/>
      <c r="VF142" s="1251"/>
      <c r="VG142" s="1251"/>
      <c r="VH142" s="1251"/>
      <c r="VI142" s="1251"/>
      <c r="VJ142" s="1251"/>
      <c r="VK142" s="1251"/>
      <c r="VL142" s="1251"/>
      <c r="VM142" s="1251"/>
      <c r="VN142" s="1251"/>
      <c r="VO142" s="1251"/>
      <c r="VP142" s="1251"/>
      <c r="VQ142" s="1251"/>
      <c r="VR142" s="1251"/>
      <c r="VS142" s="1251"/>
      <c r="VT142" s="1251"/>
      <c r="VU142" s="1251"/>
      <c r="VV142" s="1251"/>
      <c r="VW142" s="1251"/>
      <c r="VX142" s="1251"/>
      <c r="VY142" s="1251"/>
      <c r="VZ142" s="1251"/>
      <c r="WA142" s="1251"/>
      <c r="WB142" s="1251"/>
      <c r="WC142" s="1251"/>
      <c r="WD142" s="1251"/>
      <c r="WE142" s="1251"/>
      <c r="WF142" s="1251"/>
      <c r="WG142" s="1251"/>
      <c r="WH142" s="1251"/>
      <c r="WI142" s="1251"/>
      <c r="WJ142" s="1251"/>
      <c r="WK142" s="1251"/>
      <c r="WL142" s="1251"/>
      <c r="WM142" s="1251"/>
      <c r="WN142" s="1251"/>
      <c r="WO142" s="1251"/>
      <c r="WP142" s="1251"/>
      <c r="WQ142" s="1251"/>
      <c r="WR142" s="1251"/>
      <c r="WS142" s="1251"/>
      <c r="WT142" s="1251"/>
      <c r="WU142" s="1251"/>
      <c r="WV142" s="1251"/>
      <c r="WW142" s="1251"/>
      <c r="WX142" s="1251"/>
      <c r="WY142" s="1251"/>
      <c r="WZ142" s="1251"/>
      <c r="XA142" s="1251"/>
      <c r="XB142" s="1251"/>
      <c r="XC142" s="1251"/>
      <c r="XD142" s="1251"/>
      <c r="XE142" s="1251"/>
      <c r="XF142" s="1251"/>
      <c r="XG142" s="1251"/>
      <c r="XH142" s="1251"/>
      <c r="XI142" s="1251"/>
      <c r="XJ142" s="1251"/>
      <c r="XK142" s="1251"/>
      <c r="XL142" s="1251"/>
      <c r="XM142" s="1251"/>
      <c r="XN142" s="1251"/>
      <c r="XO142" s="1251"/>
      <c r="XP142" s="1251"/>
      <c r="XQ142" s="1251"/>
      <c r="XR142" s="1251"/>
      <c r="XS142" s="1251"/>
      <c r="XT142" s="1251"/>
      <c r="XU142" s="1251"/>
      <c r="XV142" s="1251"/>
      <c r="XW142" s="1251"/>
      <c r="XX142" s="1251"/>
      <c r="XY142" s="1251"/>
      <c r="XZ142" s="1251"/>
      <c r="YA142" s="1251"/>
      <c r="YB142" s="1251"/>
      <c r="YC142" s="1251"/>
      <c r="YD142" s="1251"/>
      <c r="YE142" s="1251"/>
      <c r="YF142" s="1251"/>
      <c r="YG142" s="1251"/>
      <c r="YH142" s="1251"/>
      <c r="YI142" s="1251"/>
      <c r="YJ142" s="1251"/>
      <c r="YK142" s="1251"/>
      <c r="YL142" s="1251"/>
      <c r="YM142" s="1251"/>
      <c r="YN142" s="1251"/>
      <c r="YO142" s="1251"/>
      <c r="YP142" s="1251"/>
      <c r="YQ142" s="1251"/>
      <c r="YR142" s="1251"/>
      <c r="YS142" s="1251"/>
      <c r="YT142" s="1251"/>
      <c r="YU142" s="1251"/>
      <c r="YV142" s="1251"/>
      <c r="YW142" s="1251"/>
      <c r="YX142" s="1251"/>
      <c r="YY142" s="1251"/>
      <c r="YZ142" s="1251"/>
      <c r="ZA142" s="1251"/>
      <c r="ZB142" s="1251"/>
      <c r="ZC142" s="1251"/>
      <c r="ZD142" s="1251"/>
      <c r="ZE142" s="1251"/>
      <c r="ZF142" s="1251"/>
      <c r="ZG142" s="1251"/>
      <c r="ZH142" s="1251"/>
      <c r="ZI142" s="1251"/>
      <c r="ZJ142" s="1251"/>
      <c r="ZK142" s="1251"/>
      <c r="ZL142" s="1251"/>
      <c r="ZM142" s="1251"/>
      <c r="ZN142" s="1251"/>
      <c r="ZO142" s="1251"/>
      <c r="ZP142" s="1251"/>
      <c r="ZQ142" s="1251"/>
      <c r="ZR142" s="1251"/>
      <c r="ZS142" s="1251"/>
      <c r="ZT142" s="1251"/>
      <c r="ZU142" s="1251"/>
      <c r="ZV142" s="1251"/>
      <c r="ZW142" s="1251"/>
      <c r="ZX142" s="1251"/>
      <c r="ZY142" s="1251"/>
      <c r="ZZ142" s="1251"/>
      <c r="AAA142" s="1251"/>
      <c r="AAB142" s="1251"/>
      <c r="AAC142" s="1251"/>
      <c r="AAD142" s="1251"/>
      <c r="AAE142" s="1251"/>
      <c r="AAF142" s="1251"/>
      <c r="AAG142" s="1251"/>
      <c r="AAH142" s="1251"/>
      <c r="AAI142" s="1251"/>
      <c r="AAJ142" s="1251"/>
      <c r="AAK142" s="1251"/>
      <c r="AAL142" s="1251"/>
      <c r="AAM142" s="1251"/>
      <c r="AAN142" s="1251"/>
      <c r="AAO142" s="1251"/>
      <c r="AAP142" s="1251"/>
      <c r="AAQ142" s="1251"/>
      <c r="AAR142" s="1251"/>
      <c r="AAS142" s="1251"/>
      <c r="AAT142" s="1251"/>
      <c r="AAU142" s="1251"/>
      <c r="AAV142" s="1251"/>
      <c r="AAW142" s="1251"/>
      <c r="AAX142" s="1251"/>
      <c r="AAY142" s="1251"/>
      <c r="AAZ142" s="1251"/>
      <c r="ABA142" s="1251"/>
      <c r="ABB142" s="1251"/>
      <c r="ABC142" s="1251"/>
      <c r="ABD142" s="1251"/>
      <c r="ABE142" s="1251"/>
      <c r="ABF142" s="1251"/>
      <c r="ABG142" s="1251"/>
      <c r="ABH142" s="1251"/>
      <c r="ABI142" s="1251"/>
      <c r="ABJ142" s="1251"/>
      <c r="ABK142" s="1251"/>
      <c r="ABL142" s="1251"/>
      <c r="ABM142" s="1251"/>
      <c r="ABN142" s="1251"/>
      <c r="ABO142" s="1251"/>
      <c r="ABP142" s="1251"/>
      <c r="ABQ142" s="1251"/>
      <c r="ABR142" s="1251"/>
      <c r="ABS142" s="1251"/>
      <c r="ABT142" s="1251"/>
      <c r="ABU142" s="1251"/>
      <c r="ABV142" s="1251"/>
      <c r="ABW142" s="1251"/>
      <c r="ABX142" s="1251"/>
      <c r="ABY142" s="1251"/>
      <c r="ABZ142" s="1251"/>
      <c r="ACA142" s="1251"/>
      <c r="ACB142" s="1251"/>
      <c r="ACC142" s="1251"/>
      <c r="ACD142" s="1251"/>
      <c r="ACE142" s="1251"/>
      <c r="ACF142" s="1251"/>
      <c r="ACG142" s="1251"/>
      <c r="ACH142" s="1251"/>
      <c r="ACI142" s="1251"/>
      <c r="ACJ142" s="1251"/>
      <c r="ACK142" s="1251"/>
      <c r="ACL142" s="1251"/>
      <c r="ACM142" s="1251"/>
      <c r="ACN142" s="1251"/>
      <c r="ACO142" s="1251"/>
      <c r="ACP142" s="1251"/>
      <c r="ACQ142" s="1251"/>
      <c r="ACR142" s="1251"/>
      <c r="ACS142" s="1251"/>
      <c r="ACT142" s="1251"/>
      <c r="ACU142" s="1251"/>
      <c r="ACV142" s="1251"/>
      <c r="ACW142" s="1251"/>
      <c r="ACX142" s="1251"/>
      <c r="ACY142" s="1251"/>
      <c r="ACZ142" s="1251"/>
      <c r="ADA142" s="1251"/>
      <c r="ADB142" s="1251"/>
      <c r="ADC142" s="1251"/>
      <c r="ADD142" s="1251"/>
      <c r="ADE142" s="1251"/>
      <c r="ADF142" s="1251"/>
      <c r="ADG142" s="1251"/>
      <c r="ADH142" s="1251"/>
      <c r="ADI142" s="1251"/>
      <c r="ADJ142" s="1251"/>
      <c r="ADK142" s="1251"/>
      <c r="ADL142" s="1251"/>
      <c r="ADM142" s="1251"/>
      <c r="ADN142" s="1251"/>
      <c r="ADO142" s="1251"/>
      <c r="ADP142" s="1251"/>
      <c r="ADQ142" s="1251"/>
      <c r="ADR142" s="1251"/>
      <c r="ADS142" s="1251"/>
      <c r="ADT142" s="1251"/>
      <c r="ADU142" s="1251"/>
      <c r="ADV142" s="1251"/>
      <c r="ADW142" s="1251"/>
      <c r="ADX142" s="1251"/>
      <c r="ADY142" s="1251"/>
      <c r="ADZ142" s="1251"/>
      <c r="AEA142" s="1251"/>
      <c r="AEB142" s="1251"/>
      <c r="AEC142" s="1251"/>
      <c r="AED142" s="1251"/>
      <c r="AEE142" s="1251"/>
      <c r="AEF142" s="1251"/>
      <c r="AEG142" s="1251"/>
      <c r="AEH142" s="1251"/>
      <c r="AEI142" s="1251"/>
      <c r="AEJ142" s="1251"/>
      <c r="AEK142" s="1251"/>
      <c r="AEL142" s="1251"/>
      <c r="AEM142" s="1251"/>
      <c r="AEN142" s="1251"/>
      <c r="AEO142" s="1251"/>
      <c r="AEP142" s="1251"/>
      <c r="AEQ142" s="1251"/>
      <c r="AER142" s="1251"/>
      <c r="AES142" s="1251"/>
      <c r="AET142" s="1251"/>
      <c r="AEU142" s="1251"/>
      <c r="AEV142" s="1251"/>
      <c r="AEW142" s="1251"/>
      <c r="AEX142" s="1251"/>
      <c r="AEY142" s="1251"/>
      <c r="AEZ142" s="1251"/>
      <c r="AFA142" s="1251"/>
      <c r="AFB142" s="1251"/>
      <c r="AFC142" s="1251"/>
      <c r="AFD142" s="1251"/>
      <c r="AFE142" s="1251"/>
      <c r="AFF142" s="1251"/>
      <c r="AFG142" s="1251"/>
      <c r="AFH142" s="1251"/>
      <c r="AFI142" s="1251"/>
      <c r="AFJ142" s="1251"/>
      <c r="AFK142" s="1251"/>
      <c r="AFL142" s="1251"/>
      <c r="AFM142" s="1251"/>
      <c r="AFN142" s="1251"/>
      <c r="AFO142" s="1251"/>
      <c r="AFP142" s="1251"/>
      <c r="AFQ142" s="1251"/>
      <c r="AFR142" s="1251"/>
      <c r="AFS142" s="1251"/>
      <c r="AFT142" s="1251"/>
      <c r="AFU142" s="1251"/>
      <c r="AFV142" s="1251"/>
      <c r="AFW142" s="1251"/>
      <c r="AFX142" s="1251"/>
      <c r="AFY142" s="1251"/>
      <c r="AFZ142" s="1251"/>
      <c r="AGA142" s="1251"/>
      <c r="AGB142" s="1251"/>
      <c r="AGC142" s="1251"/>
      <c r="AGD142" s="1251"/>
      <c r="AGE142" s="1251"/>
      <c r="AGF142" s="1251"/>
      <c r="AGG142" s="1251"/>
      <c r="AGH142" s="1251"/>
      <c r="AGI142" s="1251"/>
      <c r="AGJ142" s="1251"/>
      <c r="AGK142" s="1251"/>
      <c r="AGL142" s="1251"/>
      <c r="AGM142" s="1251"/>
      <c r="AGN142" s="1251"/>
      <c r="AGO142" s="1251"/>
      <c r="AGP142" s="1251"/>
      <c r="AGQ142" s="1251"/>
      <c r="AGR142" s="1251"/>
      <c r="AGS142" s="1251"/>
      <c r="AGT142" s="1251"/>
      <c r="AGU142" s="1251"/>
      <c r="AGV142" s="1251"/>
      <c r="AGW142" s="1251"/>
      <c r="AGX142" s="1251"/>
      <c r="AGY142" s="1251"/>
      <c r="AGZ142" s="1251"/>
      <c r="AHA142" s="1251"/>
      <c r="AHB142" s="1251"/>
      <c r="AHC142" s="1251"/>
      <c r="AHD142" s="1251"/>
      <c r="AHE142" s="1251"/>
      <c r="AHF142" s="1251"/>
      <c r="AHG142" s="1251"/>
      <c r="AHH142" s="1251"/>
      <c r="AHI142" s="1251"/>
      <c r="AHJ142" s="1251"/>
      <c r="AHK142" s="1251"/>
      <c r="AHL142" s="1251"/>
      <c r="AHM142" s="1251"/>
      <c r="AHN142" s="1251"/>
      <c r="AHO142" s="1251"/>
      <c r="AHP142" s="1251"/>
      <c r="AHQ142" s="1251"/>
      <c r="AHR142" s="1251"/>
      <c r="AHS142" s="1251"/>
      <c r="AHT142" s="1251"/>
      <c r="AHU142" s="1251"/>
      <c r="AHV142" s="1251"/>
      <c r="AHW142" s="1251"/>
      <c r="AHX142" s="1251"/>
      <c r="AHY142" s="1251"/>
      <c r="AHZ142" s="1251"/>
      <c r="AIA142" s="1251"/>
      <c r="AIB142" s="1251"/>
      <c r="AIC142" s="1251"/>
      <c r="AID142" s="1251"/>
      <c r="AIE142" s="1251"/>
      <c r="AIF142" s="1251"/>
      <c r="AIG142" s="1251"/>
      <c r="AIH142" s="1251"/>
      <c r="AII142" s="1251"/>
      <c r="AIJ142" s="1251"/>
      <c r="AIK142" s="1251"/>
      <c r="AIL142" s="1251"/>
      <c r="AIM142" s="1251"/>
      <c r="AIN142" s="1251"/>
      <c r="AIO142" s="1251"/>
      <c r="AIP142" s="1251"/>
      <c r="AIQ142" s="1251"/>
      <c r="AIR142" s="1251"/>
      <c r="AIS142" s="1251"/>
      <c r="AIT142" s="1251"/>
      <c r="AIU142" s="1251"/>
      <c r="AIV142" s="1251"/>
      <c r="AIW142" s="1251"/>
      <c r="AIX142" s="1251"/>
      <c r="AIY142" s="1251"/>
      <c r="AIZ142" s="1251"/>
      <c r="AJA142" s="1251"/>
      <c r="AJB142" s="1251"/>
      <c r="AJC142" s="1251"/>
      <c r="AJD142" s="1251"/>
      <c r="AJE142" s="1251"/>
      <c r="AJF142" s="1251"/>
      <c r="AJG142" s="1251"/>
      <c r="AJH142" s="1251"/>
      <c r="AJI142" s="1251"/>
      <c r="AJJ142" s="1251"/>
      <c r="AJK142" s="1251"/>
      <c r="AJL142" s="1251"/>
      <c r="AJM142" s="1251"/>
      <c r="AJN142" s="1251"/>
      <c r="AJO142" s="1251"/>
      <c r="AJP142" s="1251"/>
      <c r="AJQ142" s="1251"/>
      <c r="AJR142" s="1251"/>
      <c r="AJS142" s="1251"/>
      <c r="AJT142" s="1251"/>
      <c r="AJU142" s="1251"/>
      <c r="AJV142" s="1251"/>
      <c r="AJW142" s="1251"/>
      <c r="AJX142" s="1251"/>
      <c r="AJY142" s="1251"/>
      <c r="AJZ142" s="1251"/>
      <c r="AKA142" s="1251"/>
      <c r="AKB142" s="1251"/>
      <c r="AKC142" s="1251"/>
      <c r="AKD142" s="1251"/>
      <c r="AKE142" s="1251"/>
      <c r="AKF142" s="1251"/>
      <c r="AKG142" s="1251"/>
      <c r="AKH142" s="1251"/>
      <c r="AKI142" s="1251"/>
      <c r="AKJ142" s="1251"/>
      <c r="AKK142" s="1251"/>
      <c r="AKL142" s="1251"/>
      <c r="AKM142" s="1251"/>
      <c r="AKN142" s="1251"/>
      <c r="AKO142" s="1251"/>
      <c r="AKP142" s="1251"/>
      <c r="AKQ142" s="1251"/>
      <c r="AKR142" s="1251"/>
      <c r="AKS142" s="1251"/>
      <c r="AKT142" s="1251"/>
      <c r="AKU142" s="1251"/>
      <c r="AKV142" s="1251"/>
      <c r="AKW142" s="1251"/>
      <c r="AKX142" s="1251"/>
      <c r="AKY142" s="1251"/>
      <c r="AKZ142" s="1251"/>
      <c r="ALA142" s="1251"/>
      <c r="ALB142" s="1251"/>
      <c r="ALC142" s="1251"/>
      <c r="ALD142" s="1251"/>
      <c r="ALE142" s="1251"/>
      <c r="ALF142" s="1251"/>
      <c r="ALG142" s="1251"/>
      <c r="ALH142" s="1251"/>
      <c r="ALI142" s="1251"/>
      <c r="ALJ142" s="1251"/>
      <c r="ALK142" s="1251"/>
      <c r="ALL142" s="1251"/>
      <c r="ALM142" s="1251"/>
      <c r="ALN142" s="1251"/>
      <c r="ALO142" s="1251"/>
      <c r="ALP142" s="1251"/>
      <c r="ALQ142" s="1251"/>
      <c r="ALR142" s="1251"/>
      <c r="ALS142" s="1251"/>
      <c r="ALT142" s="1251"/>
      <c r="ALU142" s="1251"/>
      <c r="ALV142" s="1251"/>
      <c r="ALW142" s="1251"/>
      <c r="ALX142" s="1251"/>
      <c r="ALY142" s="1251"/>
      <c r="ALZ142" s="1251"/>
      <c r="AMA142" s="1251"/>
      <c r="AMB142" s="1251"/>
      <c r="AMC142" s="1251"/>
      <c r="AMD142" s="1251"/>
      <c r="AME142" s="1251"/>
      <c r="AMF142" s="1251"/>
      <c r="AMG142" s="1251"/>
      <c r="AMH142" s="1251"/>
      <c r="AMI142" s="1251"/>
      <c r="AMJ142" s="1251"/>
      <c r="AMK142" s="1251"/>
      <c r="AML142" s="1251"/>
      <c r="AMM142" s="1251"/>
      <c r="AMN142" s="1251"/>
      <c r="AMO142" s="1251"/>
      <c r="AMP142" s="1251"/>
      <c r="AMQ142" s="1251"/>
      <c r="AMR142" s="1251"/>
      <c r="AMS142" s="1251"/>
      <c r="AMT142" s="1251"/>
      <c r="AMU142" s="1251"/>
      <c r="AMV142" s="1251"/>
      <c r="AMW142" s="1251"/>
      <c r="AMX142" s="1251"/>
      <c r="AMY142" s="1251"/>
      <c r="AMZ142" s="1251"/>
      <c r="ANA142" s="1251"/>
      <c r="ANB142" s="1251"/>
      <c r="ANC142" s="1251"/>
      <c r="AND142" s="1251"/>
      <c r="ANE142" s="1251"/>
      <c r="ANF142" s="1251"/>
      <c r="ANG142" s="1251"/>
      <c r="ANH142" s="1251"/>
      <c r="ANI142" s="1251"/>
      <c r="ANJ142" s="1251"/>
      <c r="ANK142" s="1251"/>
      <c r="ANL142" s="1251"/>
      <c r="ANM142" s="1251"/>
      <c r="ANN142" s="1251"/>
      <c r="ANO142" s="1251"/>
      <c r="ANP142" s="1251"/>
      <c r="ANQ142" s="1251"/>
      <c r="ANR142" s="1251"/>
      <c r="ANS142" s="1251"/>
      <c r="ANT142" s="1251"/>
      <c r="ANU142" s="1251"/>
      <c r="ANV142" s="1251"/>
      <c r="ANW142" s="1251"/>
      <c r="ANX142" s="1251"/>
      <c r="ANY142" s="1251"/>
      <c r="ANZ142" s="1251"/>
      <c r="AOA142" s="1251"/>
      <c r="AOB142" s="1251"/>
      <c r="AOC142" s="1251"/>
      <c r="AOD142" s="1251"/>
      <c r="AOE142" s="1251"/>
      <c r="AOF142" s="1251"/>
      <c r="AOG142" s="1251"/>
      <c r="AOH142" s="1251"/>
      <c r="AOI142" s="1251"/>
      <c r="AOJ142" s="1251"/>
      <c r="AOK142" s="1251"/>
      <c r="AOL142" s="1251"/>
      <c r="AOM142" s="1251"/>
      <c r="AON142" s="1251"/>
      <c r="AOO142" s="1251"/>
      <c r="AOP142" s="1251"/>
      <c r="AOQ142" s="1251"/>
      <c r="AOR142" s="1251"/>
      <c r="AOS142" s="1251"/>
      <c r="AOT142" s="1251"/>
      <c r="AOU142" s="1251"/>
      <c r="AOV142" s="1251"/>
      <c r="AOW142" s="1251"/>
      <c r="AOX142" s="1251"/>
      <c r="AOY142" s="1251"/>
      <c r="AOZ142" s="1251"/>
      <c r="APA142" s="1251"/>
      <c r="APB142" s="1251"/>
      <c r="APC142" s="1251"/>
      <c r="APD142" s="1251"/>
      <c r="APE142" s="1251"/>
      <c r="APF142" s="1251"/>
      <c r="APG142" s="1251"/>
      <c r="APH142" s="1251"/>
      <c r="API142" s="1251"/>
      <c r="APJ142" s="1251"/>
      <c r="APK142" s="1251"/>
      <c r="APL142" s="1251"/>
      <c r="APM142" s="1251"/>
      <c r="APN142" s="1251"/>
      <c r="APO142" s="1251"/>
      <c r="APP142" s="1251"/>
      <c r="APQ142" s="1251"/>
      <c r="APR142" s="1251"/>
      <c r="APS142" s="1251"/>
      <c r="APT142" s="1251"/>
      <c r="APU142" s="1251"/>
      <c r="APV142" s="1251"/>
      <c r="APW142" s="1251"/>
      <c r="APX142" s="1251"/>
      <c r="APY142" s="1251"/>
      <c r="APZ142" s="1251"/>
      <c r="AQA142" s="1251"/>
      <c r="AQB142" s="1251"/>
      <c r="AQC142" s="1251"/>
      <c r="AQD142" s="1251"/>
      <c r="AQE142" s="1251"/>
      <c r="AQF142" s="1251"/>
      <c r="AQG142" s="1251"/>
      <c r="AQH142" s="1251"/>
      <c r="AQI142" s="1251"/>
      <c r="AQJ142" s="1251"/>
      <c r="AQK142" s="1251"/>
      <c r="AQL142" s="1251"/>
      <c r="AQM142" s="1251"/>
      <c r="AQN142" s="1251"/>
      <c r="AQO142" s="1251"/>
      <c r="AQP142" s="1251"/>
      <c r="AQQ142" s="1251"/>
      <c r="AQR142" s="1251"/>
      <c r="AQS142" s="1251"/>
      <c r="AQT142" s="1251"/>
      <c r="AQU142" s="1251"/>
      <c r="AQV142" s="1251"/>
      <c r="AQW142" s="1251"/>
      <c r="AQX142" s="1251"/>
      <c r="AQY142" s="1251"/>
      <c r="AQZ142" s="1251"/>
      <c r="ARA142" s="1251"/>
      <c r="ARB142" s="1251"/>
      <c r="ARC142" s="1251"/>
      <c r="ARD142" s="1251"/>
      <c r="ARE142" s="1251"/>
      <c r="ARF142" s="1251"/>
      <c r="ARG142" s="1251"/>
      <c r="ARH142" s="1251"/>
      <c r="ARI142" s="1251"/>
      <c r="ARJ142" s="1251"/>
      <c r="ARK142" s="1251"/>
      <c r="ARL142" s="1251"/>
      <c r="ARM142" s="1251"/>
      <c r="ARN142" s="1251"/>
      <c r="ARO142" s="1251"/>
      <c r="ARP142" s="1251"/>
      <c r="ARQ142" s="1251"/>
      <c r="ARR142" s="1251"/>
      <c r="ARS142" s="1251"/>
      <c r="ART142" s="1251"/>
      <c r="ARU142" s="1251"/>
      <c r="ARV142" s="1251"/>
      <c r="ARW142" s="1251"/>
      <c r="ARX142" s="1251"/>
      <c r="ARY142" s="1251"/>
      <c r="ARZ142" s="1251"/>
      <c r="ASA142" s="1251"/>
      <c r="ASB142" s="1251"/>
      <c r="ASC142" s="1251"/>
      <c r="ASD142" s="1251"/>
      <c r="ASE142" s="1251"/>
      <c r="ASF142" s="1251"/>
      <c r="ASG142" s="1251"/>
      <c r="ASH142" s="1251"/>
      <c r="ASI142" s="1251"/>
      <c r="ASJ142" s="1251"/>
      <c r="ASK142" s="1251"/>
      <c r="ASL142" s="1251"/>
      <c r="ASM142" s="1251"/>
      <c r="ASN142" s="1251"/>
      <c r="ASO142" s="1251"/>
      <c r="ASP142" s="1251"/>
      <c r="ASQ142" s="1251"/>
      <c r="ASR142" s="1251"/>
      <c r="ASS142" s="1251"/>
      <c r="AST142" s="1251"/>
      <c r="ASU142" s="1251"/>
      <c r="ASV142" s="1251"/>
      <c r="ASW142" s="1251"/>
      <c r="ASX142" s="1251"/>
      <c r="ASY142" s="1251"/>
      <c r="ASZ142" s="1251"/>
      <c r="ATA142" s="1251"/>
      <c r="ATB142" s="1251"/>
      <c r="ATC142" s="1251"/>
      <c r="ATD142" s="1251"/>
      <c r="ATE142" s="1251"/>
      <c r="ATF142" s="1251"/>
      <c r="ATG142" s="1251"/>
      <c r="ATH142" s="1251"/>
      <c r="ATI142" s="1251"/>
      <c r="ATJ142" s="1251"/>
      <c r="ATK142" s="1251"/>
      <c r="ATL142" s="1251"/>
      <c r="ATM142" s="1251"/>
      <c r="ATN142" s="1251"/>
      <c r="ATO142" s="1251"/>
      <c r="ATP142" s="1251"/>
      <c r="ATQ142" s="1251"/>
      <c r="ATR142" s="1251"/>
      <c r="ATS142" s="1251"/>
      <c r="ATT142" s="1251"/>
      <c r="ATU142" s="1251"/>
      <c r="ATV142" s="1251"/>
      <c r="ATW142" s="1251"/>
      <c r="ATX142" s="1251"/>
      <c r="ATY142" s="1251"/>
      <c r="ATZ142" s="1251"/>
      <c r="AUA142" s="1251"/>
      <c r="AUB142" s="1251"/>
      <c r="AUC142" s="1251"/>
      <c r="AUD142" s="1251"/>
      <c r="AUE142" s="1251"/>
      <c r="AUF142" s="1251"/>
      <c r="AUG142" s="1251"/>
      <c r="AUH142" s="1251"/>
      <c r="AUI142" s="1251"/>
      <c r="AUJ142" s="1251"/>
      <c r="AUK142" s="1251"/>
      <c r="AUL142" s="1251"/>
      <c r="AUM142" s="1251"/>
      <c r="AUN142" s="1251"/>
      <c r="AUO142" s="1251"/>
      <c r="AUP142" s="1251"/>
      <c r="AUQ142" s="1251"/>
      <c r="AUR142" s="1251"/>
      <c r="AUS142" s="1251"/>
      <c r="AUT142" s="1251"/>
      <c r="AUU142" s="1251"/>
      <c r="AUV142" s="1251"/>
      <c r="AUW142" s="1251"/>
      <c r="AUX142" s="1251"/>
      <c r="AUY142" s="1251"/>
      <c r="AUZ142" s="1251"/>
      <c r="AVA142" s="1251"/>
      <c r="AVB142" s="1251"/>
      <c r="AVC142" s="1251"/>
      <c r="AVD142" s="1251"/>
      <c r="AVE142" s="1251"/>
      <c r="AVF142" s="1251"/>
      <c r="AVG142" s="1251"/>
      <c r="AVH142" s="1251"/>
      <c r="AVI142" s="1251"/>
      <c r="AVJ142" s="1251"/>
      <c r="AVK142" s="1251"/>
      <c r="AVL142" s="1251"/>
      <c r="AVM142" s="1251"/>
      <c r="AVN142" s="1251"/>
      <c r="AVO142" s="1251"/>
      <c r="AVP142" s="1251"/>
      <c r="AVQ142" s="1251"/>
      <c r="AVR142" s="1251"/>
      <c r="AVS142" s="1251"/>
      <c r="AVT142" s="1251"/>
      <c r="AVU142" s="1251"/>
      <c r="AVV142" s="1251"/>
      <c r="AVW142" s="1251"/>
      <c r="AVX142" s="1251"/>
      <c r="AVY142" s="1251"/>
      <c r="AVZ142" s="1251"/>
      <c r="AWA142" s="1251"/>
      <c r="AWB142" s="1251"/>
      <c r="AWC142" s="1251"/>
      <c r="AWD142" s="1251"/>
      <c r="AWE142" s="1251"/>
      <c r="AWF142" s="1251"/>
      <c r="AWG142" s="1251"/>
      <c r="AWH142" s="1251"/>
      <c r="AWI142" s="1251"/>
      <c r="AWJ142" s="1251"/>
      <c r="AWK142" s="1251"/>
      <c r="AWL142" s="1251"/>
      <c r="AWM142" s="1251"/>
      <c r="AWN142" s="1251"/>
      <c r="AWO142" s="1251"/>
      <c r="AWP142" s="1251"/>
      <c r="AWQ142" s="1251"/>
      <c r="AWR142" s="1251"/>
      <c r="AWS142" s="1251"/>
      <c r="AWT142" s="1251"/>
      <c r="AWU142" s="1251"/>
      <c r="AWV142" s="1251"/>
      <c r="AWW142" s="1251"/>
      <c r="AWX142" s="1251"/>
      <c r="AWY142" s="1251"/>
      <c r="AWZ142" s="1251"/>
      <c r="AXA142" s="1251"/>
      <c r="AXB142" s="1251"/>
      <c r="AXC142" s="1251"/>
      <c r="AXD142" s="1251"/>
      <c r="AXE142" s="1251"/>
      <c r="AXF142" s="1251"/>
      <c r="AXG142" s="1251"/>
      <c r="AXH142" s="1251"/>
      <c r="AXI142" s="1251"/>
      <c r="AXJ142" s="1251"/>
      <c r="AXK142" s="1251"/>
      <c r="AXL142" s="1251"/>
      <c r="AXM142" s="1251"/>
      <c r="AXN142" s="1251"/>
      <c r="AXO142" s="1251"/>
      <c r="AXP142" s="1251"/>
      <c r="AXQ142" s="1251"/>
      <c r="AXR142" s="1251"/>
      <c r="AXS142" s="1251"/>
      <c r="AXT142" s="1251"/>
      <c r="AXU142" s="1251"/>
      <c r="AXV142" s="1251"/>
      <c r="AXW142" s="1251"/>
      <c r="AXX142" s="1251"/>
      <c r="AXY142" s="1251"/>
      <c r="AXZ142" s="1251"/>
      <c r="AYA142" s="1251"/>
      <c r="AYB142" s="1251"/>
      <c r="AYC142" s="1251"/>
      <c r="AYD142" s="1251"/>
      <c r="AYE142" s="1251"/>
      <c r="AYF142" s="1251"/>
      <c r="AYG142" s="1251"/>
      <c r="AYH142" s="1251"/>
      <c r="AYI142" s="1251"/>
      <c r="AYJ142" s="1251"/>
      <c r="AYK142" s="1251"/>
      <c r="AYL142" s="1251"/>
      <c r="AYM142" s="1251"/>
      <c r="AYN142" s="1251"/>
      <c r="AYO142" s="1251"/>
      <c r="AYP142" s="1251"/>
      <c r="AYQ142" s="1251"/>
      <c r="AYR142" s="1251"/>
      <c r="AYS142" s="1251"/>
      <c r="AYT142" s="1251"/>
      <c r="AYU142" s="1251"/>
      <c r="AYV142" s="1251"/>
      <c r="AYW142" s="1251"/>
      <c r="AYX142" s="1251"/>
      <c r="AYY142" s="1251"/>
      <c r="AYZ142" s="1251"/>
      <c r="AZA142" s="1251"/>
      <c r="AZB142" s="1251"/>
      <c r="AZC142" s="1251"/>
      <c r="AZD142" s="1251"/>
      <c r="AZE142" s="1251"/>
      <c r="AZF142" s="1251"/>
      <c r="AZG142" s="1251"/>
      <c r="AZH142" s="1251"/>
      <c r="AZI142" s="1251"/>
      <c r="AZJ142" s="1251"/>
      <c r="AZK142" s="1251"/>
      <c r="AZL142" s="1251"/>
      <c r="AZM142" s="1251"/>
      <c r="AZN142" s="1251"/>
      <c r="AZO142" s="1251"/>
      <c r="AZP142" s="1251"/>
      <c r="AZQ142" s="1251"/>
      <c r="AZR142" s="1251"/>
      <c r="AZS142" s="1251"/>
      <c r="AZT142" s="1251"/>
      <c r="AZU142" s="1251"/>
      <c r="AZV142" s="1251"/>
      <c r="AZW142" s="1251"/>
      <c r="AZX142" s="1251"/>
      <c r="AZY142" s="1251"/>
      <c r="AZZ142" s="1251"/>
      <c r="BAA142" s="1251"/>
      <c r="BAB142" s="1251"/>
      <c r="BAC142" s="1251"/>
      <c r="BAD142" s="1251"/>
      <c r="BAE142" s="1251"/>
      <c r="BAF142" s="1251"/>
      <c r="BAG142" s="1251"/>
      <c r="BAH142" s="1251"/>
      <c r="BAI142" s="1251"/>
      <c r="BAJ142" s="1251"/>
      <c r="BAK142" s="1251"/>
      <c r="BAL142" s="1251"/>
      <c r="BAM142" s="1251"/>
      <c r="BAN142" s="1251"/>
      <c r="BAO142" s="1251"/>
      <c r="BAP142" s="1251"/>
      <c r="BAQ142" s="1251"/>
      <c r="BAR142" s="1251"/>
      <c r="BAS142" s="1251"/>
      <c r="BAT142" s="1251"/>
      <c r="BAU142" s="1251"/>
      <c r="BAV142" s="1251"/>
      <c r="BAW142" s="1251"/>
      <c r="BAX142" s="1251"/>
      <c r="BAY142" s="1251"/>
      <c r="BAZ142" s="1251"/>
      <c r="BBA142" s="1251"/>
      <c r="BBB142" s="1251"/>
      <c r="BBC142" s="1251"/>
      <c r="BBD142" s="1251"/>
      <c r="BBE142" s="1251"/>
      <c r="BBF142" s="1251"/>
      <c r="BBG142" s="1251"/>
      <c r="BBH142" s="1251"/>
      <c r="BBI142" s="1251"/>
      <c r="BBJ142" s="1251"/>
      <c r="BBK142" s="1251"/>
      <c r="BBL142" s="1251"/>
      <c r="BBM142" s="1251"/>
      <c r="BBN142" s="1251"/>
      <c r="BBO142" s="1251"/>
      <c r="BBP142" s="1251"/>
      <c r="BBQ142" s="1251"/>
      <c r="BBR142" s="1251"/>
      <c r="BBS142" s="1251"/>
      <c r="BBT142" s="1251"/>
      <c r="BBU142" s="1251"/>
      <c r="BBV142" s="1251"/>
      <c r="BBW142" s="1251"/>
      <c r="BBX142" s="1251"/>
      <c r="BBY142" s="1251"/>
      <c r="BBZ142" s="1251"/>
      <c r="BCA142" s="1251"/>
      <c r="BCB142" s="1251"/>
      <c r="BCC142" s="1251"/>
      <c r="BCD142" s="1251"/>
      <c r="BCE142" s="1251"/>
      <c r="BCF142" s="1251"/>
      <c r="BCG142" s="1251"/>
      <c r="BCH142" s="1251"/>
      <c r="BCI142" s="1251"/>
      <c r="BCJ142" s="1251"/>
      <c r="BCK142" s="1251"/>
      <c r="BCL142" s="1251"/>
      <c r="BCM142" s="1251"/>
      <c r="BCN142" s="1251"/>
      <c r="BCO142" s="1251"/>
      <c r="BCP142" s="1251"/>
      <c r="BCQ142" s="1251"/>
      <c r="BCR142" s="1251"/>
      <c r="BCS142" s="1251"/>
      <c r="BCT142" s="1251"/>
      <c r="BCU142" s="1251"/>
      <c r="BCV142" s="1251"/>
      <c r="BCW142" s="1251"/>
      <c r="BCX142" s="1251"/>
      <c r="BCY142" s="1251"/>
      <c r="BCZ142" s="1251"/>
      <c r="BDA142" s="1251"/>
      <c r="BDB142" s="1251"/>
      <c r="BDC142" s="1251"/>
      <c r="BDD142" s="1251"/>
      <c r="BDE142" s="1251"/>
      <c r="BDF142" s="1251"/>
      <c r="BDG142" s="1251"/>
      <c r="BDH142" s="1251"/>
      <c r="BDI142" s="1251"/>
      <c r="BDJ142" s="1251"/>
      <c r="BDK142" s="1251"/>
      <c r="BDL142" s="1251"/>
      <c r="BDM142" s="1251"/>
      <c r="BDN142" s="1251"/>
      <c r="BDO142" s="1251"/>
      <c r="BDP142" s="1251"/>
      <c r="BDQ142" s="1251"/>
      <c r="BDR142" s="1251"/>
      <c r="BDS142" s="1251"/>
      <c r="BDT142" s="1251"/>
      <c r="BDU142" s="1251"/>
      <c r="BDV142" s="1251"/>
      <c r="BDW142" s="1251"/>
      <c r="BDX142" s="1251"/>
      <c r="BDY142" s="1251"/>
      <c r="BDZ142" s="1251"/>
      <c r="BEA142" s="1251"/>
      <c r="BEB142" s="1251"/>
      <c r="BEC142" s="1251"/>
      <c r="BED142" s="1251"/>
      <c r="BEE142" s="1251"/>
      <c r="BEF142" s="1251"/>
      <c r="BEG142" s="1251"/>
      <c r="BEH142" s="1251"/>
      <c r="BEI142" s="1251"/>
      <c r="BEJ142" s="1251"/>
      <c r="BEK142" s="1251"/>
      <c r="BEL142" s="1251"/>
      <c r="BEM142" s="1251"/>
      <c r="BEN142" s="1251"/>
      <c r="BEO142" s="1251"/>
      <c r="BEP142" s="1251"/>
      <c r="BEQ142" s="1251"/>
      <c r="BER142" s="1251"/>
      <c r="BES142" s="1251"/>
      <c r="BET142" s="1251"/>
      <c r="BEU142" s="1251"/>
      <c r="BEV142" s="1251"/>
      <c r="BEW142" s="1251"/>
      <c r="BEX142" s="1251"/>
      <c r="BEY142" s="1251"/>
      <c r="BEZ142" s="1251"/>
      <c r="BFA142" s="1251"/>
      <c r="BFB142" s="1251"/>
      <c r="BFC142" s="1251"/>
      <c r="BFD142" s="1251"/>
      <c r="BFE142" s="1251"/>
      <c r="BFF142" s="1251"/>
      <c r="BFG142" s="1251"/>
      <c r="BFH142" s="1251"/>
      <c r="BFI142" s="1251"/>
      <c r="BFJ142" s="1251"/>
      <c r="BFK142" s="1251"/>
      <c r="BFL142" s="1251"/>
      <c r="BFM142" s="1251"/>
      <c r="BFN142" s="1251"/>
      <c r="BFO142" s="1251"/>
      <c r="BFP142" s="1251"/>
      <c r="BFQ142" s="1251"/>
      <c r="BFR142" s="1251"/>
      <c r="BFS142" s="1251"/>
      <c r="BFT142" s="1251"/>
      <c r="BFU142" s="1251"/>
      <c r="BFV142" s="1251"/>
      <c r="BFW142" s="1251"/>
      <c r="BFX142" s="1251"/>
      <c r="BFY142" s="1251"/>
      <c r="BFZ142" s="1251"/>
      <c r="BGA142" s="1251"/>
      <c r="BGB142" s="1251"/>
      <c r="BGC142" s="1251"/>
      <c r="BGD142" s="1251"/>
      <c r="BGE142" s="1251"/>
      <c r="BGF142" s="1251"/>
      <c r="BGG142" s="1251"/>
      <c r="BGH142" s="1251"/>
      <c r="BGI142" s="1251"/>
      <c r="BGJ142" s="1251"/>
      <c r="BGK142" s="1251"/>
      <c r="BGL142" s="1251"/>
      <c r="BGM142" s="1251"/>
      <c r="BGN142" s="1251"/>
      <c r="BGO142" s="1251"/>
      <c r="BGP142" s="1251"/>
      <c r="BGQ142" s="1251"/>
      <c r="BGR142" s="1251"/>
      <c r="BGS142" s="1251"/>
      <c r="BGT142" s="1251"/>
      <c r="BGU142" s="1251"/>
      <c r="BGV142" s="1251"/>
      <c r="BGW142" s="1251"/>
      <c r="BGX142" s="1251"/>
      <c r="BGY142" s="1251"/>
      <c r="BGZ142" s="1251"/>
      <c r="BHA142" s="1251"/>
      <c r="BHB142" s="1251"/>
      <c r="BHC142" s="1251"/>
      <c r="BHD142" s="1251"/>
      <c r="BHE142" s="1251"/>
      <c r="BHF142" s="1251"/>
      <c r="BHG142" s="1251"/>
      <c r="BHH142" s="1251"/>
      <c r="BHI142" s="1251"/>
      <c r="BHJ142" s="1251"/>
      <c r="BHK142" s="1251"/>
      <c r="BHL142" s="1251"/>
      <c r="BHM142" s="1251"/>
      <c r="BHN142" s="1251"/>
      <c r="BHO142" s="1251"/>
      <c r="BHP142" s="1251"/>
      <c r="BHQ142" s="1251"/>
      <c r="BHR142" s="1251"/>
      <c r="BHS142" s="1251"/>
      <c r="BHT142" s="1251"/>
      <c r="BHU142" s="1251"/>
      <c r="BHV142" s="1251"/>
      <c r="BHW142" s="1251"/>
      <c r="BHX142" s="1251"/>
      <c r="BHY142" s="1251"/>
      <c r="BHZ142" s="1251"/>
      <c r="BIA142" s="1251"/>
      <c r="BIB142" s="1251"/>
      <c r="BIC142" s="1251"/>
      <c r="BID142" s="1251"/>
      <c r="BIE142" s="1251"/>
      <c r="BIF142" s="1251"/>
      <c r="BIG142" s="1251"/>
      <c r="BIH142" s="1251"/>
      <c r="BII142" s="1251"/>
      <c r="BIJ142" s="1251"/>
      <c r="BIK142" s="1251"/>
      <c r="BIL142" s="1251"/>
      <c r="BIM142" s="1251"/>
      <c r="BIN142" s="1251"/>
      <c r="BIO142" s="1251"/>
      <c r="BIP142" s="1251"/>
      <c r="BIQ142" s="1251"/>
      <c r="BIR142" s="1251"/>
      <c r="BIS142" s="1251"/>
      <c r="BIT142" s="1251"/>
      <c r="BIU142" s="1251"/>
      <c r="BIV142" s="1251"/>
      <c r="BIW142" s="1251"/>
      <c r="BIX142" s="1251"/>
      <c r="BIY142" s="1251"/>
      <c r="BIZ142" s="1251"/>
      <c r="BJA142" s="1251"/>
      <c r="BJB142" s="1251"/>
      <c r="BJC142" s="1251"/>
      <c r="BJD142" s="1251"/>
      <c r="BJE142" s="1251"/>
      <c r="BJF142" s="1251"/>
      <c r="BJG142" s="1251"/>
      <c r="BJH142" s="1251"/>
      <c r="BJI142" s="1251"/>
      <c r="BJJ142" s="1251"/>
      <c r="BJK142" s="1251"/>
      <c r="BJL142" s="1251"/>
      <c r="BJM142" s="1251"/>
      <c r="BJN142" s="1251"/>
      <c r="BJO142" s="1251"/>
      <c r="BJP142" s="1251"/>
      <c r="BJQ142" s="1251"/>
      <c r="BJR142" s="1251"/>
      <c r="BJS142" s="1251"/>
      <c r="BJT142" s="1251"/>
      <c r="BJU142" s="1251"/>
      <c r="BJV142" s="1251"/>
      <c r="BJW142" s="1251"/>
      <c r="BJX142" s="1251"/>
      <c r="BJY142" s="1251"/>
      <c r="BJZ142" s="1251"/>
      <c r="BKA142" s="1251"/>
      <c r="BKB142" s="1251"/>
      <c r="BKC142" s="1251"/>
      <c r="BKD142" s="1251"/>
      <c r="BKE142" s="1251"/>
      <c r="BKF142" s="1251"/>
      <c r="BKG142" s="1251"/>
      <c r="BKH142" s="1251"/>
      <c r="BKI142" s="1251"/>
      <c r="BKJ142" s="1251"/>
      <c r="BKK142" s="1251"/>
      <c r="BKL142" s="1251"/>
      <c r="BKM142" s="1251"/>
      <c r="BKN142" s="1251"/>
      <c r="BKO142" s="1251"/>
      <c r="BKP142" s="1251"/>
      <c r="BKQ142" s="1251"/>
      <c r="BKR142" s="1251"/>
      <c r="BKS142" s="1251"/>
      <c r="BKT142" s="1251"/>
      <c r="BKU142" s="1251"/>
      <c r="BKV142" s="1251"/>
      <c r="BKW142" s="1251"/>
      <c r="BKX142" s="1251"/>
      <c r="BKY142" s="1251"/>
      <c r="BKZ142" s="1251"/>
      <c r="BLA142" s="1251"/>
      <c r="BLB142" s="1251"/>
      <c r="BLC142" s="1251"/>
      <c r="BLD142" s="1251"/>
      <c r="BLE142" s="1251"/>
      <c r="BLF142" s="1251"/>
      <c r="BLG142" s="1251"/>
      <c r="BLH142" s="1251"/>
      <c r="BLI142" s="1251"/>
      <c r="BLJ142" s="1251"/>
      <c r="BLK142" s="1251"/>
      <c r="BLL142" s="1251"/>
      <c r="BLM142" s="1251"/>
      <c r="BLN142" s="1251"/>
      <c r="BLO142" s="1251"/>
      <c r="BLP142" s="1251"/>
      <c r="BLQ142" s="1251"/>
      <c r="BLR142" s="1251"/>
      <c r="BLS142" s="1251"/>
      <c r="BLT142" s="1251"/>
      <c r="BLU142" s="1251"/>
      <c r="BLV142" s="1251"/>
      <c r="BLW142" s="1251"/>
      <c r="BLX142" s="1251"/>
      <c r="BLY142" s="1251"/>
      <c r="BLZ142" s="1251"/>
      <c r="BMA142" s="1251"/>
      <c r="BMB142" s="1251"/>
      <c r="BMC142" s="1251"/>
      <c r="BMD142" s="1251"/>
      <c r="BME142" s="1251"/>
      <c r="BMF142" s="1251"/>
      <c r="BMG142" s="1251"/>
      <c r="BMH142" s="1251"/>
      <c r="BMI142" s="1251"/>
      <c r="BMJ142" s="1251"/>
      <c r="BMK142" s="1251"/>
      <c r="BML142" s="1251"/>
      <c r="BMM142" s="1251"/>
      <c r="BMN142" s="1251"/>
      <c r="BMO142" s="1251"/>
      <c r="BMP142" s="1251"/>
      <c r="BMQ142" s="1251"/>
      <c r="BMR142" s="1251"/>
      <c r="BMS142" s="1251"/>
      <c r="BMT142" s="1251"/>
      <c r="BMU142" s="1251"/>
      <c r="BMV142" s="1251"/>
      <c r="BMW142" s="1251"/>
      <c r="BMX142" s="1251"/>
      <c r="BMY142" s="1251"/>
      <c r="BMZ142" s="1251"/>
      <c r="BNA142" s="1251"/>
      <c r="BNB142" s="1251"/>
      <c r="BNC142" s="1251"/>
      <c r="BND142" s="1251"/>
      <c r="BNE142" s="1251"/>
      <c r="BNF142" s="1251"/>
      <c r="BNG142" s="1251"/>
      <c r="BNH142" s="1251"/>
      <c r="BNI142" s="1251"/>
      <c r="BNJ142" s="1251"/>
      <c r="BNK142" s="1251"/>
      <c r="BNL142" s="1251"/>
      <c r="BNM142" s="1251"/>
      <c r="BNN142" s="1251"/>
      <c r="BNO142" s="1251"/>
      <c r="BNP142" s="1251"/>
      <c r="BNQ142" s="1251"/>
      <c r="BNR142" s="1251"/>
      <c r="BNS142" s="1251"/>
      <c r="BNT142" s="1251"/>
      <c r="BNU142" s="1251"/>
      <c r="BNV142" s="1251"/>
      <c r="BNW142" s="1251"/>
      <c r="BNX142" s="1251"/>
      <c r="BNY142" s="1251"/>
      <c r="BNZ142" s="1251"/>
      <c r="BOA142" s="1251"/>
      <c r="BOB142" s="1251"/>
      <c r="BOC142" s="1251"/>
      <c r="BOD142" s="1251"/>
      <c r="BOE142" s="1251"/>
      <c r="BOF142" s="1251"/>
      <c r="BOG142" s="1251"/>
      <c r="BOH142" s="1251"/>
      <c r="BOI142" s="1251"/>
      <c r="BOJ142" s="1251"/>
      <c r="BOK142" s="1251"/>
      <c r="BOL142" s="1251"/>
      <c r="BOM142" s="1251"/>
      <c r="BON142" s="1251"/>
      <c r="BOO142" s="1251"/>
      <c r="BOP142" s="1251"/>
      <c r="BOQ142" s="1251"/>
      <c r="BOR142" s="1251"/>
      <c r="BOS142" s="1251"/>
      <c r="BOT142" s="1251"/>
      <c r="BOU142" s="1251"/>
      <c r="BOV142" s="1251"/>
      <c r="BOW142" s="1251"/>
      <c r="BOX142" s="1251"/>
      <c r="BOY142" s="1251"/>
      <c r="BOZ142" s="1251"/>
      <c r="BPA142" s="1251"/>
      <c r="BPB142" s="1251"/>
      <c r="BPC142" s="1251"/>
      <c r="BPD142" s="1251"/>
      <c r="BPE142" s="1251"/>
      <c r="BPF142" s="1251"/>
      <c r="BPG142" s="1251"/>
      <c r="BPH142" s="1251"/>
      <c r="BPI142" s="1251"/>
      <c r="BPJ142" s="1251"/>
      <c r="BPK142" s="1251"/>
      <c r="BPL142" s="1251"/>
      <c r="BPM142" s="1251"/>
      <c r="BPN142" s="1251"/>
      <c r="BPO142" s="1251"/>
      <c r="BPP142" s="1251"/>
      <c r="BPQ142" s="1251"/>
      <c r="BPR142" s="1251"/>
      <c r="BPS142" s="1251"/>
      <c r="BPT142" s="1251"/>
      <c r="BPU142" s="1251"/>
      <c r="BPV142" s="1251"/>
      <c r="BPW142" s="1251"/>
      <c r="BPX142" s="1251"/>
      <c r="BPY142" s="1251"/>
      <c r="BPZ142" s="1251"/>
      <c r="BQA142" s="1251"/>
      <c r="BQB142" s="1251"/>
      <c r="BQC142" s="1251"/>
      <c r="BQD142" s="1251"/>
      <c r="BQE142" s="1251"/>
      <c r="BQF142" s="1251"/>
      <c r="BQG142" s="1251"/>
      <c r="BQH142" s="1251"/>
      <c r="BQI142" s="1251"/>
      <c r="BQJ142" s="1251"/>
      <c r="BQK142" s="1251"/>
      <c r="BQL142" s="1251"/>
      <c r="BQM142" s="1251"/>
      <c r="BQN142" s="1251"/>
      <c r="BQO142" s="1251"/>
      <c r="BQP142" s="1251"/>
      <c r="BQQ142" s="1251"/>
      <c r="BQR142" s="1251"/>
      <c r="BQS142" s="1251"/>
      <c r="BQT142" s="1251"/>
      <c r="BQU142" s="1251"/>
      <c r="BQV142" s="1251"/>
      <c r="BQW142" s="1251"/>
      <c r="BQX142" s="1251"/>
      <c r="BQY142" s="1251"/>
      <c r="BQZ142" s="1251"/>
      <c r="BRA142" s="1251"/>
      <c r="BRB142" s="1251"/>
      <c r="BRC142" s="1251"/>
      <c r="BRD142" s="1251"/>
      <c r="BRE142" s="1251"/>
      <c r="BRF142" s="1251"/>
      <c r="BRG142" s="1251"/>
      <c r="BRH142" s="1251"/>
      <c r="BRI142" s="1251"/>
      <c r="BRJ142" s="1251"/>
      <c r="BRK142" s="1251"/>
      <c r="BRL142" s="1251"/>
      <c r="BRM142" s="1251"/>
      <c r="BRN142" s="1251"/>
      <c r="BRO142" s="1251"/>
      <c r="BRP142" s="1251"/>
      <c r="BRQ142" s="1251"/>
      <c r="BRR142" s="1251"/>
      <c r="BRS142" s="1251"/>
      <c r="BRT142" s="1251"/>
      <c r="BRU142" s="1251"/>
      <c r="BRV142" s="1251"/>
      <c r="BRW142" s="1251"/>
      <c r="BRX142" s="1251"/>
      <c r="BRY142" s="1251"/>
      <c r="BRZ142" s="1251"/>
      <c r="BSA142" s="1251"/>
      <c r="BSB142" s="1251"/>
      <c r="BSC142" s="1251"/>
      <c r="BSD142" s="1251"/>
      <c r="BSE142" s="1251"/>
      <c r="BSF142" s="1251"/>
      <c r="BSG142" s="1251"/>
      <c r="BSH142" s="1251"/>
      <c r="BSI142" s="1251"/>
      <c r="BSJ142" s="1251"/>
      <c r="BSK142" s="1251"/>
      <c r="BSL142" s="1251"/>
      <c r="BSM142" s="1251"/>
      <c r="BSN142" s="1251"/>
      <c r="BSO142" s="1251"/>
      <c r="BSP142" s="1251"/>
      <c r="BSQ142" s="1251"/>
      <c r="BSR142" s="1251"/>
      <c r="BSS142" s="1251"/>
      <c r="BST142" s="1251"/>
      <c r="BSU142" s="1251"/>
      <c r="BSV142" s="1251"/>
      <c r="BSW142" s="1251"/>
      <c r="BSX142" s="1251"/>
      <c r="BSY142" s="1251"/>
      <c r="BSZ142" s="1251"/>
      <c r="BTA142" s="1251"/>
      <c r="BTB142" s="1251"/>
      <c r="BTC142" s="1251"/>
      <c r="BTD142" s="1251"/>
      <c r="BTE142" s="1251"/>
      <c r="BTF142" s="1251"/>
      <c r="BTG142" s="1251"/>
      <c r="BTH142" s="1251"/>
      <c r="BTI142" s="1251"/>
    </row>
    <row r="143" spans="1:1881" s="1261" customFormat="1" ht="106.5" hidden="1" customHeight="1" x14ac:dyDescent="0.3">
      <c r="A143" s="1265">
        <v>636</v>
      </c>
      <c r="B143" s="1282" t="s">
        <v>652</v>
      </c>
      <c r="C143" s="308" t="s">
        <v>656</v>
      </c>
      <c r="D143" s="1281" t="s">
        <v>1475</v>
      </c>
      <c r="E143" s="1249" t="e">
        <f>HLOOKUP($D$2,'2020 Data(H)'!$C$1:$CZ$426,295,FALSE)</f>
        <v>#N/A</v>
      </c>
      <c r="F143" s="1263">
        <v>0</v>
      </c>
      <c r="G143" s="742">
        <f>IF(F143&gt;F140,"Please review account numbers 636&gt;633",)</f>
        <v>0</v>
      </c>
      <c r="H143" s="732"/>
      <c r="I143" s="732"/>
      <c r="J143" s="1251"/>
      <c r="K143" s="1251"/>
      <c r="L143" s="1251"/>
      <c r="M143" s="1251"/>
      <c r="N143" s="1253"/>
      <c r="O143" s="1251"/>
      <c r="P143" s="1251"/>
      <c r="Q143" s="1251"/>
      <c r="R143" s="1251"/>
      <c r="S143" s="1251"/>
      <c r="T143" s="1251"/>
      <c r="U143" s="1251"/>
      <c r="V143" s="1251"/>
      <c r="W143" s="1251"/>
      <c r="X143" s="1251"/>
      <c r="Y143" s="1251"/>
      <c r="Z143" s="1265"/>
      <c r="AA143" s="1265"/>
      <c r="AB143" s="1265"/>
      <c r="AC143" s="1265"/>
      <c r="AD143" s="1265"/>
      <c r="AE143" s="1265"/>
      <c r="AF143" s="1265"/>
      <c r="AG143" s="1265"/>
      <c r="AH143" s="1265"/>
      <c r="AI143" s="1265"/>
      <c r="AJ143" s="1265"/>
      <c r="AK143" s="1265"/>
      <c r="AL143" s="1265"/>
      <c r="AM143" s="1265"/>
      <c r="AN143" s="1265"/>
      <c r="AO143" s="1265"/>
      <c r="AP143" s="1265"/>
      <c r="AQ143" s="1265"/>
      <c r="AR143" s="1265"/>
      <c r="AS143" s="1251"/>
      <c r="AT143" s="1251"/>
      <c r="AU143" s="1251"/>
      <c r="AV143" s="1251"/>
      <c r="AW143" s="1251"/>
      <c r="AX143" s="1251"/>
      <c r="AY143" s="1251"/>
      <c r="AZ143" s="1251"/>
      <c r="BA143" s="1251"/>
      <c r="BB143" s="1251"/>
      <c r="BC143" s="1251"/>
      <c r="BD143" s="1251"/>
      <c r="BE143" s="1251"/>
      <c r="BF143" s="1251"/>
      <c r="BG143" s="1251"/>
      <c r="BH143" s="1251"/>
      <c r="BI143" s="1251"/>
      <c r="BJ143" s="1251"/>
      <c r="BK143" s="1251"/>
      <c r="BL143" s="1251"/>
      <c r="BM143" s="1251"/>
      <c r="BN143" s="1251"/>
      <c r="BO143" s="1251"/>
      <c r="BP143" s="1251"/>
      <c r="BQ143" s="1251"/>
      <c r="BR143" s="1251"/>
      <c r="BS143" s="1251"/>
      <c r="BT143" s="1251"/>
      <c r="BU143" s="1251"/>
      <c r="BV143" s="1251"/>
      <c r="BW143" s="1251"/>
      <c r="BX143" s="1251"/>
      <c r="BY143" s="1251"/>
      <c r="BZ143" s="1251"/>
      <c r="CA143" s="1251"/>
      <c r="CB143" s="1251"/>
      <c r="CC143" s="1251"/>
      <c r="CD143" s="1251"/>
      <c r="CE143" s="1251"/>
      <c r="CF143" s="1251"/>
      <c r="CG143" s="1251"/>
      <c r="CH143" s="1251"/>
      <c r="CI143" s="1251"/>
      <c r="CJ143" s="1251"/>
      <c r="CK143" s="1251"/>
      <c r="CL143" s="1251"/>
      <c r="CM143" s="1251"/>
      <c r="CN143" s="1251"/>
      <c r="CO143" s="1251"/>
      <c r="CP143" s="1251"/>
      <c r="CQ143" s="1251"/>
      <c r="CR143" s="1251"/>
      <c r="CS143" s="1251"/>
      <c r="CT143" s="1251"/>
      <c r="CU143" s="1251"/>
      <c r="CV143" s="1251"/>
      <c r="CW143" s="1251"/>
      <c r="CX143" s="1251"/>
      <c r="CY143" s="1251"/>
      <c r="CZ143" s="1251"/>
      <c r="DA143" s="1251"/>
      <c r="DB143" s="1251"/>
      <c r="DC143" s="1251"/>
      <c r="DD143" s="1251"/>
      <c r="DE143" s="1251"/>
      <c r="DF143" s="1251"/>
      <c r="DG143" s="1251"/>
      <c r="DH143" s="1251"/>
      <c r="DI143" s="1251"/>
      <c r="DJ143" s="1251"/>
      <c r="DK143" s="1251"/>
      <c r="DL143" s="1251"/>
      <c r="DM143" s="1251"/>
      <c r="DN143" s="1251"/>
      <c r="DO143" s="1251"/>
      <c r="DP143" s="1251"/>
      <c r="DQ143" s="1251"/>
      <c r="DR143" s="1251"/>
      <c r="DS143" s="1251"/>
      <c r="DT143" s="1251"/>
      <c r="DU143" s="1251"/>
      <c r="DV143" s="1251"/>
      <c r="DW143" s="1251"/>
      <c r="DX143" s="1251"/>
      <c r="DY143" s="1251"/>
      <c r="DZ143" s="1251"/>
      <c r="EA143" s="1251"/>
      <c r="EB143" s="1251"/>
      <c r="EC143" s="1251"/>
      <c r="ED143" s="1251"/>
      <c r="EE143" s="1251"/>
      <c r="EF143" s="1251"/>
      <c r="EG143" s="1251"/>
      <c r="EH143" s="1251"/>
      <c r="EI143" s="1251"/>
      <c r="EJ143" s="1251"/>
      <c r="EK143" s="1251"/>
      <c r="EL143" s="1251"/>
      <c r="EM143" s="1251"/>
      <c r="EN143" s="1251"/>
      <c r="EO143" s="1251"/>
      <c r="EP143" s="1251"/>
      <c r="EQ143" s="1251"/>
      <c r="ER143" s="1251"/>
      <c r="ES143" s="1251"/>
      <c r="ET143" s="1251"/>
      <c r="EU143" s="1251"/>
      <c r="EV143" s="1251"/>
      <c r="EW143" s="1251"/>
      <c r="EX143" s="1251"/>
      <c r="EY143" s="1251"/>
      <c r="EZ143" s="1251"/>
      <c r="FA143" s="1251"/>
      <c r="FB143" s="1251"/>
      <c r="FC143" s="1251"/>
      <c r="FD143" s="1251"/>
      <c r="FE143" s="1251"/>
      <c r="FF143" s="1251"/>
      <c r="FG143" s="1251"/>
      <c r="FH143" s="1251"/>
      <c r="FI143" s="1251"/>
      <c r="FJ143" s="1251"/>
      <c r="FK143" s="1251"/>
      <c r="FL143" s="1251"/>
      <c r="FM143" s="1251"/>
      <c r="FN143" s="1251"/>
      <c r="FO143" s="1251"/>
      <c r="FP143" s="1251"/>
      <c r="FQ143" s="1251"/>
      <c r="FR143" s="1251"/>
      <c r="FS143" s="1251"/>
      <c r="FT143" s="1251"/>
      <c r="FU143" s="1251"/>
      <c r="FV143" s="1251"/>
      <c r="FW143" s="1251"/>
      <c r="FX143" s="1251"/>
      <c r="FY143" s="1251"/>
      <c r="FZ143" s="1251"/>
      <c r="GA143" s="1251"/>
      <c r="GB143" s="1251"/>
      <c r="GC143" s="1251"/>
      <c r="GD143" s="1251"/>
      <c r="GE143" s="1251"/>
      <c r="GF143" s="1251"/>
      <c r="GG143" s="1251"/>
      <c r="GH143" s="1251"/>
      <c r="GI143" s="1251"/>
      <c r="GJ143" s="1251"/>
      <c r="GK143" s="1251"/>
      <c r="GL143" s="1251"/>
      <c r="GM143" s="1251"/>
      <c r="GN143" s="1251"/>
      <c r="GO143" s="1251"/>
      <c r="GP143" s="1251"/>
      <c r="GQ143" s="1251"/>
      <c r="GR143" s="1251"/>
      <c r="GS143" s="1251"/>
      <c r="GT143" s="1251"/>
      <c r="GU143" s="1251"/>
      <c r="GV143" s="1251"/>
      <c r="GW143" s="1251"/>
      <c r="GX143" s="1251"/>
      <c r="GY143" s="1251"/>
      <c r="GZ143" s="1251"/>
      <c r="HA143" s="1251"/>
      <c r="HB143" s="1251"/>
      <c r="HC143" s="1251"/>
      <c r="HD143" s="1251"/>
      <c r="HE143" s="1251"/>
      <c r="HF143" s="1251"/>
      <c r="HG143" s="1251"/>
      <c r="HH143" s="1251"/>
      <c r="HI143" s="1251"/>
      <c r="HJ143" s="1251"/>
      <c r="HK143" s="1251"/>
      <c r="HL143" s="1251"/>
      <c r="HM143" s="1251"/>
      <c r="HN143" s="1251"/>
      <c r="HO143" s="1251"/>
      <c r="HP143" s="1251"/>
      <c r="HQ143" s="1251"/>
      <c r="HR143" s="1251"/>
      <c r="HS143" s="1251"/>
      <c r="HT143" s="1251"/>
      <c r="HU143" s="1251"/>
      <c r="HV143" s="1251"/>
      <c r="HW143" s="1251"/>
      <c r="HX143" s="1251"/>
      <c r="HY143" s="1251"/>
      <c r="HZ143" s="1251"/>
      <c r="IA143" s="1251"/>
      <c r="IB143" s="1251"/>
      <c r="IC143" s="1251"/>
      <c r="ID143" s="1251"/>
      <c r="IE143" s="1251"/>
      <c r="IF143" s="1251"/>
      <c r="IG143" s="1251"/>
      <c r="IH143" s="1251"/>
      <c r="II143" s="1251"/>
      <c r="IJ143" s="1251"/>
      <c r="IK143" s="1251"/>
      <c r="IL143" s="1251"/>
      <c r="IM143" s="1251"/>
      <c r="IN143" s="1251"/>
      <c r="IO143" s="1251"/>
      <c r="IP143" s="1251"/>
      <c r="IQ143" s="1251"/>
      <c r="IR143" s="1251"/>
      <c r="IS143" s="1251"/>
      <c r="IT143" s="1251"/>
      <c r="IU143" s="1251"/>
      <c r="IV143" s="1251"/>
      <c r="IW143" s="1251"/>
      <c r="IX143" s="1251"/>
      <c r="IY143" s="1251"/>
      <c r="IZ143" s="1251"/>
      <c r="JA143" s="1251"/>
      <c r="JB143" s="1251"/>
      <c r="JC143" s="1251"/>
      <c r="JD143" s="1251"/>
      <c r="JE143" s="1251"/>
      <c r="JF143" s="1251"/>
      <c r="JG143" s="1251"/>
      <c r="JH143" s="1251"/>
      <c r="JI143" s="1251"/>
      <c r="JJ143" s="1251"/>
      <c r="JK143" s="1251"/>
      <c r="JL143" s="1251"/>
      <c r="JM143" s="1251"/>
      <c r="JN143" s="1251"/>
      <c r="JO143" s="1251"/>
      <c r="JP143" s="1251"/>
      <c r="JQ143" s="1251"/>
      <c r="JR143" s="1251"/>
      <c r="JS143" s="1251"/>
      <c r="JT143" s="1251"/>
      <c r="JU143" s="1251"/>
      <c r="JV143" s="1251"/>
      <c r="JW143" s="1251"/>
      <c r="JX143" s="1251"/>
      <c r="JY143" s="1251"/>
      <c r="JZ143" s="1251"/>
      <c r="KA143" s="1251"/>
      <c r="KB143" s="1251"/>
      <c r="KC143" s="1251"/>
      <c r="KD143" s="1251"/>
      <c r="KE143" s="1251"/>
      <c r="KF143" s="1251"/>
      <c r="KG143" s="1251"/>
      <c r="KH143" s="1251"/>
      <c r="KI143" s="1251"/>
      <c r="KJ143" s="1251"/>
      <c r="KK143" s="1251"/>
      <c r="KL143" s="1251"/>
      <c r="KM143" s="1251"/>
      <c r="KN143" s="1251"/>
      <c r="KO143" s="1251"/>
      <c r="KP143" s="1251"/>
      <c r="KQ143" s="1251"/>
      <c r="KR143" s="1251"/>
      <c r="KS143" s="1251"/>
      <c r="KT143" s="1251"/>
      <c r="KU143" s="1251"/>
      <c r="KV143" s="1251"/>
      <c r="KW143" s="1251"/>
      <c r="KX143" s="1251"/>
      <c r="KY143" s="1251"/>
      <c r="KZ143" s="1251"/>
      <c r="LA143" s="1251"/>
      <c r="LB143" s="1251"/>
      <c r="LC143" s="1251"/>
      <c r="LD143" s="1251"/>
      <c r="LE143" s="1251"/>
      <c r="LF143" s="1251"/>
      <c r="LG143" s="1251"/>
      <c r="LH143" s="1251"/>
      <c r="LI143" s="1251"/>
      <c r="LJ143" s="1251"/>
      <c r="LK143" s="1251"/>
      <c r="LL143" s="1251"/>
      <c r="LM143" s="1251"/>
      <c r="LN143" s="1251"/>
      <c r="LO143" s="1251"/>
      <c r="LP143" s="1251"/>
      <c r="LQ143" s="1251"/>
      <c r="LR143" s="1251"/>
      <c r="LS143" s="1251"/>
      <c r="LT143" s="1251"/>
      <c r="LU143" s="1251"/>
      <c r="LV143" s="1251"/>
      <c r="LW143" s="1251"/>
      <c r="LX143" s="1251"/>
      <c r="LY143" s="1251"/>
      <c r="LZ143" s="1251"/>
      <c r="MA143" s="1251"/>
      <c r="MB143" s="1251"/>
      <c r="MC143" s="1251"/>
      <c r="MD143" s="1251"/>
      <c r="ME143" s="1251"/>
      <c r="MF143" s="1251"/>
      <c r="MG143" s="1251"/>
      <c r="MH143" s="1251"/>
      <c r="MI143" s="1251"/>
      <c r="MJ143" s="1251"/>
      <c r="MK143" s="1251"/>
      <c r="ML143" s="1251"/>
      <c r="MM143" s="1251"/>
      <c r="MN143" s="1251"/>
      <c r="MO143" s="1251"/>
      <c r="MP143" s="1251"/>
      <c r="MQ143" s="1251"/>
      <c r="MR143" s="1251"/>
      <c r="MS143" s="1251"/>
      <c r="MT143" s="1251"/>
      <c r="MU143" s="1251"/>
      <c r="MV143" s="1251"/>
      <c r="MW143" s="1251"/>
      <c r="MX143" s="1251"/>
      <c r="MY143" s="1251"/>
      <c r="MZ143" s="1251"/>
      <c r="NA143" s="1251"/>
      <c r="NB143" s="1251"/>
      <c r="NC143" s="1251"/>
      <c r="ND143" s="1251"/>
      <c r="NE143" s="1251"/>
      <c r="NF143" s="1251"/>
      <c r="NG143" s="1251"/>
      <c r="NH143" s="1251"/>
      <c r="NI143" s="1251"/>
      <c r="NJ143" s="1251"/>
      <c r="NK143" s="1251"/>
      <c r="NL143" s="1251"/>
      <c r="NM143" s="1251"/>
      <c r="NN143" s="1251"/>
      <c r="NO143" s="1251"/>
      <c r="NP143" s="1251"/>
      <c r="NQ143" s="1251"/>
      <c r="NR143" s="1251"/>
      <c r="NS143" s="1251"/>
      <c r="NT143" s="1251"/>
      <c r="NU143" s="1251"/>
      <c r="NV143" s="1251"/>
      <c r="NW143" s="1251"/>
      <c r="NX143" s="1251"/>
      <c r="NY143" s="1251"/>
      <c r="NZ143" s="1251"/>
      <c r="OA143" s="1251"/>
      <c r="OB143" s="1251"/>
      <c r="OC143" s="1251"/>
      <c r="OD143" s="1251"/>
      <c r="OE143" s="1251"/>
      <c r="OF143" s="1251"/>
      <c r="OG143" s="1251"/>
      <c r="OH143" s="1251"/>
      <c r="OI143" s="1251"/>
      <c r="OJ143" s="1251"/>
      <c r="OK143" s="1251"/>
      <c r="OL143" s="1251"/>
      <c r="OM143" s="1251"/>
      <c r="ON143" s="1251"/>
      <c r="OO143" s="1251"/>
      <c r="OP143" s="1251"/>
      <c r="OQ143" s="1251"/>
      <c r="OR143" s="1251"/>
      <c r="OS143" s="1251"/>
      <c r="OT143" s="1251"/>
      <c r="OU143" s="1251"/>
      <c r="OV143" s="1251"/>
      <c r="OW143" s="1251"/>
      <c r="OX143" s="1251"/>
      <c r="OY143" s="1251"/>
      <c r="OZ143" s="1251"/>
      <c r="PA143" s="1251"/>
      <c r="PB143" s="1251"/>
      <c r="PC143" s="1251"/>
      <c r="PD143" s="1251"/>
      <c r="PE143" s="1251"/>
      <c r="PF143" s="1251"/>
      <c r="PG143" s="1251"/>
      <c r="PH143" s="1251"/>
      <c r="PI143" s="1251"/>
      <c r="PJ143" s="1251"/>
      <c r="PK143" s="1251"/>
      <c r="PL143" s="1251"/>
      <c r="PM143" s="1251"/>
      <c r="PN143" s="1251"/>
      <c r="PO143" s="1251"/>
      <c r="PP143" s="1251"/>
      <c r="PQ143" s="1251"/>
      <c r="PR143" s="1251"/>
      <c r="PS143" s="1251"/>
      <c r="PT143" s="1251"/>
      <c r="PU143" s="1251"/>
      <c r="PV143" s="1251"/>
      <c r="PW143" s="1251"/>
      <c r="PX143" s="1251"/>
      <c r="PY143" s="1251"/>
      <c r="PZ143" s="1251"/>
      <c r="QA143" s="1251"/>
      <c r="QB143" s="1251"/>
      <c r="QC143" s="1251"/>
      <c r="QD143" s="1251"/>
      <c r="QE143" s="1251"/>
      <c r="QF143" s="1251"/>
      <c r="QG143" s="1251"/>
      <c r="QH143" s="1251"/>
      <c r="QI143" s="1251"/>
      <c r="QJ143" s="1251"/>
      <c r="QK143" s="1251"/>
      <c r="QL143" s="1251"/>
      <c r="QM143" s="1251"/>
      <c r="QN143" s="1251"/>
      <c r="QO143" s="1251"/>
      <c r="QP143" s="1251"/>
      <c r="QQ143" s="1251"/>
      <c r="QR143" s="1251"/>
      <c r="QS143" s="1251"/>
      <c r="QT143" s="1251"/>
      <c r="QU143" s="1251"/>
      <c r="QV143" s="1251"/>
      <c r="QW143" s="1251"/>
      <c r="QX143" s="1251"/>
      <c r="QY143" s="1251"/>
      <c r="QZ143" s="1251"/>
      <c r="RA143" s="1251"/>
      <c r="RB143" s="1251"/>
      <c r="RC143" s="1251"/>
      <c r="RD143" s="1251"/>
      <c r="RE143" s="1251"/>
      <c r="RF143" s="1251"/>
      <c r="RG143" s="1251"/>
      <c r="RH143" s="1251"/>
      <c r="RI143" s="1251"/>
      <c r="RJ143" s="1251"/>
      <c r="RK143" s="1251"/>
      <c r="RL143" s="1251"/>
      <c r="RM143" s="1251"/>
      <c r="RN143" s="1251"/>
      <c r="RO143" s="1251"/>
      <c r="RP143" s="1251"/>
      <c r="RQ143" s="1251"/>
      <c r="RR143" s="1251"/>
      <c r="RS143" s="1251"/>
      <c r="RT143" s="1251"/>
      <c r="RU143" s="1251"/>
      <c r="RV143" s="1251"/>
      <c r="RW143" s="1251"/>
      <c r="RX143" s="1251"/>
      <c r="RY143" s="1251"/>
      <c r="RZ143" s="1251"/>
      <c r="SA143" s="1251"/>
      <c r="SB143" s="1251"/>
      <c r="SC143" s="1251"/>
      <c r="SD143" s="1251"/>
      <c r="SE143" s="1251"/>
      <c r="SF143" s="1251"/>
      <c r="SG143" s="1251"/>
      <c r="SH143" s="1251"/>
      <c r="SI143" s="1251"/>
      <c r="SJ143" s="1251"/>
      <c r="SK143" s="1251"/>
      <c r="SL143" s="1251"/>
      <c r="SM143" s="1251"/>
      <c r="SN143" s="1251"/>
      <c r="SO143" s="1251"/>
      <c r="SP143" s="1251"/>
      <c r="SQ143" s="1251"/>
      <c r="SR143" s="1251"/>
      <c r="SS143" s="1251"/>
      <c r="ST143" s="1251"/>
      <c r="SU143" s="1251"/>
      <c r="SV143" s="1251"/>
      <c r="SW143" s="1251"/>
      <c r="SX143" s="1251"/>
      <c r="SY143" s="1251"/>
      <c r="SZ143" s="1251"/>
      <c r="TA143" s="1251"/>
      <c r="TB143" s="1251"/>
      <c r="TC143" s="1251"/>
      <c r="TD143" s="1251"/>
      <c r="TE143" s="1251"/>
      <c r="TF143" s="1251"/>
      <c r="TG143" s="1251"/>
      <c r="TH143" s="1251"/>
      <c r="TI143" s="1251"/>
      <c r="TJ143" s="1251"/>
      <c r="TK143" s="1251"/>
      <c r="TL143" s="1251"/>
      <c r="TM143" s="1251"/>
      <c r="TN143" s="1251"/>
      <c r="TO143" s="1251"/>
      <c r="TP143" s="1251"/>
      <c r="TQ143" s="1251"/>
      <c r="TR143" s="1251"/>
      <c r="TS143" s="1251"/>
      <c r="TT143" s="1251"/>
      <c r="TU143" s="1251"/>
      <c r="TV143" s="1251"/>
      <c r="TW143" s="1251"/>
      <c r="TX143" s="1251"/>
      <c r="TY143" s="1251"/>
      <c r="TZ143" s="1251"/>
      <c r="UA143" s="1251"/>
      <c r="UB143" s="1251"/>
      <c r="UC143" s="1251"/>
      <c r="UD143" s="1251"/>
      <c r="UE143" s="1251"/>
      <c r="UF143" s="1251"/>
      <c r="UG143" s="1251"/>
      <c r="UH143" s="1251"/>
      <c r="UI143" s="1251"/>
      <c r="UJ143" s="1251"/>
      <c r="UK143" s="1251"/>
      <c r="UL143" s="1251"/>
      <c r="UM143" s="1251"/>
      <c r="UN143" s="1251"/>
      <c r="UO143" s="1251"/>
      <c r="UP143" s="1251"/>
      <c r="UQ143" s="1251"/>
      <c r="UR143" s="1251"/>
      <c r="US143" s="1251"/>
      <c r="UT143" s="1251"/>
      <c r="UU143" s="1251"/>
      <c r="UV143" s="1251"/>
      <c r="UW143" s="1251"/>
      <c r="UX143" s="1251"/>
      <c r="UY143" s="1251"/>
      <c r="UZ143" s="1251"/>
      <c r="VA143" s="1251"/>
      <c r="VB143" s="1251"/>
      <c r="VC143" s="1251"/>
      <c r="VD143" s="1251"/>
      <c r="VE143" s="1251"/>
      <c r="VF143" s="1251"/>
      <c r="VG143" s="1251"/>
      <c r="VH143" s="1251"/>
      <c r="VI143" s="1251"/>
      <c r="VJ143" s="1251"/>
      <c r="VK143" s="1251"/>
      <c r="VL143" s="1251"/>
      <c r="VM143" s="1251"/>
      <c r="VN143" s="1251"/>
      <c r="VO143" s="1251"/>
      <c r="VP143" s="1251"/>
      <c r="VQ143" s="1251"/>
      <c r="VR143" s="1251"/>
      <c r="VS143" s="1251"/>
      <c r="VT143" s="1251"/>
      <c r="VU143" s="1251"/>
      <c r="VV143" s="1251"/>
      <c r="VW143" s="1251"/>
      <c r="VX143" s="1251"/>
      <c r="VY143" s="1251"/>
      <c r="VZ143" s="1251"/>
      <c r="WA143" s="1251"/>
      <c r="WB143" s="1251"/>
      <c r="WC143" s="1251"/>
      <c r="WD143" s="1251"/>
      <c r="WE143" s="1251"/>
      <c r="WF143" s="1251"/>
      <c r="WG143" s="1251"/>
      <c r="WH143" s="1251"/>
      <c r="WI143" s="1251"/>
      <c r="WJ143" s="1251"/>
      <c r="WK143" s="1251"/>
      <c r="WL143" s="1251"/>
      <c r="WM143" s="1251"/>
      <c r="WN143" s="1251"/>
      <c r="WO143" s="1251"/>
      <c r="WP143" s="1251"/>
      <c r="WQ143" s="1251"/>
      <c r="WR143" s="1251"/>
      <c r="WS143" s="1251"/>
      <c r="WT143" s="1251"/>
      <c r="WU143" s="1251"/>
      <c r="WV143" s="1251"/>
      <c r="WW143" s="1251"/>
      <c r="WX143" s="1251"/>
      <c r="WY143" s="1251"/>
      <c r="WZ143" s="1251"/>
      <c r="XA143" s="1251"/>
      <c r="XB143" s="1251"/>
      <c r="XC143" s="1251"/>
      <c r="XD143" s="1251"/>
      <c r="XE143" s="1251"/>
      <c r="XF143" s="1251"/>
      <c r="XG143" s="1251"/>
      <c r="XH143" s="1251"/>
      <c r="XI143" s="1251"/>
      <c r="XJ143" s="1251"/>
      <c r="XK143" s="1251"/>
      <c r="XL143" s="1251"/>
      <c r="XM143" s="1251"/>
      <c r="XN143" s="1251"/>
      <c r="XO143" s="1251"/>
      <c r="XP143" s="1251"/>
      <c r="XQ143" s="1251"/>
      <c r="XR143" s="1251"/>
      <c r="XS143" s="1251"/>
      <c r="XT143" s="1251"/>
      <c r="XU143" s="1251"/>
      <c r="XV143" s="1251"/>
      <c r="XW143" s="1251"/>
      <c r="XX143" s="1251"/>
      <c r="XY143" s="1251"/>
      <c r="XZ143" s="1251"/>
      <c r="YA143" s="1251"/>
      <c r="YB143" s="1251"/>
      <c r="YC143" s="1251"/>
      <c r="YD143" s="1251"/>
      <c r="YE143" s="1251"/>
      <c r="YF143" s="1251"/>
      <c r="YG143" s="1251"/>
      <c r="YH143" s="1251"/>
      <c r="YI143" s="1251"/>
      <c r="YJ143" s="1251"/>
      <c r="YK143" s="1251"/>
      <c r="YL143" s="1251"/>
      <c r="YM143" s="1251"/>
      <c r="YN143" s="1251"/>
      <c r="YO143" s="1251"/>
      <c r="YP143" s="1251"/>
      <c r="YQ143" s="1251"/>
      <c r="YR143" s="1251"/>
      <c r="YS143" s="1251"/>
      <c r="YT143" s="1251"/>
      <c r="YU143" s="1251"/>
      <c r="YV143" s="1251"/>
      <c r="YW143" s="1251"/>
      <c r="YX143" s="1251"/>
      <c r="YY143" s="1251"/>
      <c r="YZ143" s="1251"/>
      <c r="ZA143" s="1251"/>
      <c r="ZB143" s="1251"/>
      <c r="ZC143" s="1251"/>
      <c r="ZD143" s="1251"/>
      <c r="ZE143" s="1251"/>
      <c r="ZF143" s="1251"/>
      <c r="ZG143" s="1251"/>
      <c r="ZH143" s="1251"/>
      <c r="ZI143" s="1251"/>
      <c r="ZJ143" s="1251"/>
      <c r="ZK143" s="1251"/>
      <c r="ZL143" s="1251"/>
      <c r="ZM143" s="1251"/>
      <c r="ZN143" s="1251"/>
      <c r="ZO143" s="1251"/>
      <c r="ZP143" s="1251"/>
      <c r="ZQ143" s="1251"/>
      <c r="ZR143" s="1251"/>
      <c r="ZS143" s="1251"/>
      <c r="ZT143" s="1251"/>
      <c r="ZU143" s="1251"/>
      <c r="ZV143" s="1251"/>
      <c r="ZW143" s="1251"/>
      <c r="ZX143" s="1251"/>
      <c r="ZY143" s="1251"/>
      <c r="ZZ143" s="1251"/>
      <c r="AAA143" s="1251"/>
      <c r="AAB143" s="1251"/>
      <c r="AAC143" s="1251"/>
      <c r="AAD143" s="1251"/>
      <c r="AAE143" s="1251"/>
      <c r="AAF143" s="1251"/>
      <c r="AAG143" s="1251"/>
      <c r="AAH143" s="1251"/>
      <c r="AAI143" s="1251"/>
      <c r="AAJ143" s="1251"/>
      <c r="AAK143" s="1251"/>
      <c r="AAL143" s="1251"/>
      <c r="AAM143" s="1251"/>
      <c r="AAN143" s="1251"/>
      <c r="AAO143" s="1251"/>
      <c r="AAP143" s="1251"/>
      <c r="AAQ143" s="1251"/>
      <c r="AAR143" s="1251"/>
      <c r="AAS143" s="1251"/>
      <c r="AAT143" s="1251"/>
      <c r="AAU143" s="1251"/>
      <c r="AAV143" s="1251"/>
      <c r="AAW143" s="1251"/>
      <c r="AAX143" s="1251"/>
      <c r="AAY143" s="1251"/>
      <c r="AAZ143" s="1251"/>
      <c r="ABA143" s="1251"/>
      <c r="ABB143" s="1251"/>
      <c r="ABC143" s="1251"/>
      <c r="ABD143" s="1251"/>
      <c r="ABE143" s="1251"/>
      <c r="ABF143" s="1251"/>
      <c r="ABG143" s="1251"/>
      <c r="ABH143" s="1251"/>
      <c r="ABI143" s="1251"/>
      <c r="ABJ143" s="1251"/>
      <c r="ABK143" s="1251"/>
      <c r="ABL143" s="1251"/>
      <c r="ABM143" s="1251"/>
      <c r="ABN143" s="1251"/>
      <c r="ABO143" s="1251"/>
      <c r="ABP143" s="1251"/>
      <c r="ABQ143" s="1251"/>
      <c r="ABR143" s="1251"/>
      <c r="ABS143" s="1251"/>
      <c r="ABT143" s="1251"/>
      <c r="ABU143" s="1251"/>
      <c r="ABV143" s="1251"/>
      <c r="ABW143" s="1251"/>
      <c r="ABX143" s="1251"/>
      <c r="ABY143" s="1251"/>
      <c r="ABZ143" s="1251"/>
      <c r="ACA143" s="1251"/>
      <c r="ACB143" s="1251"/>
      <c r="ACC143" s="1251"/>
      <c r="ACD143" s="1251"/>
      <c r="ACE143" s="1251"/>
      <c r="ACF143" s="1251"/>
      <c r="ACG143" s="1251"/>
      <c r="ACH143" s="1251"/>
      <c r="ACI143" s="1251"/>
      <c r="ACJ143" s="1251"/>
      <c r="ACK143" s="1251"/>
      <c r="ACL143" s="1251"/>
      <c r="ACM143" s="1251"/>
      <c r="ACN143" s="1251"/>
      <c r="ACO143" s="1251"/>
      <c r="ACP143" s="1251"/>
      <c r="ACQ143" s="1251"/>
      <c r="ACR143" s="1251"/>
      <c r="ACS143" s="1251"/>
      <c r="ACT143" s="1251"/>
      <c r="ACU143" s="1251"/>
      <c r="ACV143" s="1251"/>
      <c r="ACW143" s="1251"/>
      <c r="ACX143" s="1251"/>
      <c r="ACY143" s="1251"/>
      <c r="ACZ143" s="1251"/>
      <c r="ADA143" s="1251"/>
      <c r="ADB143" s="1251"/>
      <c r="ADC143" s="1251"/>
      <c r="ADD143" s="1251"/>
      <c r="ADE143" s="1251"/>
      <c r="ADF143" s="1251"/>
      <c r="ADG143" s="1251"/>
      <c r="ADH143" s="1251"/>
      <c r="ADI143" s="1251"/>
      <c r="ADJ143" s="1251"/>
      <c r="ADK143" s="1251"/>
      <c r="ADL143" s="1251"/>
      <c r="ADM143" s="1251"/>
      <c r="ADN143" s="1251"/>
      <c r="ADO143" s="1251"/>
      <c r="ADP143" s="1251"/>
      <c r="ADQ143" s="1251"/>
      <c r="ADR143" s="1251"/>
      <c r="ADS143" s="1251"/>
      <c r="ADT143" s="1251"/>
      <c r="ADU143" s="1251"/>
      <c r="ADV143" s="1251"/>
      <c r="ADW143" s="1251"/>
      <c r="ADX143" s="1251"/>
      <c r="ADY143" s="1251"/>
      <c r="ADZ143" s="1251"/>
      <c r="AEA143" s="1251"/>
      <c r="AEB143" s="1251"/>
      <c r="AEC143" s="1251"/>
      <c r="AED143" s="1251"/>
      <c r="AEE143" s="1251"/>
      <c r="AEF143" s="1251"/>
      <c r="AEG143" s="1251"/>
      <c r="AEH143" s="1251"/>
      <c r="AEI143" s="1251"/>
      <c r="AEJ143" s="1251"/>
      <c r="AEK143" s="1251"/>
      <c r="AEL143" s="1251"/>
      <c r="AEM143" s="1251"/>
      <c r="AEN143" s="1251"/>
      <c r="AEO143" s="1251"/>
      <c r="AEP143" s="1251"/>
      <c r="AEQ143" s="1251"/>
      <c r="AER143" s="1251"/>
      <c r="AES143" s="1251"/>
      <c r="AET143" s="1251"/>
      <c r="AEU143" s="1251"/>
      <c r="AEV143" s="1251"/>
      <c r="AEW143" s="1251"/>
      <c r="AEX143" s="1251"/>
      <c r="AEY143" s="1251"/>
      <c r="AEZ143" s="1251"/>
      <c r="AFA143" s="1251"/>
      <c r="AFB143" s="1251"/>
      <c r="AFC143" s="1251"/>
      <c r="AFD143" s="1251"/>
      <c r="AFE143" s="1251"/>
      <c r="AFF143" s="1251"/>
      <c r="AFG143" s="1251"/>
      <c r="AFH143" s="1251"/>
      <c r="AFI143" s="1251"/>
      <c r="AFJ143" s="1251"/>
      <c r="AFK143" s="1251"/>
      <c r="AFL143" s="1251"/>
      <c r="AFM143" s="1251"/>
      <c r="AFN143" s="1251"/>
      <c r="AFO143" s="1251"/>
      <c r="AFP143" s="1251"/>
      <c r="AFQ143" s="1251"/>
      <c r="AFR143" s="1251"/>
      <c r="AFS143" s="1251"/>
      <c r="AFT143" s="1251"/>
      <c r="AFU143" s="1251"/>
      <c r="AFV143" s="1251"/>
      <c r="AFW143" s="1251"/>
      <c r="AFX143" s="1251"/>
      <c r="AFY143" s="1251"/>
      <c r="AFZ143" s="1251"/>
      <c r="AGA143" s="1251"/>
      <c r="AGB143" s="1251"/>
      <c r="AGC143" s="1251"/>
      <c r="AGD143" s="1251"/>
      <c r="AGE143" s="1251"/>
      <c r="AGF143" s="1251"/>
      <c r="AGG143" s="1251"/>
      <c r="AGH143" s="1251"/>
      <c r="AGI143" s="1251"/>
      <c r="AGJ143" s="1251"/>
      <c r="AGK143" s="1251"/>
      <c r="AGL143" s="1251"/>
      <c r="AGM143" s="1251"/>
      <c r="AGN143" s="1251"/>
      <c r="AGO143" s="1251"/>
      <c r="AGP143" s="1251"/>
      <c r="AGQ143" s="1251"/>
      <c r="AGR143" s="1251"/>
      <c r="AGS143" s="1251"/>
      <c r="AGT143" s="1251"/>
      <c r="AGU143" s="1251"/>
      <c r="AGV143" s="1251"/>
      <c r="AGW143" s="1251"/>
      <c r="AGX143" s="1251"/>
      <c r="AGY143" s="1251"/>
      <c r="AGZ143" s="1251"/>
      <c r="AHA143" s="1251"/>
      <c r="AHB143" s="1251"/>
      <c r="AHC143" s="1251"/>
      <c r="AHD143" s="1251"/>
      <c r="AHE143" s="1251"/>
      <c r="AHF143" s="1251"/>
      <c r="AHG143" s="1251"/>
      <c r="AHH143" s="1251"/>
      <c r="AHI143" s="1251"/>
      <c r="AHJ143" s="1251"/>
      <c r="AHK143" s="1251"/>
      <c r="AHL143" s="1251"/>
      <c r="AHM143" s="1251"/>
      <c r="AHN143" s="1251"/>
      <c r="AHO143" s="1251"/>
      <c r="AHP143" s="1251"/>
      <c r="AHQ143" s="1251"/>
      <c r="AHR143" s="1251"/>
      <c r="AHS143" s="1251"/>
      <c r="AHT143" s="1251"/>
      <c r="AHU143" s="1251"/>
      <c r="AHV143" s="1251"/>
      <c r="AHW143" s="1251"/>
      <c r="AHX143" s="1251"/>
      <c r="AHY143" s="1251"/>
      <c r="AHZ143" s="1251"/>
      <c r="AIA143" s="1251"/>
      <c r="AIB143" s="1251"/>
      <c r="AIC143" s="1251"/>
      <c r="AID143" s="1251"/>
      <c r="AIE143" s="1251"/>
      <c r="AIF143" s="1251"/>
      <c r="AIG143" s="1251"/>
      <c r="AIH143" s="1251"/>
      <c r="AII143" s="1251"/>
      <c r="AIJ143" s="1251"/>
      <c r="AIK143" s="1251"/>
      <c r="AIL143" s="1251"/>
      <c r="AIM143" s="1251"/>
      <c r="AIN143" s="1251"/>
      <c r="AIO143" s="1251"/>
      <c r="AIP143" s="1251"/>
      <c r="AIQ143" s="1251"/>
      <c r="AIR143" s="1251"/>
      <c r="AIS143" s="1251"/>
      <c r="AIT143" s="1251"/>
      <c r="AIU143" s="1251"/>
      <c r="AIV143" s="1251"/>
      <c r="AIW143" s="1251"/>
      <c r="AIX143" s="1251"/>
      <c r="AIY143" s="1251"/>
      <c r="AIZ143" s="1251"/>
      <c r="AJA143" s="1251"/>
      <c r="AJB143" s="1251"/>
      <c r="AJC143" s="1251"/>
      <c r="AJD143" s="1251"/>
      <c r="AJE143" s="1251"/>
      <c r="AJF143" s="1251"/>
      <c r="AJG143" s="1251"/>
      <c r="AJH143" s="1251"/>
      <c r="AJI143" s="1251"/>
      <c r="AJJ143" s="1251"/>
      <c r="AJK143" s="1251"/>
      <c r="AJL143" s="1251"/>
      <c r="AJM143" s="1251"/>
      <c r="AJN143" s="1251"/>
      <c r="AJO143" s="1251"/>
      <c r="AJP143" s="1251"/>
      <c r="AJQ143" s="1251"/>
      <c r="AJR143" s="1251"/>
      <c r="AJS143" s="1251"/>
      <c r="AJT143" s="1251"/>
      <c r="AJU143" s="1251"/>
      <c r="AJV143" s="1251"/>
      <c r="AJW143" s="1251"/>
      <c r="AJX143" s="1251"/>
      <c r="AJY143" s="1251"/>
      <c r="AJZ143" s="1251"/>
      <c r="AKA143" s="1251"/>
      <c r="AKB143" s="1251"/>
      <c r="AKC143" s="1251"/>
      <c r="AKD143" s="1251"/>
      <c r="AKE143" s="1251"/>
      <c r="AKF143" s="1251"/>
      <c r="AKG143" s="1251"/>
      <c r="AKH143" s="1251"/>
      <c r="AKI143" s="1251"/>
      <c r="AKJ143" s="1251"/>
      <c r="AKK143" s="1251"/>
      <c r="AKL143" s="1251"/>
      <c r="AKM143" s="1251"/>
      <c r="AKN143" s="1251"/>
      <c r="AKO143" s="1251"/>
      <c r="AKP143" s="1251"/>
      <c r="AKQ143" s="1251"/>
      <c r="AKR143" s="1251"/>
      <c r="AKS143" s="1251"/>
      <c r="AKT143" s="1251"/>
      <c r="AKU143" s="1251"/>
      <c r="AKV143" s="1251"/>
      <c r="AKW143" s="1251"/>
      <c r="AKX143" s="1251"/>
      <c r="AKY143" s="1251"/>
      <c r="AKZ143" s="1251"/>
      <c r="ALA143" s="1251"/>
      <c r="ALB143" s="1251"/>
      <c r="ALC143" s="1251"/>
      <c r="ALD143" s="1251"/>
      <c r="ALE143" s="1251"/>
      <c r="ALF143" s="1251"/>
      <c r="ALG143" s="1251"/>
      <c r="ALH143" s="1251"/>
      <c r="ALI143" s="1251"/>
      <c r="ALJ143" s="1251"/>
      <c r="ALK143" s="1251"/>
      <c r="ALL143" s="1251"/>
      <c r="ALM143" s="1251"/>
      <c r="ALN143" s="1251"/>
      <c r="ALO143" s="1251"/>
      <c r="ALP143" s="1251"/>
      <c r="ALQ143" s="1251"/>
      <c r="ALR143" s="1251"/>
      <c r="ALS143" s="1251"/>
      <c r="ALT143" s="1251"/>
      <c r="ALU143" s="1251"/>
      <c r="ALV143" s="1251"/>
      <c r="ALW143" s="1251"/>
      <c r="ALX143" s="1251"/>
      <c r="ALY143" s="1251"/>
      <c r="ALZ143" s="1251"/>
      <c r="AMA143" s="1251"/>
      <c r="AMB143" s="1251"/>
      <c r="AMC143" s="1251"/>
      <c r="AMD143" s="1251"/>
      <c r="AME143" s="1251"/>
      <c r="AMF143" s="1251"/>
      <c r="AMG143" s="1251"/>
      <c r="AMH143" s="1251"/>
      <c r="AMI143" s="1251"/>
      <c r="AMJ143" s="1251"/>
      <c r="AMK143" s="1251"/>
      <c r="AML143" s="1251"/>
      <c r="AMM143" s="1251"/>
      <c r="AMN143" s="1251"/>
      <c r="AMO143" s="1251"/>
      <c r="AMP143" s="1251"/>
      <c r="AMQ143" s="1251"/>
      <c r="AMR143" s="1251"/>
      <c r="AMS143" s="1251"/>
      <c r="AMT143" s="1251"/>
      <c r="AMU143" s="1251"/>
      <c r="AMV143" s="1251"/>
      <c r="AMW143" s="1251"/>
      <c r="AMX143" s="1251"/>
      <c r="AMY143" s="1251"/>
      <c r="AMZ143" s="1251"/>
      <c r="ANA143" s="1251"/>
      <c r="ANB143" s="1251"/>
      <c r="ANC143" s="1251"/>
      <c r="AND143" s="1251"/>
      <c r="ANE143" s="1251"/>
      <c r="ANF143" s="1251"/>
      <c r="ANG143" s="1251"/>
      <c r="ANH143" s="1251"/>
      <c r="ANI143" s="1251"/>
      <c r="ANJ143" s="1251"/>
      <c r="ANK143" s="1251"/>
      <c r="ANL143" s="1251"/>
      <c r="ANM143" s="1251"/>
      <c r="ANN143" s="1251"/>
      <c r="ANO143" s="1251"/>
      <c r="ANP143" s="1251"/>
      <c r="ANQ143" s="1251"/>
      <c r="ANR143" s="1251"/>
      <c r="ANS143" s="1251"/>
      <c r="ANT143" s="1251"/>
      <c r="ANU143" s="1251"/>
      <c r="ANV143" s="1251"/>
      <c r="ANW143" s="1251"/>
      <c r="ANX143" s="1251"/>
      <c r="ANY143" s="1251"/>
      <c r="ANZ143" s="1251"/>
      <c r="AOA143" s="1251"/>
      <c r="AOB143" s="1251"/>
      <c r="AOC143" s="1251"/>
      <c r="AOD143" s="1251"/>
      <c r="AOE143" s="1251"/>
      <c r="AOF143" s="1251"/>
      <c r="AOG143" s="1251"/>
      <c r="AOH143" s="1251"/>
      <c r="AOI143" s="1251"/>
      <c r="AOJ143" s="1251"/>
      <c r="AOK143" s="1251"/>
      <c r="AOL143" s="1251"/>
      <c r="AOM143" s="1251"/>
      <c r="AON143" s="1251"/>
      <c r="AOO143" s="1251"/>
      <c r="AOP143" s="1251"/>
      <c r="AOQ143" s="1251"/>
      <c r="AOR143" s="1251"/>
      <c r="AOS143" s="1251"/>
      <c r="AOT143" s="1251"/>
      <c r="AOU143" s="1251"/>
      <c r="AOV143" s="1251"/>
      <c r="AOW143" s="1251"/>
      <c r="AOX143" s="1251"/>
      <c r="AOY143" s="1251"/>
      <c r="AOZ143" s="1251"/>
      <c r="APA143" s="1251"/>
      <c r="APB143" s="1251"/>
      <c r="APC143" s="1251"/>
      <c r="APD143" s="1251"/>
      <c r="APE143" s="1251"/>
      <c r="APF143" s="1251"/>
      <c r="APG143" s="1251"/>
      <c r="APH143" s="1251"/>
      <c r="API143" s="1251"/>
      <c r="APJ143" s="1251"/>
      <c r="APK143" s="1251"/>
      <c r="APL143" s="1251"/>
      <c r="APM143" s="1251"/>
      <c r="APN143" s="1251"/>
      <c r="APO143" s="1251"/>
      <c r="APP143" s="1251"/>
      <c r="APQ143" s="1251"/>
      <c r="APR143" s="1251"/>
      <c r="APS143" s="1251"/>
      <c r="APT143" s="1251"/>
      <c r="APU143" s="1251"/>
      <c r="APV143" s="1251"/>
      <c r="APW143" s="1251"/>
      <c r="APX143" s="1251"/>
      <c r="APY143" s="1251"/>
      <c r="APZ143" s="1251"/>
      <c r="AQA143" s="1251"/>
      <c r="AQB143" s="1251"/>
      <c r="AQC143" s="1251"/>
      <c r="AQD143" s="1251"/>
      <c r="AQE143" s="1251"/>
      <c r="AQF143" s="1251"/>
      <c r="AQG143" s="1251"/>
      <c r="AQH143" s="1251"/>
      <c r="AQI143" s="1251"/>
      <c r="AQJ143" s="1251"/>
      <c r="AQK143" s="1251"/>
      <c r="AQL143" s="1251"/>
      <c r="AQM143" s="1251"/>
      <c r="AQN143" s="1251"/>
      <c r="AQO143" s="1251"/>
      <c r="AQP143" s="1251"/>
      <c r="AQQ143" s="1251"/>
      <c r="AQR143" s="1251"/>
      <c r="AQS143" s="1251"/>
      <c r="AQT143" s="1251"/>
      <c r="AQU143" s="1251"/>
      <c r="AQV143" s="1251"/>
      <c r="AQW143" s="1251"/>
      <c r="AQX143" s="1251"/>
      <c r="AQY143" s="1251"/>
      <c r="AQZ143" s="1251"/>
      <c r="ARA143" s="1251"/>
      <c r="ARB143" s="1251"/>
      <c r="ARC143" s="1251"/>
      <c r="ARD143" s="1251"/>
      <c r="ARE143" s="1251"/>
      <c r="ARF143" s="1251"/>
      <c r="ARG143" s="1251"/>
      <c r="ARH143" s="1251"/>
      <c r="ARI143" s="1251"/>
      <c r="ARJ143" s="1251"/>
      <c r="ARK143" s="1251"/>
      <c r="ARL143" s="1251"/>
      <c r="ARM143" s="1251"/>
      <c r="ARN143" s="1251"/>
      <c r="ARO143" s="1251"/>
      <c r="ARP143" s="1251"/>
      <c r="ARQ143" s="1251"/>
      <c r="ARR143" s="1251"/>
      <c r="ARS143" s="1251"/>
      <c r="ART143" s="1251"/>
      <c r="ARU143" s="1251"/>
      <c r="ARV143" s="1251"/>
      <c r="ARW143" s="1251"/>
      <c r="ARX143" s="1251"/>
      <c r="ARY143" s="1251"/>
      <c r="ARZ143" s="1251"/>
      <c r="ASA143" s="1251"/>
      <c r="ASB143" s="1251"/>
      <c r="ASC143" s="1251"/>
      <c r="ASD143" s="1251"/>
      <c r="ASE143" s="1251"/>
      <c r="ASF143" s="1251"/>
      <c r="ASG143" s="1251"/>
      <c r="ASH143" s="1251"/>
      <c r="ASI143" s="1251"/>
      <c r="ASJ143" s="1251"/>
      <c r="ASK143" s="1251"/>
      <c r="ASL143" s="1251"/>
      <c r="ASM143" s="1251"/>
      <c r="ASN143" s="1251"/>
      <c r="ASO143" s="1251"/>
      <c r="ASP143" s="1251"/>
      <c r="ASQ143" s="1251"/>
      <c r="ASR143" s="1251"/>
      <c r="ASS143" s="1251"/>
      <c r="AST143" s="1251"/>
      <c r="ASU143" s="1251"/>
      <c r="ASV143" s="1251"/>
      <c r="ASW143" s="1251"/>
      <c r="ASX143" s="1251"/>
      <c r="ASY143" s="1251"/>
      <c r="ASZ143" s="1251"/>
      <c r="ATA143" s="1251"/>
      <c r="ATB143" s="1251"/>
      <c r="ATC143" s="1251"/>
      <c r="ATD143" s="1251"/>
      <c r="ATE143" s="1251"/>
      <c r="ATF143" s="1251"/>
      <c r="ATG143" s="1251"/>
      <c r="ATH143" s="1251"/>
      <c r="ATI143" s="1251"/>
      <c r="ATJ143" s="1251"/>
      <c r="ATK143" s="1251"/>
      <c r="ATL143" s="1251"/>
      <c r="ATM143" s="1251"/>
      <c r="ATN143" s="1251"/>
      <c r="ATO143" s="1251"/>
      <c r="ATP143" s="1251"/>
      <c r="ATQ143" s="1251"/>
      <c r="ATR143" s="1251"/>
      <c r="ATS143" s="1251"/>
      <c r="ATT143" s="1251"/>
      <c r="ATU143" s="1251"/>
      <c r="ATV143" s="1251"/>
      <c r="ATW143" s="1251"/>
      <c r="ATX143" s="1251"/>
      <c r="ATY143" s="1251"/>
      <c r="ATZ143" s="1251"/>
      <c r="AUA143" s="1251"/>
      <c r="AUB143" s="1251"/>
      <c r="AUC143" s="1251"/>
      <c r="AUD143" s="1251"/>
      <c r="AUE143" s="1251"/>
      <c r="AUF143" s="1251"/>
      <c r="AUG143" s="1251"/>
      <c r="AUH143" s="1251"/>
      <c r="AUI143" s="1251"/>
      <c r="AUJ143" s="1251"/>
      <c r="AUK143" s="1251"/>
      <c r="AUL143" s="1251"/>
      <c r="AUM143" s="1251"/>
      <c r="AUN143" s="1251"/>
      <c r="AUO143" s="1251"/>
      <c r="AUP143" s="1251"/>
      <c r="AUQ143" s="1251"/>
      <c r="AUR143" s="1251"/>
      <c r="AUS143" s="1251"/>
      <c r="AUT143" s="1251"/>
      <c r="AUU143" s="1251"/>
      <c r="AUV143" s="1251"/>
      <c r="AUW143" s="1251"/>
      <c r="AUX143" s="1251"/>
      <c r="AUY143" s="1251"/>
      <c r="AUZ143" s="1251"/>
      <c r="AVA143" s="1251"/>
      <c r="AVB143" s="1251"/>
      <c r="AVC143" s="1251"/>
      <c r="AVD143" s="1251"/>
      <c r="AVE143" s="1251"/>
      <c r="AVF143" s="1251"/>
      <c r="AVG143" s="1251"/>
      <c r="AVH143" s="1251"/>
      <c r="AVI143" s="1251"/>
      <c r="AVJ143" s="1251"/>
      <c r="AVK143" s="1251"/>
      <c r="AVL143" s="1251"/>
      <c r="AVM143" s="1251"/>
      <c r="AVN143" s="1251"/>
      <c r="AVO143" s="1251"/>
      <c r="AVP143" s="1251"/>
      <c r="AVQ143" s="1251"/>
      <c r="AVR143" s="1251"/>
      <c r="AVS143" s="1251"/>
      <c r="AVT143" s="1251"/>
      <c r="AVU143" s="1251"/>
      <c r="AVV143" s="1251"/>
      <c r="AVW143" s="1251"/>
      <c r="AVX143" s="1251"/>
      <c r="AVY143" s="1251"/>
      <c r="AVZ143" s="1251"/>
      <c r="AWA143" s="1251"/>
      <c r="AWB143" s="1251"/>
      <c r="AWC143" s="1251"/>
      <c r="AWD143" s="1251"/>
      <c r="AWE143" s="1251"/>
      <c r="AWF143" s="1251"/>
      <c r="AWG143" s="1251"/>
      <c r="AWH143" s="1251"/>
      <c r="AWI143" s="1251"/>
      <c r="AWJ143" s="1251"/>
      <c r="AWK143" s="1251"/>
      <c r="AWL143" s="1251"/>
      <c r="AWM143" s="1251"/>
      <c r="AWN143" s="1251"/>
      <c r="AWO143" s="1251"/>
      <c r="AWP143" s="1251"/>
      <c r="AWQ143" s="1251"/>
      <c r="AWR143" s="1251"/>
      <c r="AWS143" s="1251"/>
      <c r="AWT143" s="1251"/>
      <c r="AWU143" s="1251"/>
      <c r="AWV143" s="1251"/>
      <c r="AWW143" s="1251"/>
      <c r="AWX143" s="1251"/>
      <c r="AWY143" s="1251"/>
      <c r="AWZ143" s="1251"/>
      <c r="AXA143" s="1251"/>
      <c r="AXB143" s="1251"/>
      <c r="AXC143" s="1251"/>
      <c r="AXD143" s="1251"/>
      <c r="AXE143" s="1251"/>
      <c r="AXF143" s="1251"/>
      <c r="AXG143" s="1251"/>
      <c r="AXH143" s="1251"/>
      <c r="AXI143" s="1251"/>
      <c r="AXJ143" s="1251"/>
      <c r="AXK143" s="1251"/>
      <c r="AXL143" s="1251"/>
      <c r="AXM143" s="1251"/>
      <c r="AXN143" s="1251"/>
      <c r="AXO143" s="1251"/>
      <c r="AXP143" s="1251"/>
      <c r="AXQ143" s="1251"/>
      <c r="AXR143" s="1251"/>
      <c r="AXS143" s="1251"/>
      <c r="AXT143" s="1251"/>
      <c r="AXU143" s="1251"/>
      <c r="AXV143" s="1251"/>
      <c r="AXW143" s="1251"/>
      <c r="AXX143" s="1251"/>
      <c r="AXY143" s="1251"/>
      <c r="AXZ143" s="1251"/>
      <c r="AYA143" s="1251"/>
      <c r="AYB143" s="1251"/>
      <c r="AYC143" s="1251"/>
      <c r="AYD143" s="1251"/>
      <c r="AYE143" s="1251"/>
      <c r="AYF143" s="1251"/>
      <c r="AYG143" s="1251"/>
      <c r="AYH143" s="1251"/>
      <c r="AYI143" s="1251"/>
      <c r="AYJ143" s="1251"/>
      <c r="AYK143" s="1251"/>
      <c r="AYL143" s="1251"/>
      <c r="AYM143" s="1251"/>
      <c r="AYN143" s="1251"/>
      <c r="AYO143" s="1251"/>
      <c r="AYP143" s="1251"/>
      <c r="AYQ143" s="1251"/>
      <c r="AYR143" s="1251"/>
      <c r="AYS143" s="1251"/>
      <c r="AYT143" s="1251"/>
      <c r="AYU143" s="1251"/>
      <c r="AYV143" s="1251"/>
      <c r="AYW143" s="1251"/>
      <c r="AYX143" s="1251"/>
      <c r="AYY143" s="1251"/>
      <c r="AYZ143" s="1251"/>
      <c r="AZA143" s="1251"/>
      <c r="AZB143" s="1251"/>
      <c r="AZC143" s="1251"/>
      <c r="AZD143" s="1251"/>
      <c r="AZE143" s="1251"/>
      <c r="AZF143" s="1251"/>
      <c r="AZG143" s="1251"/>
      <c r="AZH143" s="1251"/>
      <c r="AZI143" s="1251"/>
      <c r="AZJ143" s="1251"/>
      <c r="AZK143" s="1251"/>
      <c r="AZL143" s="1251"/>
      <c r="AZM143" s="1251"/>
      <c r="AZN143" s="1251"/>
      <c r="AZO143" s="1251"/>
      <c r="AZP143" s="1251"/>
      <c r="AZQ143" s="1251"/>
      <c r="AZR143" s="1251"/>
      <c r="AZS143" s="1251"/>
      <c r="AZT143" s="1251"/>
      <c r="AZU143" s="1251"/>
      <c r="AZV143" s="1251"/>
      <c r="AZW143" s="1251"/>
      <c r="AZX143" s="1251"/>
      <c r="AZY143" s="1251"/>
      <c r="AZZ143" s="1251"/>
      <c r="BAA143" s="1251"/>
      <c r="BAB143" s="1251"/>
      <c r="BAC143" s="1251"/>
      <c r="BAD143" s="1251"/>
      <c r="BAE143" s="1251"/>
      <c r="BAF143" s="1251"/>
      <c r="BAG143" s="1251"/>
      <c r="BAH143" s="1251"/>
      <c r="BAI143" s="1251"/>
      <c r="BAJ143" s="1251"/>
      <c r="BAK143" s="1251"/>
      <c r="BAL143" s="1251"/>
      <c r="BAM143" s="1251"/>
      <c r="BAN143" s="1251"/>
      <c r="BAO143" s="1251"/>
      <c r="BAP143" s="1251"/>
      <c r="BAQ143" s="1251"/>
      <c r="BAR143" s="1251"/>
      <c r="BAS143" s="1251"/>
      <c r="BAT143" s="1251"/>
      <c r="BAU143" s="1251"/>
      <c r="BAV143" s="1251"/>
      <c r="BAW143" s="1251"/>
      <c r="BAX143" s="1251"/>
      <c r="BAY143" s="1251"/>
      <c r="BAZ143" s="1251"/>
      <c r="BBA143" s="1251"/>
      <c r="BBB143" s="1251"/>
      <c r="BBC143" s="1251"/>
      <c r="BBD143" s="1251"/>
      <c r="BBE143" s="1251"/>
      <c r="BBF143" s="1251"/>
      <c r="BBG143" s="1251"/>
      <c r="BBH143" s="1251"/>
      <c r="BBI143" s="1251"/>
      <c r="BBJ143" s="1251"/>
      <c r="BBK143" s="1251"/>
      <c r="BBL143" s="1251"/>
      <c r="BBM143" s="1251"/>
      <c r="BBN143" s="1251"/>
      <c r="BBO143" s="1251"/>
      <c r="BBP143" s="1251"/>
      <c r="BBQ143" s="1251"/>
      <c r="BBR143" s="1251"/>
      <c r="BBS143" s="1251"/>
      <c r="BBT143" s="1251"/>
      <c r="BBU143" s="1251"/>
      <c r="BBV143" s="1251"/>
      <c r="BBW143" s="1251"/>
      <c r="BBX143" s="1251"/>
      <c r="BBY143" s="1251"/>
      <c r="BBZ143" s="1251"/>
      <c r="BCA143" s="1251"/>
      <c r="BCB143" s="1251"/>
      <c r="BCC143" s="1251"/>
      <c r="BCD143" s="1251"/>
      <c r="BCE143" s="1251"/>
      <c r="BCF143" s="1251"/>
      <c r="BCG143" s="1251"/>
      <c r="BCH143" s="1251"/>
      <c r="BCI143" s="1251"/>
      <c r="BCJ143" s="1251"/>
      <c r="BCK143" s="1251"/>
      <c r="BCL143" s="1251"/>
      <c r="BCM143" s="1251"/>
      <c r="BCN143" s="1251"/>
      <c r="BCO143" s="1251"/>
      <c r="BCP143" s="1251"/>
      <c r="BCQ143" s="1251"/>
      <c r="BCR143" s="1251"/>
      <c r="BCS143" s="1251"/>
      <c r="BCT143" s="1251"/>
      <c r="BCU143" s="1251"/>
      <c r="BCV143" s="1251"/>
      <c r="BCW143" s="1251"/>
      <c r="BCX143" s="1251"/>
      <c r="BCY143" s="1251"/>
      <c r="BCZ143" s="1251"/>
      <c r="BDA143" s="1251"/>
      <c r="BDB143" s="1251"/>
      <c r="BDC143" s="1251"/>
      <c r="BDD143" s="1251"/>
      <c r="BDE143" s="1251"/>
      <c r="BDF143" s="1251"/>
      <c r="BDG143" s="1251"/>
      <c r="BDH143" s="1251"/>
      <c r="BDI143" s="1251"/>
      <c r="BDJ143" s="1251"/>
      <c r="BDK143" s="1251"/>
      <c r="BDL143" s="1251"/>
      <c r="BDM143" s="1251"/>
      <c r="BDN143" s="1251"/>
      <c r="BDO143" s="1251"/>
      <c r="BDP143" s="1251"/>
      <c r="BDQ143" s="1251"/>
      <c r="BDR143" s="1251"/>
      <c r="BDS143" s="1251"/>
      <c r="BDT143" s="1251"/>
      <c r="BDU143" s="1251"/>
      <c r="BDV143" s="1251"/>
      <c r="BDW143" s="1251"/>
      <c r="BDX143" s="1251"/>
      <c r="BDY143" s="1251"/>
      <c r="BDZ143" s="1251"/>
      <c r="BEA143" s="1251"/>
      <c r="BEB143" s="1251"/>
      <c r="BEC143" s="1251"/>
      <c r="BED143" s="1251"/>
      <c r="BEE143" s="1251"/>
      <c r="BEF143" s="1251"/>
      <c r="BEG143" s="1251"/>
      <c r="BEH143" s="1251"/>
      <c r="BEI143" s="1251"/>
      <c r="BEJ143" s="1251"/>
      <c r="BEK143" s="1251"/>
      <c r="BEL143" s="1251"/>
      <c r="BEM143" s="1251"/>
      <c r="BEN143" s="1251"/>
      <c r="BEO143" s="1251"/>
      <c r="BEP143" s="1251"/>
      <c r="BEQ143" s="1251"/>
      <c r="BER143" s="1251"/>
      <c r="BES143" s="1251"/>
      <c r="BET143" s="1251"/>
      <c r="BEU143" s="1251"/>
      <c r="BEV143" s="1251"/>
      <c r="BEW143" s="1251"/>
      <c r="BEX143" s="1251"/>
      <c r="BEY143" s="1251"/>
      <c r="BEZ143" s="1251"/>
      <c r="BFA143" s="1251"/>
      <c r="BFB143" s="1251"/>
      <c r="BFC143" s="1251"/>
      <c r="BFD143" s="1251"/>
      <c r="BFE143" s="1251"/>
      <c r="BFF143" s="1251"/>
      <c r="BFG143" s="1251"/>
      <c r="BFH143" s="1251"/>
      <c r="BFI143" s="1251"/>
      <c r="BFJ143" s="1251"/>
      <c r="BFK143" s="1251"/>
      <c r="BFL143" s="1251"/>
      <c r="BFM143" s="1251"/>
      <c r="BFN143" s="1251"/>
      <c r="BFO143" s="1251"/>
      <c r="BFP143" s="1251"/>
      <c r="BFQ143" s="1251"/>
      <c r="BFR143" s="1251"/>
      <c r="BFS143" s="1251"/>
      <c r="BFT143" s="1251"/>
      <c r="BFU143" s="1251"/>
      <c r="BFV143" s="1251"/>
      <c r="BFW143" s="1251"/>
      <c r="BFX143" s="1251"/>
      <c r="BFY143" s="1251"/>
      <c r="BFZ143" s="1251"/>
      <c r="BGA143" s="1251"/>
      <c r="BGB143" s="1251"/>
      <c r="BGC143" s="1251"/>
      <c r="BGD143" s="1251"/>
      <c r="BGE143" s="1251"/>
      <c r="BGF143" s="1251"/>
      <c r="BGG143" s="1251"/>
      <c r="BGH143" s="1251"/>
      <c r="BGI143" s="1251"/>
      <c r="BGJ143" s="1251"/>
      <c r="BGK143" s="1251"/>
      <c r="BGL143" s="1251"/>
      <c r="BGM143" s="1251"/>
      <c r="BGN143" s="1251"/>
      <c r="BGO143" s="1251"/>
      <c r="BGP143" s="1251"/>
      <c r="BGQ143" s="1251"/>
      <c r="BGR143" s="1251"/>
      <c r="BGS143" s="1251"/>
      <c r="BGT143" s="1251"/>
      <c r="BGU143" s="1251"/>
      <c r="BGV143" s="1251"/>
      <c r="BGW143" s="1251"/>
      <c r="BGX143" s="1251"/>
      <c r="BGY143" s="1251"/>
      <c r="BGZ143" s="1251"/>
      <c r="BHA143" s="1251"/>
      <c r="BHB143" s="1251"/>
      <c r="BHC143" s="1251"/>
      <c r="BHD143" s="1251"/>
      <c r="BHE143" s="1251"/>
      <c r="BHF143" s="1251"/>
      <c r="BHG143" s="1251"/>
      <c r="BHH143" s="1251"/>
      <c r="BHI143" s="1251"/>
      <c r="BHJ143" s="1251"/>
      <c r="BHK143" s="1251"/>
      <c r="BHL143" s="1251"/>
      <c r="BHM143" s="1251"/>
      <c r="BHN143" s="1251"/>
      <c r="BHO143" s="1251"/>
      <c r="BHP143" s="1251"/>
      <c r="BHQ143" s="1251"/>
      <c r="BHR143" s="1251"/>
      <c r="BHS143" s="1251"/>
      <c r="BHT143" s="1251"/>
      <c r="BHU143" s="1251"/>
      <c r="BHV143" s="1251"/>
      <c r="BHW143" s="1251"/>
      <c r="BHX143" s="1251"/>
      <c r="BHY143" s="1251"/>
      <c r="BHZ143" s="1251"/>
      <c r="BIA143" s="1251"/>
      <c r="BIB143" s="1251"/>
      <c r="BIC143" s="1251"/>
      <c r="BID143" s="1251"/>
      <c r="BIE143" s="1251"/>
      <c r="BIF143" s="1251"/>
      <c r="BIG143" s="1251"/>
      <c r="BIH143" s="1251"/>
      <c r="BII143" s="1251"/>
      <c r="BIJ143" s="1251"/>
      <c r="BIK143" s="1251"/>
      <c r="BIL143" s="1251"/>
      <c r="BIM143" s="1251"/>
      <c r="BIN143" s="1251"/>
      <c r="BIO143" s="1251"/>
      <c r="BIP143" s="1251"/>
      <c r="BIQ143" s="1251"/>
      <c r="BIR143" s="1251"/>
      <c r="BIS143" s="1251"/>
      <c r="BIT143" s="1251"/>
      <c r="BIU143" s="1251"/>
      <c r="BIV143" s="1251"/>
      <c r="BIW143" s="1251"/>
      <c r="BIX143" s="1251"/>
      <c r="BIY143" s="1251"/>
      <c r="BIZ143" s="1251"/>
      <c r="BJA143" s="1251"/>
      <c r="BJB143" s="1251"/>
      <c r="BJC143" s="1251"/>
      <c r="BJD143" s="1251"/>
      <c r="BJE143" s="1251"/>
      <c r="BJF143" s="1251"/>
      <c r="BJG143" s="1251"/>
      <c r="BJH143" s="1251"/>
      <c r="BJI143" s="1251"/>
      <c r="BJJ143" s="1251"/>
      <c r="BJK143" s="1251"/>
      <c r="BJL143" s="1251"/>
      <c r="BJM143" s="1251"/>
      <c r="BJN143" s="1251"/>
      <c r="BJO143" s="1251"/>
      <c r="BJP143" s="1251"/>
      <c r="BJQ143" s="1251"/>
      <c r="BJR143" s="1251"/>
      <c r="BJS143" s="1251"/>
      <c r="BJT143" s="1251"/>
      <c r="BJU143" s="1251"/>
      <c r="BJV143" s="1251"/>
      <c r="BJW143" s="1251"/>
      <c r="BJX143" s="1251"/>
      <c r="BJY143" s="1251"/>
      <c r="BJZ143" s="1251"/>
      <c r="BKA143" s="1251"/>
      <c r="BKB143" s="1251"/>
      <c r="BKC143" s="1251"/>
      <c r="BKD143" s="1251"/>
      <c r="BKE143" s="1251"/>
      <c r="BKF143" s="1251"/>
      <c r="BKG143" s="1251"/>
      <c r="BKH143" s="1251"/>
      <c r="BKI143" s="1251"/>
      <c r="BKJ143" s="1251"/>
      <c r="BKK143" s="1251"/>
      <c r="BKL143" s="1251"/>
      <c r="BKM143" s="1251"/>
      <c r="BKN143" s="1251"/>
      <c r="BKO143" s="1251"/>
      <c r="BKP143" s="1251"/>
      <c r="BKQ143" s="1251"/>
      <c r="BKR143" s="1251"/>
      <c r="BKS143" s="1251"/>
      <c r="BKT143" s="1251"/>
      <c r="BKU143" s="1251"/>
      <c r="BKV143" s="1251"/>
      <c r="BKW143" s="1251"/>
      <c r="BKX143" s="1251"/>
      <c r="BKY143" s="1251"/>
      <c r="BKZ143" s="1251"/>
      <c r="BLA143" s="1251"/>
      <c r="BLB143" s="1251"/>
      <c r="BLC143" s="1251"/>
      <c r="BLD143" s="1251"/>
      <c r="BLE143" s="1251"/>
      <c r="BLF143" s="1251"/>
      <c r="BLG143" s="1251"/>
      <c r="BLH143" s="1251"/>
      <c r="BLI143" s="1251"/>
      <c r="BLJ143" s="1251"/>
      <c r="BLK143" s="1251"/>
      <c r="BLL143" s="1251"/>
      <c r="BLM143" s="1251"/>
      <c r="BLN143" s="1251"/>
      <c r="BLO143" s="1251"/>
      <c r="BLP143" s="1251"/>
      <c r="BLQ143" s="1251"/>
      <c r="BLR143" s="1251"/>
      <c r="BLS143" s="1251"/>
      <c r="BLT143" s="1251"/>
      <c r="BLU143" s="1251"/>
      <c r="BLV143" s="1251"/>
      <c r="BLW143" s="1251"/>
      <c r="BLX143" s="1251"/>
      <c r="BLY143" s="1251"/>
      <c r="BLZ143" s="1251"/>
      <c r="BMA143" s="1251"/>
      <c r="BMB143" s="1251"/>
      <c r="BMC143" s="1251"/>
      <c r="BMD143" s="1251"/>
      <c r="BME143" s="1251"/>
      <c r="BMF143" s="1251"/>
      <c r="BMG143" s="1251"/>
      <c r="BMH143" s="1251"/>
      <c r="BMI143" s="1251"/>
      <c r="BMJ143" s="1251"/>
      <c r="BMK143" s="1251"/>
      <c r="BML143" s="1251"/>
      <c r="BMM143" s="1251"/>
      <c r="BMN143" s="1251"/>
      <c r="BMO143" s="1251"/>
      <c r="BMP143" s="1251"/>
      <c r="BMQ143" s="1251"/>
      <c r="BMR143" s="1251"/>
      <c r="BMS143" s="1251"/>
      <c r="BMT143" s="1251"/>
      <c r="BMU143" s="1251"/>
      <c r="BMV143" s="1251"/>
      <c r="BMW143" s="1251"/>
      <c r="BMX143" s="1251"/>
      <c r="BMY143" s="1251"/>
      <c r="BMZ143" s="1251"/>
      <c r="BNA143" s="1251"/>
      <c r="BNB143" s="1251"/>
      <c r="BNC143" s="1251"/>
      <c r="BND143" s="1251"/>
      <c r="BNE143" s="1251"/>
      <c r="BNF143" s="1251"/>
      <c r="BNG143" s="1251"/>
      <c r="BNH143" s="1251"/>
      <c r="BNI143" s="1251"/>
      <c r="BNJ143" s="1251"/>
      <c r="BNK143" s="1251"/>
      <c r="BNL143" s="1251"/>
      <c r="BNM143" s="1251"/>
      <c r="BNN143" s="1251"/>
      <c r="BNO143" s="1251"/>
      <c r="BNP143" s="1251"/>
      <c r="BNQ143" s="1251"/>
      <c r="BNR143" s="1251"/>
      <c r="BNS143" s="1251"/>
      <c r="BNT143" s="1251"/>
      <c r="BNU143" s="1251"/>
      <c r="BNV143" s="1251"/>
      <c r="BNW143" s="1251"/>
      <c r="BNX143" s="1251"/>
      <c r="BNY143" s="1251"/>
      <c r="BNZ143" s="1251"/>
      <c r="BOA143" s="1251"/>
      <c r="BOB143" s="1251"/>
      <c r="BOC143" s="1251"/>
      <c r="BOD143" s="1251"/>
      <c r="BOE143" s="1251"/>
      <c r="BOF143" s="1251"/>
      <c r="BOG143" s="1251"/>
      <c r="BOH143" s="1251"/>
      <c r="BOI143" s="1251"/>
      <c r="BOJ143" s="1251"/>
      <c r="BOK143" s="1251"/>
      <c r="BOL143" s="1251"/>
      <c r="BOM143" s="1251"/>
      <c r="BON143" s="1251"/>
      <c r="BOO143" s="1251"/>
      <c r="BOP143" s="1251"/>
      <c r="BOQ143" s="1251"/>
      <c r="BOR143" s="1251"/>
      <c r="BOS143" s="1251"/>
      <c r="BOT143" s="1251"/>
      <c r="BOU143" s="1251"/>
      <c r="BOV143" s="1251"/>
      <c r="BOW143" s="1251"/>
      <c r="BOX143" s="1251"/>
      <c r="BOY143" s="1251"/>
      <c r="BOZ143" s="1251"/>
      <c r="BPA143" s="1251"/>
      <c r="BPB143" s="1251"/>
      <c r="BPC143" s="1251"/>
      <c r="BPD143" s="1251"/>
      <c r="BPE143" s="1251"/>
      <c r="BPF143" s="1251"/>
      <c r="BPG143" s="1251"/>
      <c r="BPH143" s="1251"/>
      <c r="BPI143" s="1251"/>
      <c r="BPJ143" s="1251"/>
      <c r="BPK143" s="1251"/>
      <c r="BPL143" s="1251"/>
      <c r="BPM143" s="1251"/>
      <c r="BPN143" s="1251"/>
      <c r="BPO143" s="1251"/>
      <c r="BPP143" s="1251"/>
      <c r="BPQ143" s="1251"/>
      <c r="BPR143" s="1251"/>
      <c r="BPS143" s="1251"/>
      <c r="BPT143" s="1251"/>
      <c r="BPU143" s="1251"/>
      <c r="BPV143" s="1251"/>
      <c r="BPW143" s="1251"/>
      <c r="BPX143" s="1251"/>
      <c r="BPY143" s="1251"/>
      <c r="BPZ143" s="1251"/>
      <c r="BQA143" s="1251"/>
      <c r="BQB143" s="1251"/>
      <c r="BQC143" s="1251"/>
      <c r="BQD143" s="1251"/>
      <c r="BQE143" s="1251"/>
      <c r="BQF143" s="1251"/>
      <c r="BQG143" s="1251"/>
      <c r="BQH143" s="1251"/>
      <c r="BQI143" s="1251"/>
      <c r="BQJ143" s="1251"/>
      <c r="BQK143" s="1251"/>
      <c r="BQL143" s="1251"/>
      <c r="BQM143" s="1251"/>
      <c r="BQN143" s="1251"/>
      <c r="BQO143" s="1251"/>
      <c r="BQP143" s="1251"/>
      <c r="BQQ143" s="1251"/>
      <c r="BQR143" s="1251"/>
      <c r="BQS143" s="1251"/>
      <c r="BQT143" s="1251"/>
      <c r="BQU143" s="1251"/>
      <c r="BQV143" s="1251"/>
      <c r="BQW143" s="1251"/>
      <c r="BQX143" s="1251"/>
      <c r="BQY143" s="1251"/>
      <c r="BQZ143" s="1251"/>
      <c r="BRA143" s="1251"/>
      <c r="BRB143" s="1251"/>
      <c r="BRC143" s="1251"/>
      <c r="BRD143" s="1251"/>
      <c r="BRE143" s="1251"/>
      <c r="BRF143" s="1251"/>
      <c r="BRG143" s="1251"/>
      <c r="BRH143" s="1251"/>
      <c r="BRI143" s="1251"/>
      <c r="BRJ143" s="1251"/>
      <c r="BRK143" s="1251"/>
      <c r="BRL143" s="1251"/>
      <c r="BRM143" s="1251"/>
      <c r="BRN143" s="1251"/>
      <c r="BRO143" s="1251"/>
      <c r="BRP143" s="1251"/>
      <c r="BRQ143" s="1251"/>
      <c r="BRR143" s="1251"/>
      <c r="BRS143" s="1251"/>
      <c r="BRT143" s="1251"/>
      <c r="BRU143" s="1251"/>
      <c r="BRV143" s="1251"/>
      <c r="BRW143" s="1251"/>
      <c r="BRX143" s="1251"/>
      <c r="BRY143" s="1251"/>
      <c r="BRZ143" s="1251"/>
      <c r="BSA143" s="1251"/>
      <c r="BSB143" s="1251"/>
      <c r="BSC143" s="1251"/>
      <c r="BSD143" s="1251"/>
      <c r="BSE143" s="1251"/>
      <c r="BSF143" s="1251"/>
      <c r="BSG143" s="1251"/>
      <c r="BSH143" s="1251"/>
      <c r="BSI143" s="1251"/>
      <c r="BSJ143" s="1251"/>
      <c r="BSK143" s="1251"/>
      <c r="BSL143" s="1251"/>
      <c r="BSM143" s="1251"/>
      <c r="BSN143" s="1251"/>
      <c r="BSO143" s="1251"/>
      <c r="BSP143" s="1251"/>
      <c r="BSQ143" s="1251"/>
      <c r="BSR143" s="1251"/>
      <c r="BSS143" s="1251"/>
      <c r="BST143" s="1251"/>
      <c r="BSU143" s="1251"/>
      <c r="BSV143" s="1251"/>
      <c r="BSW143" s="1251"/>
      <c r="BSX143" s="1251"/>
      <c r="BSY143" s="1251"/>
      <c r="BSZ143" s="1251"/>
      <c r="BTA143" s="1251"/>
      <c r="BTB143" s="1251"/>
      <c r="BTC143" s="1251"/>
      <c r="BTD143" s="1251"/>
      <c r="BTE143" s="1251"/>
      <c r="BTF143" s="1251"/>
      <c r="BTG143" s="1251"/>
      <c r="BTH143" s="1251"/>
      <c r="BTI143" s="1251"/>
    </row>
    <row r="144" spans="1:1881" s="1261" customFormat="1" ht="80.25" hidden="1" customHeight="1" x14ac:dyDescent="0.3">
      <c r="A144" s="1265">
        <v>637</v>
      </c>
      <c r="B144" s="1282" t="s">
        <v>652</v>
      </c>
      <c r="C144" s="308" t="s">
        <v>656</v>
      </c>
      <c r="D144" s="1281" t="s">
        <v>1474</v>
      </c>
      <c r="E144" s="1249" t="e">
        <f>HLOOKUP($D$2,'2020 Data(H)'!$C$1:$CZ$426,296,FALSE)</f>
        <v>#N/A</v>
      </c>
      <c r="F144" s="1263">
        <v>0</v>
      </c>
      <c r="G144" s="742">
        <f>IF(F144&gt;F140,"Please review account numbers 637&gt;633",)</f>
        <v>0</v>
      </c>
      <c r="H144" s="732"/>
      <c r="I144" s="732"/>
      <c r="J144" s="1251"/>
      <c r="K144" s="1251"/>
      <c r="L144" s="1251"/>
      <c r="M144" s="1251"/>
      <c r="N144" s="1253"/>
      <c r="O144" s="1251"/>
      <c r="P144" s="1251"/>
      <c r="Q144" s="1251"/>
      <c r="R144" s="1251"/>
      <c r="S144" s="1251"/>
      <c r="T144" s="1251"/>
      <c r="U144" s="1251"/>
      <c r="V144" s="1251"/>
      <c r="W144" s="1251"/>
      <c r="X144" s="1251"/>
      <c r="Y144" s="1251"/>
      <c r="Z144" s="1265"/>
      <c r="AA144" s="1265"/>
      <c r="AB144" s="1265"/>
      <c r="AC144" s="1265"/>
      <c r="AD144" s="1265"/>
      <c r="AE144" s="1265"/>
      <c r="AF144" s="1265"/>
      <c r="AG144" s="1265"/>
      <c r="AH144" s="1265"/>
      <c r="AI144" s="1265"/>
      <c r="AJ144" s="1265"/>
      <c r="AK144" s="1265"/>
      <c r="AL144" s="1265"/>
      <c r="AM144" s="1265"/>
      <c r="AN144" s="1265"/>
      <c r="AO144" s="1265"/>
      <c r="AP144" s="1265"/>
      <c r="AQ144" s="1265"/>
      <c r="AR144" s="1265"/>
      <c r="AS144" s="1251"/>
      <c r="AT144" s="1251"/>
      <c r="AU144" s="1251"/>
      <c r="AV144" s="1251"/>
      <c r="AW144" s="1251"/>
      <c r="AX144" s="1251"/>
      <c r="AY144" s="1251"/>
      <c r="AZ144" s="1251"/>
      <c r="BA144" s="1251"/>
      <c r="BB144" s="1251"/>
      <c r="BC144" s="1251"/>
      <c r="BD144" s="1251"/>
      <c r="BE144" s="1251"/>
      <c r="BF144" s="1251"/>
      <c r="BG144" s="1251"/>
      <c r="BH144" s="1251"/>
      <c r="BI144" s="1251"/>
      <c r="BJ144" s="1251"/>
      <c r="BK144" s="1251"/>
      <c r="BL144" s="1251"/>
      <c r="BM144" s="1251"/>
      <c r="BN144" s="1251"/>
      <c r="BO144" s="1251"/>
      <c r="BP144" s="1251"/>
      <c r="BQ144" s="1251"/>
      <c r="BR144" s="1251"/>
      <c r="BS144" s="1251"/>
      <c r="BT144" s="1251"/>
      <c r="BU144" s="1251"/>
      <c r="BV144" s="1251"/>
      <c r="BW144" s="1251"/>
      <c r="BX144" s="1251"/>
      <c r="BY144" s="1251"/>
      <c r="BZ144" s="1251"/>
      <c r="CA144" s="1251"/>
      <c r="CB144" s="1251"/>
      <c r="CC144" s="1251"/>
      <c r="CD144" s="1251"/>
      <c r="CE144" s="1251"/>
      <c r="CF144" s="1251"/>
      <c r="CG144" s="1251"/>
      <c r="CH144" s="1251"/>
      <c r="CI144" s="1251"/>
      <c r="CJ144" s="1251"/>
      <c r="CK144" s="1251"/>
      <c r="CL144" s="1251"/>
      <c r="CM144" s="1251"/>
      <c r="CN144" s="1251"/>
      <c r="CO144" s="1251"/>
      <c r="CP144" s="1251"/>
      <c r="CQ144" s="1251"/>
      <c r="CR144" s="1251"/>
      <c r="CS144" s="1251"/>
      <c r="CT144" s="1251"/>
      <c r="CU144" s="1251"/>
      <c r="CV144" s="1251"/>
      <c r="CW144" s="1251"/>
      <c r="CX144" s="1251"/>
      <c r="CY144" s="1251"/>
      <c r="CZ144" s="1251"/>
      <c r="DA144" s="1251"/>
      <c r="DB144" s="1251"/>
      <c r="DC144" s="1251"/>
      <c r="DD144" s="1251"/>
      <c r="DE144" s="1251"/>
      <c r="DF144" s="1251"/>
      <c r="DG144" s="1251"/>
      <c r="DH144" s="1251"/>
      <c r="DI144" s="1251"/>
      <c r="DJ144" s="1251"/>
      <c r="DK144" s="1251"/>
      <c r="DL144" s="1251"/>
      <c r="DM144" s="1251"/>
      <c r="DN144" s="1251"/>
      <c r="DO144" s="1251"/>
      <c r="DP144" s="1251"/>
      <c r="DQ144" s="1251"/>
      <c r="DR144" s="1251"/>
      <c r="DS144" s="1251"/>
      <c r="DT144" s="1251"/>
      <c r="DU144" s="1251"/>
      <c r="DV144" s="1251"/>
      <c r="DW144" s="1251"/>
      <c r="DX144" s="1251"/>
      <c r="DY144" s="1251"/>
      <c r="DZ144" s="1251"/>
      <c r="EA144" s="1251"/>
      <c r="EB144" s="1251"/>
      <c r="EC144" s="1251"/>
      <c r="ED144" s="1251"/>
      <c r="EE144" s="1251"/>
      <c r="EF144" s="1251"/>
      <c r="EG144" s="1251"/>
      <c r="EH144" s="1251"/>
      <c r="EI144" s="1251"/>
      <c r="EJ144" s="1251"/>
      <c r="EK144" s="1251"/>
      <c r="EL144" s="1251"/>
      <c r="EM144" s="1251"/>
      <c r="EN144" s="1251"/>
      <c r="EO144" s="1251"/>
      <c r="EP144" s="1251"/>
      <c r="EQ144" s="1251"/>
      <c r="ER144" s="1251"/>
      <c r="ES144" s="1251"/>
      <c r="ET144" s="1251"/>
      <c r="EU144" s="1251"/>
      <c r="EV144" s="1251"/>
      <c r="EW144" s="1251"/>
      <c r="EX144" s="1251"/>
      <c r="EY144" s="1251"/>
      <c r="EZ144" s="1251"/>
      <c r="FA144" s="1251"/>
      <c r="FB144" s="1251"/>
      <c r="FC144" s="1251"/>
      <c r="FD144" s="1251"/>
      <c r="FE144" s="1251"/>
      <c r="FF144" s="1251"/>
      <c r="FG144" s="1251"/>
      <c r="FH144" s="1251"/>
      <c r="FI144" s="1251"/>
      <c r="FJ144" s="1251"/>
      <c r="FK144" s="1251"/>
      <c r="FL144" s="1251"/>
      <c r="FM144" s="1251"/>
      <c r="FN144" s="1251"/>
      <c r="FO144" s="1251"/>
      <c r="FP144" s="1251"/>
      <c r="FQ144" s="1251"/>
      <c r="FR144" s="1251"/>
      <c r="FS144" s="1251"/>
      <c r="FT144" s="1251"/>
      <c r="FU144" s="1251"/>
      <c r="FV144" s="1251"/>
      <c r="FW144" s="1251"/>
      <c r="FX144" s="1251"/>
      <c r="FY144" s="1251"/>
      <c r="FZ144" s="1251"/>
      <c r="GA144" s="1251"/>
      <c r="GB144" s="1251"/>
      <c r="GC144" s="1251"/>
      <c r="GD144" s="1251"/>
      <c r="GE144" s="1251"/>
      <c r="GF144" s="1251"/>
      <c r="GG144" s="1251"/>
      <c r="GH144" s="1251"/>
      <c r="GI144" s="1251"/>
      <c r="GJ144" s="1251"/>
      <c r="GK144" s="1251"/>
      <c r="GL144" s="1251"/>
      <c r="GM144" s="1251"/>
      <c r="GN144" s="1251"/>
      <c r="GO144" s="1251"/>
      <c r="GP144" s="1251"/>
      <c r="GQ144" s="1251"/>
      <c r="GR144" s="1251"/>
      <c r="GS144" s="1251"/>
      <c r="GT144" s="1251"/>
      <c r="GU144" s="1251"/>
      <c r="GV144" s="1251"/>
      <c r="GW144" s="1251"/>
      <c r="GX144" s="1251"/>
      <c r="GY144" s="1251"/>
      <c r="GZ144" s="1251"/>
      <c r="HA144" s="1251"/>
      <c r="HB144" s="1251"/>
      <c r="HC144" s="1251"/>
      <c r="HD144" s="1251"/>
      <c r="HE144" s="1251"/>
      <c r="HF144" s="1251"/>
      <c r="HG144" s="1251"/>
      <c r="HH144" s="1251"/>
      <c r="HI144" s="1251"/>
      <c r="HJ144" s="1251"/>
      <c r="HK144" s="1251"/>
      <c r="HL144" s="1251"/>
      <c r="HM144" s="1251"/>
      <c r="HN144" s="1251"/>
      <c r="HO144" s="1251"/>
      <c r="HP144" s="1251"/>
      <c r="HQ144" s="1251"/>
      <c r="HR144" s="1251"/>
      <c r="HS144" s="1251"/>
      <c r="HT144" s="1251"/>
      <c r="HU144" s="1251"/>
      <c r="HV144" s="1251"/>
      <c r="HW144" s="1251"/>
      <c r="HX144" s="1251"/>
      <c r="HY144" s="1251"/>
      <c r="HZ144" s="1251"/>
      <c r="IA144" s="1251"/>
      <c r="IB144" s="1251"/>
      <c r="IC144" s="1251"/>
      <c r="ID144" s="1251"/>
      <c r="IE144" s="1251"/>
      <c r="IF144" s="1251"/>
      <c r="IG144" s="1251"/>
      <c r="IH144" s="1251"/>
      <c r="II144" s="1251"/>
      <c r="IJ144" s="1251"/>
      <c r="IK144" s="1251"/>
      <c r="IL144" s="1251"/>
      <c r="IM144" s="1251"/>
      <c r="IN144" s="1251"/>
      <c r="IO144" s="1251"/>
      <c r="IP144" s="1251"/>
      <c r="IQ144" s="1251"/>
      <c r="IR144" s="1251"/>
      <c r="IS144" s="1251"/>
      <c r="IT144" s="1251"/>
      <c r="IU144" s="1251"/>
      <c r="IV144" s="1251"/>
      <c r="IW144" s="1251"/>
      <c r="IX144" s="1251"/>
      <c r="IY144" s="1251"/>
      <c r="IZ144" s="1251"/>
      <c r="JA144" s="1251"/>
      <c r="JB144" s="1251"/>
      <c r="JC144" s="1251"/>
      <c r="JD144" s="1251"/>
      <c r="JE144" s="1251"/>
      <c r="JF144" s="1251"/>
      <c r="JG144" s="1251"/>
      <c r="JH144" s="1251"/>
      <c r="JI144" s="1251"/>
      <c r="JJ144" s="1251"/>
      <c r="JK144" s="1251"/>
      <c r="JL144" s="1251"/>
      <c r="JM144" s="1251"/>
      <c r="JN144" s="1251"/>
      <c r="JO144" s="1251"/>
      <c r="JP144" s="1251"/>
      <c r="JQ144" s="1251"/>
      <c r="JR144" s="1251"/>
      <c r="JS144" s="1251"/>
      <c r="JT144" s="1251"/>
      <c r="JU144" s="1251"/>
      <c r="JV144" s="1251"/>
      <c r="JW144" s="1251"/>
      <c r="JX144" s="1251"/>
      <c r="JY144" s="1251"/>
      <c r="JZ144" s="1251"/>
      <c r="KA144" s="1251"/>
      <c r="KB144" s="1251"/>
      <c r="KC144" s="1251"/>
      <c r="KD144" s="1251"/>
      <c r="KE144" s="1251"/>
      <c r="KF144" s="1251"/>
      <c r="KG144" s="1251"/>
      <c r="KH144" s="1251"/>
      <c r="KI144" s="1251"/>
      <c r="KJ144" s="1251"/>
      <c r="KK144" s="1251"/>
      <c r="KL144" s="1251"/>
      <c r="KM144" s="1251"/>
      <c r="KN144" s="1251"/>
      <c r="KO144" s="1251"/>
      <c r="KP144" s="1251"/>
      <c r="KQ144" s="1251"/>
      <c r="KR144" s="1251"/>
      <c r="KS144" s="1251"/>
      <c r="KT144" s="1251"/>
      <c r="KU144" s="1251"/>
      <c r="KV144" s="1251"/>
      <c r="KW144" s="1251"/>
      <c r="KX144" s="1251"/>
      <c r="KY144" s="1251"/>
      <c r="KZ144" s="1251"/>
      <c r="LA144" s="1251"/>
      <c r="LB144" s="1251"/>
      <c r="LC144" s="1251"/>
      <c r="LD144" s="1251"/>
      <c r="LE144" s="1251"/>
      <c r="LF144" s="1251"/>
      <c r="LG144" s="1251"/>
      <c r="LH144" s="1251"/>
      <c r="LI144" s="1251"/>
      <c r="LJ144" s="1251"/>
      <c r="LK144" s="1251"/>
      <c r="LL144" s="1251"/>
      <c r="LM144" s="1251"/>
      <c r="LN144" s="1251"/>
      <c r="LO144" s="1251"/>
      <c r="LP144" s="1251"/>
      <c r="LQ144" s="1251"/>
      <c r="LR144" s="1251"/>
      <c r="LS144" s="1251"/>
      <c r="LT144" s="1251"/>
      <c r="LU144" s="1251"/>
      <c r="LV144" s="1251"/>
      <c r="LW144" s="1251"/>
      <c r="LX144" s="1251"/>
      <c r="LY144" s="1251"/>
      <c r="LZ144" s="1251"/>
      <c r="MA144" s="1251"/>
      <c r="MB144" s="1251"/>
      <c r="MC144" s="1251"/>
      <c r="MD144" s="1251"/>
      <c r="ME144" s="1251"/>
      <c r="MF144" s="1251"/>
      <c r="MG144" s="1251"/>
      <c r="MH144" s="1251"/>
      <c r="MI144" s="1251"/>
      <c r="MJ144" s="1251"/>
      <c r="MK144" s="1251"/>
      <c r="ML144" s="1251"/>
      <c r="MM144" s="1251"/>
      <c r="MN144" s="1251"/>
      <c r="MO144" s="1251"/>
      <c r="MP144" s="1251"/>
      <c r="MQ144" s="1251"/>
      <c r="MR144" s="1251"/>
      <c r="MS144" s="1251"/>
      <c r="MT144" s="1251"/>
      <c r="MU144" s="1251"/>
      <c r="MV144" s="1251"/>
      <c r="MW144" s="1251"/>
      <c r="MX144" s="1251"/>
      <c r="MY144" s="1251"/>
      <c r="MZ144" s="1251"/>
      <c r="NA144" s="1251"/>
      <c r="NB144" s="1251"/>
      <c r="NC144" s="1251"/>
      <c r="ND144" s="1251"/>
      <c r="NE144" s="1251"/>
      <c r="NF144" s="1251"/>
      <c r="NG144" s="1251"/>
      <c r="NH144" s="1251"/>
      <c r="NI144" s="1251"/>
      <c r="NJ144" s="1251"/>
      <c r="NK144" s="1251"/>
      <c r="NL144" s="1251"/>
      <c r="NM144" s="1251"/>
      <c r="NN144" s="1251"/>
      <c r="NO144" s="1251"/>
      <c r="NP144" s="1251"/>
      <c r="NQ144" s="1251"/>
      <c r="NR144" s="1251"/>
      <c r="NS144" s="1251"/>
      <c r="NT144" s="1251"/>
      <c r="NU144" s="1251"/>
      <c r="NV144" s="1251"/>
      <c r="NW144" s="1251"/>
      <c r="NX144" s="1251"/>
      <c r="NY144" s="1251"/>
      <c r="NZ144" s="1251"/>
      <c r="OA144" s="1251"/>
      <c r="OB144" s="1251"/>
      <c r="OC144" s="1251"/>
      <c r="OD144" s="1251"/>
      <c r="OE144" s="1251"/>
      <c r="OF144" s="1251"/>
      <c r="OG144" s="1251"/>
      <c r="OH144" s="1251"/>
      <c r="OI144" s="1251"/>
      <c r="OJ144" s="1251"/>
      <c r="OK144" s="1251"/>
      <c r="OL144" s="1251"/>
      <c r="OM144" s="1251"/>
      <c r="ON144" s="1251"/>
      <c r="OO144" s="1251"/>
      <c r="OP144" s="1251"/>
      <c r="OQ144" s="1251"/>
      <c r="OR144" s="1251"/>
      <c r="OS144" s="1251"/>
      <c r="OT144" s="1251"/>
      <c r="OU144" s="1251"/>
      <c r="OV144" s="1251"/>
      <c r="OW144" s="1251"/>
      <c r="OX144" s="1251"/>
      <c r="OY144" s="1251"/>
      <c r="OZ144" s="1251"/>
      <c r="PA144" s="1251"/>
      <c r="PB144" s="1251"/>
      <c r="PC144" s="1251"/>
      <c r="PD144" s="1251"/>
      <c r="PE144" s="1251"/>
      <c r="PF144" s="1251"/>
      <c r="PG144" s="1251"/>
      <c r="PH144" s="1251"/>
      <c r="PI144" s="1251"/>
      <c r="PJ144" s="1251"/>
      <c r="PK144" s="1251"/>
      <c r="PL144" s="1251"/>
      <c r="PM144" s="1251"/>
      <c r="PN144" s="1251"/>
      <c r="PO144" s="1251"/>
      <c r="PP144" s="1251"/>
      <c r="PQ144" s="1251"/>
      <c r="PR144" s="1251"/>
      <c r="PS144" s="1251"/>
      <c r="PT144" s="1251"/>
      <c r="PU144" s="1251"/>
      <c r="PV144" s="1251"/>
      <c r="PW144" s="1251"/>
      <c r="PX144" s="1251"/>
      <c r="PY144" s="1251"/>
      <c r="PZ144" s="1251"/>
      <c r="QA144" s="1251"/>
      <c r="QB144" s="1251"/>
      <c r="QC144" s="1251"/>
      <c r="QD144" s="1251"/>
      <c r="QE144" s="1251"/>
      <c r="QF144" s="1251"/>
      <c r="QG144" s="1251"/>
      <c r="QH144" s="1251"/>
      <c r="QI144" s="1251"/>
      <c r="QJ144" s="1251"/>
      <c r="QK144" s="1251"/>
      <c r="QL144" s="1251"/>
      <c r="QM144" s="1251"/>
      <c r="QN144" s="1251"/>
      <c r="QO144" s="1251"/>
      <c r="QP144" s="1251"/>
      <c r="QQ144" s="1251"/>
      <c r="QR144" s="1251"/>
      <c r="QS144" s="1251"/>
      <c r="QT144" s="1251"/>
      <c r="QU144" s="1251"/>
      <c r="QV144" s="1251"/>
      <c r="QW144" s="1251"/>
      <c r="QX144" s="1251"/>
      <c r="QY144" s="1251"/>
      <c r="QZ144" s="1251"/>
      <c r="RA144" s="1251"/>
      <c r="RB144" s="1251"/>
      <c r="RC144" s="1251"/>
      <c r="RD144" s="1251"/>
      <c r="RE144" s="1251"/>
      <c r="RF144" s="1251"/>
      <c r="RG144" s="1251"/>
      <c r="RH144" s="1251"/>
      <c r="RI144" s="1251"/>
      <c r="RJ144" s="1251"/>
      <c r="RK144" s="1251"/>
      <c r="RL144" s="1251"/>
      <c r="RM144" s="1251"/>
      <c r="RN144" s="1251"/>
      <c r="RO144" s="1251"/>
      <c r="RP144" s="1251"/>
      <c r="RQ144" s="1251"/>
      <c r="RR144" s="1251"/>
      <c r="RS144" s="1251"/>
      <c r="RT144" s="1251"/>
      <c r="RU144" s="1251"/>
      <c r="RV144" s="1251"/>
      <c r="RW144" s="1251"/>
      <c r="RX144" s="1251"/>
      <c r="RY144" s="1251"/>
      <c r="RZ144" s="1251"/>
      <c r="SA144" s="1251"/>
      <c r="SB144" s="1251"/>
      <c r="SC144" s="1251"/>
      <c r="SD144" s="1251"/>
      <c r="SE144" s="1251"/>
      <c r="SF144" s="1251"/>
      <c r="SG144" s="1251"/>
      <c r="SH144" s="1251"/>
      <c r="SI144" s="1251"/>
      <c r="SJ144" s="1251"/>
      <c r="SK144" s="1251"/>
      <c r="SL144" s="1251"/>
      <c r="SM144" s="1251"/>
      <c r="SN144" s="1251"/>
      <c r="SO144" s="1251"/>
      <c r="SP144" s="1251"/>
      <c r="SQ144" s="1251"/>
      <c r="SR144" s="1251"/>
      <c r="SS144" s="1251"/>
      <c r="ST144" s="1251"/>
      <c r="SU144" s="1251"/>
      <c r="SV144" s="1251"/>
      <c r="SW144" s="1251"/>
      <c r="SX144" s="1251"/>
      <c r="SY144" s="1251"/>
      <c r="SZ144" s="1251"/>
      <c r="TA144" s="1251"/>
      <c r="TB144" s="1251"/>
      <c r="TC144" s="1251"/>
      <c r="TD144" s="1251"/>
      <c r="TE144" s="1251"/>
      <c r="TF144" s="1251"/>
      <c r="TG144" s="1251"/>
      <c r="TH144" s="1251"/>
      <c r="TI144" s="1251"/>
      <c r="TJ144" s="1251"/>
      <c r="TK144" s="1251"/>
      <c r="TL144" s="1251"/>
      <c r="TM144" s="1251"/>
      <c r="TN144" s="1251"/>
      <c r="TO144" s="1251"/>
      <c r="TP144" s="1251"/>
      <c r="TQ144" s="1251"/>
      <c r="TR144" s="1251"/>
      <c r="TS144" s="1251"/>
      <c r="TT144" s="1251"/>
      <c r="TU144" s="1251"/>
      <c r="TV144" s="1251"/>
      <c r="TW144" s="1251"/>
      <c r="TX144" s="1251"/>
      <c r="TY144" s="1251"/>
      <c r="TZ144" s="1251"/>
      <c r="UA144" s="1251"/>
      <c r="UB144" s="1251"/>
      <c r="UC144" s="1251"/>
      <c r="UD144" s="1251"/>
      <c r="UE144" s="1251"/>
      <c r="UF144" s="1251"/>
      <c r="UG144" s="1251"/>
      <c r="UH144" s="1251"/>
      <c r="UI144" s="1251"/>
      <c r="UJ144" s="1251"/>
      <c r="UK144" s="1251"/>
      <c r="UL144" s="1251"/>
      <c r="UM144" s="1251"/>
      <c r="UN144" s="1251"/>
      <c r="UO144" s="1251"/>
      <c r="UP144" s="1251"/>
      <c r="UQ144" s="1251"/>
      <c r="UR144" s="1251"/>
      <c r="US144" s="1251"/>
      <c r="UT144" s="1251"/>
      <c r="UU144" s="1251"/>
      <c r="UV144" s="1251"/>
      <c r="UW144" s="1251"/>
      <c r="UX144" s="1251"/>
      <c r="UY144" s="1251"/>
      <c r="UZ144" s="1251"/>
      <c r="VA144" s="1251"/>
      <c r="VB144" s="1251"/>
      <c r="VC144" s="1251"/>
      <c r="VD144" s="1251"/>
      <c r="VE144" s="1251"/>
      <c r="VF144" s="1251"/>
      <c r="VG144" s="1251"/>
      <c r="VH144" s="1251"/>
      <c r="VI144" s="1251"/>
      <c r="VJ144" s="1251"/>
      <c r="VK144" s="1251"/>
      <c r="VL144" s="1251"/>
      <c r="VM144" s="1251"/>
      <c r="VN144" s="1251"/>
      <c r="VO144" s="1251"/>
      <c r="VP144" s="1251"/>
      <c r="VQ144" s="1251"/>
      <c r="VR144" s="1251"/>
      <c r="VS144" s="1251"/>
      <c r="VT144" s="1251"/>
      <c r="VU144" s="1251"/>
      <c r="VV144" s="1251"/>
      <c r="VW144" s="1251"/>
      <c r="VX144" s="1251"/>
      <c r="VY144" s="1251"/>
      <c r="VZ144" s="1251"/>
      <c r="WA144" s="1251"/>
      <c r="WB144" s="1251"/>
      <c r="WC144" s="1251"/>
      <c r="WD144" s="1251"/>
      <c r="WE144" s="1251"/>
      <c r="WF144" s="1251"/>
      <c r="WG144" s="1251"/>
      <c r="WH144" s="1251"/>
      <c r="WI144" s="1251"/>
      <c r="WJ144" s="1251"/>
      <c r="WK144" s="1251"/>
      <c r="WL144" s="1251"/>
      <c r="WM144" s="1251"/>
      <c r="WN144" s="1251"/>
      <c r="WO144" s="1251"/>
      <c r="WP144" s="1251"/>
      <c r="WQ144" s="1251"/>
      <c r="WR144" s="1251"/>
      <c r="WS144" s="1251"/>
      <c r="WT144" s="1251"/>
      <c r="WU144" s="1251"/>
      <c r="WV144" s="1251"/>
      <c r="WW144" s="1251"/>
      <c r="WX144" s="1251"/>
      <c r="WY144" s="1251"/>
      <c r="WZ144" s="1251"/>
      <c r="XA144" s="1251"/>
      <c r="XB144" s="1251"/>
      <c r="XC144" s="1251"/>
      <c r="XD144" s="1251"/>
      <c r="XE144" s="1251"/>
      <c r="XF144" s="1251"/>
      <c r="XG144" s="1251"/>
      <c r="XH144" s="1251"/>
      <c r="XI144" s="1251"/>
      <c r="XJ144" s="1251"/>
      <c r="XK144" s="1251"/>
      <c r="XL144" s="1251"/>
      <c r="XM144" s="1251"/>
      <c r="XN144" s="1251"/>
      <c r="XO144" s="1251"/>
      <c r="XP144" s="1251"/>
      <c r="XQ144" s="1251"/>
      <c r="XR144" s="1251"/>
      <c r="XS144" s="1251"/>
      <c r="XT144" s="1251"/>
      <c r="XU144" s="1251"/>
      <c r="XV144" s="1251"/>
      <c r="XW144" s="1251"/>
      <c r="XX144" s="1251"/>
      <c r="XY144" s="1251"/>
      <c r="XZ144" s="1251"/>
      <c r="YA144" s="1251"/>
      <c r="YB144" s="1251"/>
      <c r="YC144" s="1251"/>
      <c r="YD144" s="1251"/>
      <c r="YE144" s="1251"/>
      <c r="YF144" s="1251"/>
      <c r="YG144" s="1251"/>
      <c r="YH144" s="1251"/>
      <c r="YI144" s="1251"/>
      <c r="YJ144" s="1251"/>
      <c r="YK144" s="1251"/>
      <c r="YL144" s="1251"/>
      <c r="YM144" s="1251"/>
      <c r="YN144" s="1251"/>
      <c r="YO144" s="1251"/>
      <c r="YP144" s="1251"/>
      <c r="YQ144" s="1251"/>
      <c r="YR144" s="1251"/>
      <c r="YS144" s="1251"/>
      <c r="YT144" s="1251"/>
      <c r="YU144" s="1251"/>
      <c r="YV144" s="1251"/>
      <c r="YW144" s="1251"/>
      <c r="YX144" s="1251"/>
      <c r="YY144" s="1251"/>
      <c r="YZ144" s="1251"/>
      <c r="ZA144" s="1251"/>
      <c r="ZB144" s="1251"/>
      <c r="ZC144" s="1251"/>
      <c r="ZD144" s="1251"/>
      <c r="ZE144" s="1251"/>
      <c r="ZF144" s="1251"/>
      <c r="ZG144" s="1251"/>
      <c r="ZH144" s="1251"/>
      <c r="ZI144" s="1251"/>
      <c r="ZJ144" s="1251"/>
      <c r="ZK144" s="1251"/>
      <c r="ZL144" s="1251"/>
      <c r="ZM144" s="1251"/>
      <c r="ZN144" s="1251"/>
      <c r="ZO144" s="1251"/>
      <c r="ZP144" s="1251"/>
      <c r="ZQ144" s="1251"/>
      <c r="ZR144" s="1251"/>
      <c r="ZS144" s="1251"/>
      <c r="ZT144" s="1251"/>
      <c r="ZU144" s="1251"/>
      <c r="ZV144" s="1251"/>
      <c r="ZW144" s="1251"/>
      <c r="ZX144" s="1251"/>
      <c r="ZY144" s="1251"/>
      <c r="ZZ144" s="1251"/>
      <c r="AAA144" s="1251"/>
      <c r="AAB144" s="1251"/>
      <c r="AAC144" s="1251"/>
      <c r="AAD144" s="1251"/>
      <c r="AAE144" s="1251"/>
      <c r="AAF144" s="1251"/>
      <c r="AAG144" s="1251"/>
      <c r="AAH144" s="1251"/>
      <c r="AAI144" s="1251"/>
      <c r="AAJ144" s="1251"/>
      <c r="AAK144" s="1251"/>
      <c r="AAL144" s="1251"/>
      <c r="AAM144" s="1251"/>
      <c r="AAN144" s="1251"/>
      <c r="AAO144" s="1251"/>
      <c r="AAP144" s="1251"/>
      <c r="AAQ144" s="1251"/>
      <c r="AAR144" s="1251"/>
      <c r="AAS144" s="1251"/>
      <c r="AAT144" s="1251"/>
      <c r="AAU144" s="1251"/>
      <c r="AAV144" s="1251"/>
      <c r="AAW144" s="1251"/>
      <c r="AAX144" s="1251"/>
      <c r="AAY144" s="1251"/>
      <c r="AAZ144" s="1251"/>
      <c r="ABA144" s="1251"/>
      <c r="ABB144" s="1251"/>
      <c r="ABC144" s="1251"/>
      <c r="ABD144" s="1251"/>
      <c r="ABE144" s="1251"/>
      <c r="ABF144" s="1251"/>
      <c r="ABG144" s="1251"/>
      <c r="ABH144" s="1251"/>
      <c r="ABI144" s="1251"/>
      <c r="ABJ144" s="1251"/>
      <c r="ABK144" s="1251"/>
      <c r="ABL144" s="1251"/>
      <c r="ABM144" s="1251"/>
      <c r="ABN144" s="1251"/>
      <c r="ABO144" s="1251"/>
      <c r="ABP144" s="1251"/>
      <c r="ABQ144" s="1251"/>
      <c r="ABR144" s="1251"/>
      <c r="ABS144" s="1251"/>
      <c r="ABT144" s="1251"/>
      <c r="ABU144" s="1251"/>
      <c r="ABV144" s="1251"/>
      <c r="ABW144" s="1251"/>
      <c r="ABX144" s="1251"/>
      <c r="ABY144" s="1251"/>
      <c r="ABZ144" s="1251"/>
      <c r="ACA144" s="1251"/>
      <c r="ACB144" s="1251"/>
      <c r="ACC144" s="1251"/>
      <c r="ACD144" s="1251"/>
      <c r="ACE144" s="1251"/>
      <c r="ACF144" s="1251"/>
      <c r="ACG144" s="1251"/>
      <c r="ACH144" s="1251"/>
      <c r="ACI144" s="1251"/>
      <c r="ACJ144" s="1251"/>
      <c r="ACK144" s="1251"/>
      <c r="ACL144" s="1251"/>
      <c r="ACM144" s="1251"/>
      <c r="ACN144" s="1251"/>
      <c r="ACO144" s="1251"/>
      <c r="ACP144" s="1251"/>
      <c r="ACQ144" s="1251"/>
      <c r="ACR144" s="1251"/>
      <c r="ACS144" s="1251"/>
      <c r="ACT144" s="1251"/>
      <c r="ACU144" s="1251"/>
      <c r="ACV144" s="1251"/>
      <c r="ACW144" s="1251"/>
      <c r="ACX144" s="1251"/>
      <c r="ACY144" s="1251"/>
      <c r="ACZ144" s="1251"/>
      <c r="ADA144" s="1251"/>
      <c r="ADB144" s="1251"/>
      <c r="ADC144" s="1251"/>
      <c r="ADD144" s="1251"/>
      <c r="ADE144" s="1251"/>
      <c r="ADF144" s="1251"/>
      <c r="ADG144" s="1251"/>
      <c r="ADH144" s="1251"/>
      <c r="ADI144" s="1251"/>
      <c r="ADJ144" s="1251"/>
      <c r="ADK144" s="1251"/>
      <c r="ADL144" s="1251"/>
      <c r="ADM144" s="1251"/>
      <c r="ADN144" s="1251"/>
      <c r="ADO144" s="1251"/>
      <c r="ADP144" s="1251"/>
      <c r="ADQ144" s="1251"/>
      <c r="ADR144" s="1251"/>
      <c r="ADS144" s="1251"/>
      <c r="ADT144" s="1251"/>
      <c r="ADU144" s="1251"/>
      <c r="ADV144" s="1251"/>
      <c r="ADW144" s="1251"/>
      <c r="ADX144" s="1251"/>
      <c r="ADY144" s="1251"/>
      <c r="ADZ144" s="1251"/>
      <c r="AEA144" s="1251"/>
      <c r="AEB144" s="1251"/>
      <c r="AEC144" s="1251"/>
      <c r="AED144" s="1251"/>
      <c r="AEE144" s="1251"/>
      <c r="AEF144" s="1251"/>
      <c r="AEG144" s="1251"/>
      <c r="AEH144" s="1251"/>
      <c r="AEI144" s="1251"/>
      <c r="AEJ144" s="1251"/>
      <c r="AEK144" s="1251"/>
      <c r="AEL144" s="1251"/>
      <c r="AEM144" s="1251"/>
      <c r="AEN144" s="1251"/>
      <c r="AEO144" s="1251"/>
      <c r="AEP144" s="1251"/>
      <c r="AEQ144" s="1251"/>
      <c r="AER144" s="1251"/>
      <c r="AES144" s="1251"/>
      <c r="AET144" s="1251"/>
      <c r="AEU144" s="1251"/>
      <c r="AEV144" s="1251"/>
      <c r="AEW144" s="1251"/>
      <c r="AEX144" s="1251"/>
      <c r="AEY144" s="1251"/>
      <c r="AEZ144" s="1251"/>
      <c r="AFA144" s="1251"/>
      <c r="AFB144" s="1251"/>
      <c r="AFC144" s="1251"/>
      <c r="AFD144" s="1251"/>
      <c r="AFE144" s="1251"/>
      <c r="AFF144" s="1251"/>
      <c r="AFG144" s="1251"/>
      <c r="AFH144" s="1251"/>
      <c r="AFI144" s="1251"/>
      <c r="AFJ144" s="1251"/>
      <c r="AFK144" s="1251"/>
      <c r="AFL144" s="1251"/>
      <c r="AFM144" s="1251"/>
      <c r="AFN144" s="1251"/>
      <c r="AFO144" s="1251"/>
      <c r="AFP144" s="1251"/>
      <c r="AFQ144" s="1251"/>
      <c r="AFR144" s="1251"/>
      <c r="AFS144" s="1251"/>
      <c r="AFT144" s="1251"/>
      <c r="AFU144" s="1251"/>
      <c r="AFV144" s="1251"/>
      <c r="AFW144" s="1251"/>
      <c r="AFX144" s="1251"/>
      <c r="AFY144" s="1251"/>
      <c r="AFZ144" s="1251"/>
      <c r="AGA144" s="1251"/>
      <c r="AGB144" s="1251"/>
      <c r="AGC144" s="1251"/>
      <c r="AGD144" s="1251"/>
      <c r="AGE144" s="1251"/>
      <c r="AGF144" s="1251"/>
      <c r="AGG144" s="1251"/>
      <c r="AGH144" s="1251"/>
      <c r="AGI144" s="1251"/>
      <c r="AGJ144" s="1251"/>
      <c r="AGK144" s="1251"/>
      <c r="AGL144" s="1251"/>
      <c r="AGM144" s="1251"/>
      <c r="AGN144" s="1251"/>
      <c r="AGO144" s="1251"/>
      <c r="AGP144" s="1251"/>
      <c r="AGQ144" s="1251"/>
      <c r="AGR144" s="1251"/>
      <c r="AGS144" s="1251"/>
      <c r="AGT144" s="1251"/>
      <c r="AGU144" s="1251"/>
      <c r="AGV144" s="1251"/>
      <c r="AGW144" s="1251"/>
      <c r="AGX144" s="1251"/>
      <c r="AGY144" s="1251"/>
      <c r="AGZ144" s="1251"/>
      <c r="AHA144" s="1251"/>
      <c r="AHB144" s="1251"/>
      <c r="AHC144" s="1251"/>
      <c r="AHD144" s="1251"/>
      <c r="AHE144" s="1251"/>
      <c r="AHF144" s="1251"/>
      <c r="AHG144" s="1251"/>
      <c r="AHH144" s="1251"/>
      <c r="AHI144" s="1251"/>
      <c r="AHJ144" s="1251"/>
      <c r="AHK144" s="1251"/>
      <c r="AHL144" s="1251"/>
      <c r="AHM144" s="1251"/>
      <c r="AHN144" s="1251"/>
      <c r="AHO144" s="1251"/>
      <c r="AHP144" s="1251"/>
      <c r="AHQ144" s="1251"/>
      <c r="AHR144" s="1251"/>
      <c r="AHS144" s="1251"/>
      <c r="AHT144" s="1251"/>
      <c r="AHU144" s="1251"/>
      <c r="AHV144" s="1251"/>
      <c r="AHW144" s="1251"/>
      <c r="AHX144" s="1251"/>
      <c r="AHY144" s="1251"/>
      <c r="AHZ144" s="1251"/>
      <c r="AIA144" s="1251"/>
      <c r="AIB144" s="1251"/>
      <c r="AIC144" s="1251"/>
      <c r="AID144" s="1251"/>
      <c r="AIE144" s="1251"/>
      <c r="AIF144" s="1251"/>
      <c r="AIG144" s="1251"/>
      <c r="AIH144" s="1251"/>
      <c r="AII144" s="1251"/>
      <c r="AIJ144" s="1251"/>
      <c r="AIK144" s="1251"/>
      <c r="AIL144" s="1251"/>
      <c r="AIM144" s="1251"/>
      <c r="AIN144" s="1251"/>
      <c r="AIO144" s="1251"/>
      <c r="AIP144" s="1251"/>
      <c r="AIQ144" s="1251"/>
      <c r="AIR144" s="1251"/>
      <c r="AIS144" s="1251"/>
      <c r="AIT144" s="1251"/>
      <c r="AIU144" s="1251"/>
      <c r="AIV144" s="1251"/>
      <c r="AIW144" s="1251"/>
      <c r="AIX144" s="1251"/>
      <c r="AIY144" s="1251"/>
      <c r="AIZ144" s="1251"/>
      <c r="AJA144" s="1251"/>
      <c r="AJB144" s="1251"/>
      <c r="AJC144" s="1251"/>
      <c r="AJD144" s="1251"/>
      <c r="AJE144" s="1251"/>
      <c r="AJF144" s="1251"/>
      <c r="AJG144" s="1251"/>
      <c r="AJH144" s="1251"/>
      <c r="AJI144" s="1251"/>
      <c r="AJJ144" s="1251"/>
      <c r="AJK144" s="1251"/>
      <c r="AJL144" s="1251"/>
      <c r="AJM144" s="1251"/>
      <c r="AJN144" s="1251"/>
      <c r="AJO144" s="1251"/>
      <c r="AJP144" s="1251"/>
      <c r="AJQ144" s="1251"/>
      <c r="AJR144" s="1251"/>
      <c r="AJS144" s="1251"/>
      <c r="AJT144" s="1251"/>
      <c r="AJU144" s="1251"/>
      <c r="AJV144" s="1251"/>
      <c r="AJW144" s="1251"/>
      <c r="AJX144" s="1251"/>
      <c r="AJY144" s="1251"/>
      <c r="AJZ144" s="1251"/>
      <c r="AKA144" s="1251"/>
      <c r="AKB144" s="1251"/>
      <c r="AKC144" s="1251"/>
      <c r="AKD144" s="1251"/>
      <c r="AKE144" s="1251"/>
      <c r="AKF144" s="1251"/>
      <c r="AKG144" s="1251"/>
      <c r="AKH144" s="1251"/>
      <c r="AKI144" s="1251"/>
      <c r="AKJ144" s="1251"/>
      <c r="AKK144" s="1251"/>
      <c r="AKL144" s="1251"/>
      <c r="AKM144" s="1251"/>
      <c r="AKN144" s="1251"/>
      <c r="AKO144" s="1251"/>
      <c r="AKP144" s="1251"/>
      <c r="AKQ144" s="1251"/>
      <c r="AKR144" s="1251"/>
      <c r="AKS144" s="1251"/>
      <c r="AKT144" s="1251"/>
      <c r="AKU144" s="1251"/>
      <c r="AKV144" s="1251"/>
      <c r="AKW144" s="1251"/>
      <c r="AKX144" s="1251"/>
      <c r="AKY144" s="1251"/>
      <c r="AKZ144" s="1251"/>
      <c r="ALA144" s="1251"/>
      <c r="ALB144" s="1251"/>
      <c r="ALC144" s="1251"/>
      <c r="ALD144" s="1251"/>
      <c r="ALE144" s="1251"/>
      <c r="ALF144" s="1251"/>
      <c r="ALG144" s="1251"/>
      <c r="ALH144" s="1251"/>
      <c r="ALI144" s="1251"/>
      <c r="ALJ144" s="1251"/>
      <c r="ALK144" s="1251"/>
      <c r="ALL144" s="1251"/>
      <c r="ALM144" s="1251"/>
      <c r="ALN144" s="1251"/>
      <c r="ALO144" s="1251"/>
      <c r="ALP144" s="1251"/>
      <c r="ALQ144" s="1251"/>
      <c r="ALR144" s="1251"/>
      <c r="ALS144" s="1251"/>
      <c r="ALT144" s="1251"/>
      <c r="ALU144" s="1251"/>
      <c r="ALV144" s="1251"/>
      <c r="ALW144" s="1251"/>
      <c r="ALX144" s="1251"/>
      <c r="ALY144" s="1251"/>
      <c r="ALZ144" s="1251"/>
      <c r="AMA144" s="1251"/>
      <c r="AMB144" s="1251"/>
      <c r="AMC144" s="1251"/>
      <c r="AMD144" s="1251"/>
      <c r="AME144" s="1251"/>
      <c r="AMF144" s="1251"/>
      <c r="AMG144" s="1251"/>
      <c r="AMH144" s="1251"/>
      <c r="AMI144" s="1251"/>
      <c r="AMJ144" s="1251"/>
      <c r="AMK144" s="1251"/>
      <c r="AML144" s="1251"/>
      <c r="AMM144" s="1251"/>
      <c r="AMN144" s="1251"/>
      <c r="AMO144" s="1251"/>
      <c r="AMP144" s="1251"/>
      <c r="AMQ144" s="1251"/>
      <c r="AMR144" s="1251"/>
      <c r="AMS144" s="1251"/>
      <c r="AMT144" s="1251"/>
      <c r="AMU144" s="1251"/>
      <c r="AMV144" s="1251"/>
      <c r="AMW144" s="1251"/>
      <c r="AMX144" s="1251"/>
      <c r="AMY144" s="1251"/>
      <c r="AMZ144" s="1251"/>
      <c r="ANA144" s="1251"/>
      <c r="ANB144" s="1251"/>
      <c r="ANC144" s="1251"/>
      <c r="AND144" s="1251"/>
      <c r="ANE144" s="1251"/>
      <c r="ANF144" s="1251"/>
      <c r="ANG144" s="1251"/>
      <c r="ANH144" s="1251"/>
      <c r="ANI144" s="1251"/>
      <c r="ANJ144" s="1251"/>
      <c r="ANK144" s="1251"/>
      <c r="ANL144" s="1251"/>
      <c r="ANM144" s="1251"/>
      <c r="ANN144" s="1251"/>
      <c r="ANO144" s="1251"/>
      <c r="ANP144" s="1251"/>
      <c r="ANQ144" s="1251"/>
      <c r="ANR144" s="1251"/>
      <c r="ANS144" s="1251"/>
      <c r="ANT144" s="1251"/>
      <c r="ANU144" s="1251"/>
      <c r="ANV144" s="1251"/>
      <c r="ANW144" s="1251"/>
      <c r="ANX144" s="1251"/>
      <c r="ANY144" s="1251"/>
      <c r="ANZ144" s="1251"/>
      <c r="AOA144" s="1251"/>
      <c r="AOB144" s="1251"/>
      <c r="AOC144" s="1251"/>
      <c r="AOD144" s="1251"/>
      <c r="AOE144" s="1251"/>
      <c r="AOF144" s="1251"/>
      <c r="AOG144" s="1251"/>
      <c r="AOH144" s="1251"/>
      <c r="AOI144" s="1251"/>
      <c r="AOJ144" s="1251"/>
      <c r="AOK144" s="1251"/>
      <c r="AOL144" s="1251"/>
      <c r="AOM144" s="1251"/>
      <c r="AON144" s="1251"/>
      <c r="AOO144" s="1251"/>
      <c r="AOP144" s="1251"/>
      <c r="AOQ144" s="1251"/>
      <c r="AOR144" s="1251"/>
      <c r="AOS144" s="1251"/>
      <c r="AOT144" s="1251"/>
      <c r="AOU144" s="1251"/>
      <c r="AOV144" s="1251"/>
      <c r="AOW144" s="1251"/>
      <c r="AOX144" s="1251"/>
      <c r="AOY144" s="1251"/>
      <c r="AOZ144" s="1251"/>
      <c r="APA144" s="1251"/>
      <c r="APB144" s="1251"/>
      <c r="APC144" s="1251"/>
      <c r="APD144" s="1251"/>
      <c r="APE144" s="1251"/>
      <c r="APF144" s="1251"/>
      <c r="APG144" s="1251"/>
      <c r="APH144" s="1251"/>
      <c r="API144" s="1251"/>
      <c r="APJ144" s="1251"/>
      <c r="APK144" s="1251"/>
      <c r="APL144" s="1251"/>
      <c r="APM144" s="1251"/>
      <c r="APN144" s="1251"/>
      <c r="APO144" s="1251"/>
      <c r="APP144" s="1251"/>
      <c r="APQ144" s="1251"/>
      <c r="APR144" s="1251"/>
      <c r="APS144" s="1251"/>
      <c r="APT144" s="1251"/>
      <c r="APU144" s="1251"/>
      <c r="APV144" s="1251"/>
      <c r="APW144" s="1251"/>
      <c r="APX144" s="1251"/>
      <c r="APY144" s="1251"/>
      <c r="APZ144" s="1251"/>
      <c r="AQA144" s="1251"/>
      <c r="AQB144" s="1251"/>
      <c r="AQC144" s="1251"/>
      <c r="AQD144" s="1251"/>
      <c r="AQE144" s="1251"/>
      <c r="AQF144" s="1251"/>
      <c r="AQG144" s="1251"/>
      <c r="AQH144" s="1251"/>
      <c r="AQI144" s="1251"/>
      <c r="AQJ144" s="1251"/>
      <c r="AQK144" s="1251"/>
      <c r="AQL144" s="1251"/>
      <c r="AQM144" s="1251"/>
      <c r="AQN144" s="1251"/>
      <c r="AQO144" s="1251"/>
      <c r="AQP144" s="1251"/>
      <c r="AQQ144" s="1251"/>
      <c r="AQR144" s="1251"/>
      <c r="AQS144" s="1251"/>
      <c r="AQT144" s="1251"/>
      <c r="AQU144" s="1251"/>
      <c r="AQV144" s="1251"/>
      <c r="AQW144" s="1251"/>
      <c r="AQX144" s="1251"/>
      <c r="AQY144" s="1251"/>
      <c r="AQZ144" s="1251"/>
      <c r="ARA144" s="1251"/>
      <c r="ARB144" s="1251"/>
      <c r="ARC144" s="1251"/>
      <c r="ARD144" s="1251"/>
      <c r="ARE144" s="1251"/>
      <c r="ARF144" s="1251"/>
      <c r="ARG144" s="1251"/>
      <c r="ARH144" s="1251"/>
      <c r="ARI144" s="1251"/>
      <c r="ARJ144" s="1251"/>
      <c r="ARK144" s="1251"/>
      <c r="ARL144" s="1251"/>
      <c r="ARM144" s="1251"/>
      <c r="ARN144" s="1251"/>
      <c r="ARO144" s="1251"/>
      <c r="ARP144" s="1251"/>
      <c r="ARQ144" s="1251"/>
      <c r="ARR144" s="1251"/>
      <c r="ARS144" s="1251"/>
      <c r="ART144" s="1251"/>
      <c r="ARU144" s="1251"/>
      <c r="ARV144" s="1251"/>
      <c r="ARW144" s="1251"/>
      <c r="ARX144" s="1251"/>
      <c r="ARY144" s="1251"/>
      <c r="ARZ144" s="1251"/>
      <c r="ASA144" s="1251"/>
      <c r="ASB144" s="1251"/>
      <c r="ASC144" s="1251"/>
      <c r="ASD144" s="1251"/>
      <c r="ASE144" s="1251"/>
      <c r="ASF144" s="1251"/>
      <c r="ASG144" s="1251"/>
      <c r="ASH144" s="1251"/>
      <c r="ASI144" s="1251"/>
      <c r="ASJ144" s="1251"/>
      <c r="ASK144" s="1251"/>
      <c r="ASL144" s="1251"/>
      <c r="ASM144" s="1251"/>
      <c r="ASN144" s="1251"/>
      <c r="ASO144" s="1251"/>
      <c r="ASP144" s="1251"/>
      <c r="ASQ144" s="1251"/>
      <c r="ASR144" s="1251"/>
      <c r="ASS144" s="1251"/>
      <c r="AST144" s="1251"/>
      <c r="ASU144" s="1251"/>
      <c r="ASV144" s="1251"/>
      <c r="ASW144" s="1251"/>
      <c r="ASX144" s="1251"/>
      <c r="ASY144" s="1251"/>
      <c r="ASZ144" s="1251"/>
      <c r="ATA144" s="1251"/>
      <c r="ATB144" s="1251"/>
      <c r="ATC144" s="1251"/>
      <c r="ATD144" s="1251"/>
      <c r="ATE144" s="1251"/>
      <c r="ATF144" s="1251"/>
      <c r="ATG144" s="1251"/>
      <c r="ATH144" s="1251"/>
      <c r="ATI144" s="1251"/>
      <c r="ATJ144" s="1251"/>
      <c r="ATK144" s="1251"/>
      <c r="ATL144" s="1251"/>
      <c r="ATM144" s="1251"/>
      <c r="ATN144" s="1251"/>
      <c r="ATO144" s="1251"/>
      <c r="ATP144" s="1251"/>
      <c r="ATQ144" s="1251"/>
      <c r="ATR144" s="1251"/>
      <c r="ATS144" s="1251"/>
      <c r="ATT144" s="1251"/>
      <c r="ATU144" s="1251"/>
      <c r="ATV144" s="1251"/>
      <c r="ATW144" s="1251"/>
      <c r="ATX144" s="1251"/>
      <c r="ATY144" s="1251"/>
      <c r="ATZ144" s="1251"/>
      <c r="AUA144" s="1251"/>
      <c r="AUB144" s="1251"/>
      <c r="AUC144" s="1251"/>
      <c r="AUD144" s="1251"/>
      <c r="AUE144" s="1251"/>
      <c r="AUF144" s="1251"/>
      <c r="AUG144" s="1251"/>
      <c r="AUH144" s="1251"/>
      <c r="AUI144" s="1251"/>
      <c r="AUJ144" s="1251"/>
      <c r="AUK144" s="1251"/>
      <c r="AUL144" s="1251"/>
      <c r="AUM144" s="1251"/>
      <c r="AUN144" s="1251"/>
      <c r="AUO144" s="1251"/>
      <c r="AUP144" s="1251"/>
      <c r="AUQ144" s="1251"/>
      <c r="AUR144" s="1251"/>
      <c r="AUS144" s="1251"/>
      <c r="AUT144" s="1251"/>
      <c r="AUU144" s="1251"/>
      <c r="AUV144" s="1251"/>
      <c r="AUW144" s="1251"/>
      <c r="AUX144" s="1251"/>
      <c r="AUY144" s="1251"/>
      <c r="AUZ144" s="1251"/>
      <c r="AVA144" s="1251"/>
      <c r="AVB144" s="1251"/>
      <c r="AVC144" s="1251"/>
      <c r="AVD144" s="1251"/>
      <c r="AVE144" s="1251"/>
      <c r="AVF144" s="1251"/>
      <c r="AVG144" s="1251"/>
      <c r="AVH144" s="1251"/>
      <c r="AVI144" s="1251"/>
      <c r="AVJ144" s="1251"/>
      <c r="AVK144" s="1251"/>
      <c r="AVL144" s="1251"/>
      <c r="AVM144" s="1251"/>
      <c r="AVN144" s="1251"/>
      <c r="AVO144" s="1251"/>
      <c r="AVP144" s="1251"/>
      <c r="AVQ144" s="1251"/>
      <c r="AVR144" s="1251"/>
      <c r="AVS144" s="1251"/>
      <c r="AVT144" s="1251"/>
      <c r="AVU144" s="1251"/>
      <c r="AVV144" s="1251"/>
      <c r="AVW144" s="1251"/>
      <c r="AVX144" s="1251"/>
      <c r="AVY144" s="1251"/>
      <c r="AVZ144" s="1251"/>
      <c r="AWA144" s="1251"/>
      <c r="AWB144" s="1251"/>
      <c r="AWC144" s="1251"/>
      <c r="AWD144" s="1251"/>
      <c r="AWE144" s="1251"/>
      <c r="AWF144" s="1251"/>
      <c r="AWG144" s="1251"/>
      <c r="AWH144" s="1251"/>
      <c r="AWI144" s="1251"/>
      <c r="AWJ144" s="1251"/>
      <c r="AWK144" s="1251"/>
      <c r="AWL144" s="1251"/>
      <c r="AWM144" s="1251"/>
      <c r="AWN144" s="1251"/>
      <c r="AWO144" s="1251"/>
      <c r="AWP144" s="1251"/>
      <c r="AWQ144" s="1251"/>
      <c r="AWR144" s="1251"/>
      <c r="AWS144" s="1251"/>
      <c r="AWT144" s="1251"/>
      <c r="AWU144" s="1251"/>
      <c r="AWV144" s="1251"/>
      <c r="AWW144" s="1251"/>
      <c r="AWX144" s="1251"/>
      <c r="AWY144" s="1251"/>
      <c r="AWZ144" s="1251"/>
      <c r="AXA144" s="1251"/>
      <c r="AXB144" s="1251"/>
      <c r="AXC144" s="1251"/>
      <c r="AXD144" s="1251"/>
      <c r="AXE144" s="1251"/>
      <c r="AXF144" s="1251"/>
      <c r="AXG144" s="1251"/>
      <c r="AXH144" s="1251"/>
      <c r="AXI144" s="1251"/>
      <c r="AXJ144" s="1251"/>
      <c r="AXK144" s="1251"/>
      <c r="AXL144" s="1251"/>
      <c r="AXM144" s="1251"/>
      <c r="AXN144" s="1251"/>
      <c r="AXO144" s="1251"/>
      <c r="AXP144" s="1251"/>
      <c r="AXQ144" s="1251"/>
      <c r="AXR144" s="1251"/>
      <c r="AXS144" s="1251"/>
      <c r="AXT144" s="1251"/>
      <c r="AXU144" s="1251"/>
      <c r="AXV144" s="1251"/>
      <c r="AXW144" s="1251"/>
      <c r="AXX144" s="1251"/>
      <c r="AXY144" s="1251"/>
      <c r="AXZ144" s="1251"/>
      <c r="AYA144" s="1251"/>
      <c r="AYB144" s="1251"/>
      <c r="AYC144" s="1251"/>
      <c r="AYD144" s="1251"/>
      <c r="AYE144" s="1251"/>
      <c r="AYF144" s="1251"/>
      <c r="AYG144" s="1251"/>
      <c r="AYH144" s="1251"/>
      <c r="AYI144" s="1251"/>
      <c r="AYJ144" s="1251"/>
      <c r="AYK144" s="1251"/>
      <c r="AYL144" s="1251"/>
      <c r="AYM144" s="1251"/>
      <c r="AYN144" s="1251"/>
      <c r="AYO144" s="1251"/>
      <c r="AYP144" s="1251"/>
      <c r="AYQ144" s="1251"/>
      <c r="AYR144" s="1251"/>
      <c r="AYS144" s="1251"/>
      <c r="AYT144" s="1251"/>
      <c r="AYU144" s="1251"/>
      <c r="AYV144" s="1251"/>
      <c r="AYW144" s="1251"/>
      <c r="AYX144" s="1251"/>
      <c r="AYY144" s="1251"/>
      <c r="AYZ144" s="1251"/>
      <c r="AZA144" s="1251"/>
      <c r="AZB144" s="1251"/>
      <c r="AZC144" s="1251"/>
      <c r="AZD144" s="1251"/>
      <c r="AZE144" s="1251"/>
      <c r="AZF144" s="1251"/>
      <c r="AZG144" s="1251"/>
      <c r="AZH144" s="1251"/>
      <c r="AZI144" s="1251"/>
      <c r="AZJ144" s="1251"/>
      <c r="AZK144" s="1251"/>
      <c r="AZL144" s="1251"/>
      <c r="AZM144" s="1251"/>
      <c r="AZN144" s="1251"/>
      <c r="AZO144" s="1251"/>
      <c r="AZP144" s="1251"/>
      <c r="AZQ144" s="1251"/>
      <c r="AZR144" s="1251"/>
      <c r="AZS144" s="1251"/>
      <c r="AZT144" s="1251"/>
      <c r="AZU144" s="1251"/>
      <c r="AZV144" s="1251"/>
      <c r="AZW144" s="1251"/>
      <c r="AZX144" s="1251"/>
      <c r="AZY144" s="1251"/>
      <c r="AZZ144" s="1251"/>
      <c r="BAA144" s="1251"/>
      <c r="BAB144" s="1251"/>
      <c r="BAC144" s="1251"/>
      <c r="BAD144" s="1251"/>
      <c r="BAE144" s="1251"/>
      <c r="BAF144" s="1251"/>
      <c r="BAG144" s="1251"/>
      <c r="BAH144" s="1251"/>
      <c r="BAI144" s="1251"/>
      <c r="BAJ144" s="1251"/>
      <c r="BAK144" s="1251"/>
      <c r="BAL144" s="1251"/>
      <c r="BAM144" s="1251"/>
      <c r="BAN144" s="1251"/>
      <c r="BAO144" s="1251"/>
      <c r="BAP144" s="1251"/>
      <c r="BAQ144" s="1251"/>
      <c r="BAR144" s="1251"/>
      <c r="BAS144" s="1251"/>
      <c r="BAT144" s="1251"/>
      <c r="BAU144" s="1251"/>
      <c r="BAV144" s="1251"/>
      <c r="BAW144" s="1251"/>
      <c r="BAX144" s="1251"/>
      <c r="BAY144" s="1251"/>
      <c r="BAZ144" s="1251"/>
      <c r="BBA144" s="1251"/>
      <c r="BBB144" s="1251"/>
      <c r="BBC144" s="1251"/>
      <c r="BBD144" s="1251"/>
      <c r="BBE144" s="1251"/>
      <c r="BBF144" s="1251"/>
      <c r="BBG144" s="1251"/>
      <c r="BBH144" s="1251"/>
      <c r="BBI144" s="1251"/>
      <c r="BBJ144" s="1251"/>
      <c r="BBK144" s="1251"/>
      <c r="BBL144" s="1251"/>
      <c r="BBM144" s="1251"/>
      <c r="BBN144" s="1251"/>
      <c r="BBO144" s="1251"/>
      <c r="BBP144" s="1251"/>
      <c r="BBQ144" s="1251"/>
      <c r="BBR144" s="1251"/>
      <c r="BBS144" s="1251"/>
      <c r="BBT144" s="1251"/>
      <c r="BBU144" s="1251"/>
      <c r="BBV144" s="1251"/>
      <c r="BBW144" s="1251"/>
      <c r="BBX144" s="1251"/>
      <c r="BBY144" s="1251"/>
      <c r="BBZ144" s="1251"/>
      <c r="BCA144" s="1251"/>
      <c r="BCB144" s="1251"/>
      <c r="BCC144" s="1251"/>
      <c r="BCD144" s="1251"/>
      <c r="BCE144" s="1251"/>
      <c r="BCF144" s="1251"/>
      <c r="BCG144" s="1251"/>
      <c r="BCH144" s="1251"/>
      <c r="BCI144" s="1251"/>
      <c r="BCJ144" s="1251"/>
      <c r="BCK144" s="1251"/>
      <c r="BCL144" s="1251"/>
      <c r="BCM144" s="1251"/>
      <c r="BCN144" s="1251"/>
      <c r="BCO144" s="1251"/>
      <c r="BCP144" s="1251"/>
      <c r="BCQ144" s="1251"/>
      <c r="BCR144" s="1251"/>
      <c r="BCS144" s="1251"/>
      <c r="BCT144" s="1251"/>
      <c r="BCU144" s="1251"/>
      <c r="BCV144" s="1251"/>
      <c r="BCW144" s="1251"/>
      <c r="BCX144" s="1251"/>
      <c r="BCY144" s="1251"/>
      <c r="BCZ144" s="1251"/>
      <c r="BDA144" s="1251"/>
      <c r="BDB144" s="1251"/>
      <c r="BDC144" s="1251"/>
      <c r="BDD144" s="1251"/>
      <c r="BDE144" s="1251"/>
      <c r="BDF144" s="1251"/>
      <c r="BDG144" s="1251"/>
      <c r="BDH144" s="1251"/>
      <c r="BDI144" s="1251"/>
      <c r="BDJ144" s="1251"/>
      <c r="BDK144" s="1251"/>
      <c r="BDL144" s="1251"/>
      <c r="BDM144" s="1251"/>
      <c r="BDN144" s="1251"/>
      <c r="BDO144" s="1251"/>
      <c r="BDP144" s="1251"/>
      <c r="BDQ144" s="1251"/>
      <c r="BDR144" s="1251"/>
      <c r="BDS144" s="1251"/>
      <c r="BDT144" s="1251"/>
      <c r="BDU144" s="1251"/>
      <c r="BDV144" s="1251"/>
      <c r="BDW144" s="1251"/>
      <c r="BDX144" s="1251"/>
      <c r="BDY144" s="1251"/>
      <c r="BDZ144" s="1251"/>
      <c r="BEA144" s="1251"/>
      <c r="BEB144" s="1251"/>
      <c r="BEC144" s="1251"/>
      <c r="BED144" s="1251"/>
      <c r="BEE144" s="1251"/>
      <c r="BEF144" s="1251"/>
      <c r="BEG144" s="1251"/>
      <c r="BEH144" s="1251"/>
      <c r="BEI144" s="1251"/>
      <c r="BEJ144" s="1251"/>
      <c r="BEK144" s="1251"/>
      <c r="BEL144" s="1251"/>
      <c r="BEM144" s="1251"/>
      <c r="BEN144" s="1251"/>
      <c r="BEO144" s="1251"/>
      <c r="BEP144" s="1251"/>
      <c r="BEQ144" s="1251"/>
      <c r="BER144" s="1251"/>
      <c r="BES144" s="1251"/>
      <c r="BET144" s="1251"/>
      <c r="BEU144" s="1251"/>
      <c r="BEV144" s="1251"/>
      <c r="BEW144" s="1251"/>
      <c r="BEX144" s="1251"/>
      <c r="BEY144" s="1251"/>
      <c r="BEZ144" s="1251"/>
      <c r="BFA144" s="1251"/>
      <c r="BFB144" s="1251"/>
      <c r="BFC144" s="1251"/>
      <c r="BFD144" s="1251"/>
      <c r="BFE144" s="1251"/>
      <c r="BFF144" s="1251"/>
      <c r="BFG144" s="1251"/>
      <c r="BFH144" s="1251"/>
      <c r="BFI144" s="1251"/>
      <c r="BFJ144" s="1251"/>
      <c r="BFK144" s="1251"/>
      <c r="BFL144" s="1251"/>
      <c r="BFM144" s="1251"/>
      <c r="BFN144" s="1251"/>
      <c r="BFO144" s="1251"/>
      <c r="BFP144" s="1251"/>
      <c r="BFQ144" s="1251"/>
      <c r="BFR144" s="1251"/>
      <c r="BFS144" s="1251"/>
      <c r="BFT144" s="1251"/>
      <c r="BFU144" s="1251"/>
      <c r="BFV144" s="1251"/>
      <c r="BFW144" s="1251"/>
      <c r="BFX144" s="1251"/>
      <c r="BFY144" s="1251"/>
      <c r="BFZ144" s="1251"/>
      <c r="BGA144" s="1251"/>
      <c r="BGB144" s="1251"/>
      <c r="BGC144" s="1251"/>
      <c r="BGD144" s="1251"/>
      <c r="BGE144" s="1251"/>
      <c r="BGF144" s="1251"/>
      <c r="BGG144" s="1251"/>
      <c r="BGH144" s="1251"/>
      <c r="BGI144" s="1251"/>
      <c r="BGJ144" s="1251"/>
      <c r="BGK144" s="1251"/>
      <c r="BGL144" s="1251"/>
      <c r="BGM144" s="1251"/>
      <c r="BGN144" s="1251"/>
      <c r="BGO144" s="1251"/>
      <c r="BGP144" s="1251"/>
      <c r="BGQ144" s="1251"/>
      <c r="BGR144" s="1251"/>
      <c r="BGS144" s="1251"/>
      <c r="BGT144" s="1251"/>
      <c r="BGU144" s="1251"/>
      <c r="BGV144" s="1251"/>
      <c r="BGW144" s="1251"/>
      <c r="BGX144" s="1251"/>
      <c r="BGY144" s="1251"/>
      <c r="BGZ144" s="1251"/>
      <c r="BHA144" s="1251"/>
      <c r="BHB144" s="1251"/>
      <c r="BHC144" s="1251"/>
      <c r="BHD144" s="1251"/>
      <c r="BHE144" s="1251"/>
      <c r="BHF144" s="1251"/>
      <c r="BHG144" s="1251"/>
      <c r="BHH144" s="1251"/>
      <c r="BHI144" s="1251"/>
      <c r="BHJ144" s="1251"/>
      <c r="BHK144" s="1251"/>
      <c r="BHL144" s="1251"/>
      <c r="BHM144" s="1251"/>
      <c r="BHN144" s="1251"/>
      <c r="BHO144" s="1251"/>
      <c r="BHP144" s="1251"/>
      <c r="BHQ144" s="1251"/>
      <c r="BHR144" s="1251"/>
      <c r="BHS144" s="1251"/>
      <c r="BHT144" s="1251"/>
      <c r="BHU144" s="1251"/>
      <c r="BHV144" s="1251"/>
      <c r="BHW144" s="1251"/>
      <c r="BHX144" s="1251"/>
      <c r="BHY144" s="1251"/>
      <c r="BHZ144" s="1251"/>
      <c r="BIA144" s="1251"/>
      <c r="BIB144" s="1251"/>
      <c r="BIC144" s="1251"/>
      <c r="BID144" s="1251"/>
      <c r="BIE144" s="1251"/>
      <c r="BIF144" s="1251"/>
      <c r="BIG144" s="1251"/>
      <c r="BIH144" s="1251"/>
      <c r="BII144" s="1251"/>
      <c r="BIJ144" s="1251"/>
      <c r="BIK144" s="1251"/>
      <c r="BIL144" s="1251"/>
      <c r="BIM144" s="1251"/>
      <c r="BIN144" s="1251"/>
      <c r="BIO144" s="1251"/>
      <c r="BIP144" s="1251"/>
      <c r="BIQ144" s="1251"/>
      <c r="BIR144" s="1251"/>
      <c r="BIS144" s="1251"/>
      <c r="BIT144" s="1251"/>
      <c r="BIU144" s="1251"/>
      <c r="BIV144" s="1251"/>
      <c r="BIW144" s="1251"/>
      <c r="BIX144" s="1251"/>
      <c r="BIY144" s="1251"/>
      <c r="BIZ144" s="1251"/>
      <c r="BJA144" s="1251"/>
      <c r="BJB144" s="1251"/>
      <c r="BJC144" s="1251"/>
      <c r="BJD144" s="1251"/>
      <c r="BJE144" s="1251"/>
      <c r="BJF144" s="1251"/>
      <c r="BJG144" s="1251"/>
      <c r="BJH144" s="1251"/>
      <c r="BJI144" s="1251"/>
      <c r="BJJ144" s="1251"/>
      <c r="BJK144" s="1251"/>
      <c r="BJL144" s="1251"/>
      <c r="BJM144" s="1251"/>
      <c r="BJN144" s="1251"/>
      <c r="BJO144" s="1251"/>
      <c r="BJP144" s="1251"/>
      <c r="BJQ144" s="1251"/>
      <c r="BJR144" s="1251"/>
      <c r="BJS144" s="1251"/>
      <c r="BJT144" s="1251"/>
      <c r="BJU144" s="1251"/>
      <c r="BJV144" s="1251"/>
      <c r="BJW144" s="1251"/>
      <c r="BJX144" s="1251"/>
      <c r="BJY144" s="1251"/>
      <c r="BJZ144" s="1251"/>
      <c r="BKA144" s="1251"/>
      <c r="BKB144" s="1251"/>
      <c r="BKC144" s="1251"/>
      <c r="BKD144" s="1251"/>
      <c r="BKE144" s="1251"/>
      <c r="BKF144" s="1251"/>
      <c r="BKG144" s="1251"/>
      <c r="BKH144" s="1251"/>
      <c r="BKI144" s="1251"/>
      <c r="BKJ144" s="1251"/>
      <c r="BKK144" s="1251"/>
      <c r="BKL144" s="1251"/>
      <c r="BKM144" s="1251"/>
      <c r="BKN144" s="1251"/>
      <c r="BKO144" s="1251"/>
      <c r="BKP144" s="1251"/>
      <c r="BKQ144" s="1251"/>
      <c r="BKR144" s="1251"/>
      <c r="BKS144" s="1251"/>
      <c r="BKT144" s="1251"/>
      <c r="BKU144" s="1251"/>
      <c r="BKV144" s="1251"/>
      <c r="BKW144" s="1251"/>
      <c r="BKX144" s="1251"/>
      <c r="BKY144" s="1251"/>
      <c r="BKZ144" s="1251"/>
      <c r="BLA144" s="1251"/>
      <c r="BLB144" s="1251"/>
      <c r="BLC144" s="1251"/>
      <c r="BLD144" s="1251"/>
      <c r="BLE144" s="1251"/>
      <c r="BLF144" s="1251"/>
      <c r="BLG144" s="1251"/>
      <c r="BLH144" s="1251"/>
      <c r="BLI144" s="1251"/>
      <c r="BLJ144" s="1251"/>
      <c r="BLK144" s="1251"/>
      <c r="BLL144" s="1251"/>
      <c r="BLM144" s="1251"/>
      <c r="BLN144" s="1251"/>
      <c r="BLO144" s="1251"/>
      <c r="BLP144" s="1251"/>
      <c r="BLQ144" s="1251"/>
      <c r="BLR144" s="1251"/>
      <c r="BLS144" s="1251"/>
      <c r="BLT144" s="1251"/>
      <c r="BLU144" s="1251"/>
      <c r="BLV144" s="1251"/>
      <c r="BLW144" s="1251"/>
      <c r="BLX144" s="1251"/>
      <c r="BLY144" s="1251"/>
      <c r="BLZ144" s="1251"/>
      <c r="BMA144" s="1251"/>
      <c r="BMB144" s="1251"/>
      <c r="BMC144" s="1251"/>
      <c r="BMD144" s="1251"/>
      <c r="BME144" s="1251"/>
      <c r="BMF144" s="1251"/>
      <c r="BMG144" s="1251"/>
      <c r="BMH144" s="1251"/>
      <c r="BMI144" s="1251"/>
      <c r="BMJ144" s="1251"/>
      <c r="BMK144" s="1251"/>
      <c r="BML144" s="1251"/>
      <c r="BMM144" s="1251"/>
      <c r="BMN144" s="1251"/>
      <c r="BMO144" s="1251"/>
      <c r="BMP144" s="1251"/>
      <c r="BMQ144" s="1251"/>
      <c r="BMR144" s="1251"/>
      <c r="BMS144" s="1251"/>
      <c r="BMT144" s="1251"/>
      <c r="BMU144" s="1251"/>
      <c r="BMV144" s="1251"/>
      <c r="BMW144" s="1251"/>
      <c r="BMX144" s="1251"/>
      <c r="BMY144" s="1251"/>
      <c r="BMZ144" s="1251"/>
      <c r="BNA144" s="1251"/>
      <c r="BNB144" s="1251"/>
      <c r="BNC144" s="1251"/>
      <c r="BND144" s="1251"/>
      <c r="BNE144" s="1251"/>
      <c r="BNF144" s="1251"/>
      <c r="BNG144" s="1251"/>
      <c r="BNH144" s="1251"/>
      <c r="BNI144" s="1251"/>
      <c r="BNJ144" s="1251"/>
      <c r="BNK144" s="1251"/>
      <c r="BNL144" s="1251"/>
      <c r="BNM144" s="1251"/>
      <c r="BNN144" s="1251"/>
      <c r="BNO144" s="1251"/>
      <c r="BNP144" s="1251"/>
      <c r="BNQ144" s="1251"/>
      <c r="BNR144" s="1251"/>
      <c r="BNS144" s="1251"/>
      <c r="BNT144" s="1251"/>
      <c r="BNU144" s="1251"/>
      <c r="BNV144" s="1251"/>
      <c r="BNW144" s="1251"/>
      <c r="BNX144" s="1251"/>
      <c r="BNY144" s="1251"/>
      <c r="BNZ144" s="1251"/>
      <c r="BOA144" s="1251"/>
      <c r="BOB144" s="1251"/>
      <c r="BOC144" s="1251"/>
      <c r="BOD144" s="1251"/>
      <c r="BOE144" s="1251"/>
      <c r="BOF144" s="1251"/>
      <c r="BOG144" s="1251"/>
      <c r="BOH144" s="1251"/>
      <c r="BOI144" s="1251"/>
      <c r="BOJ144" s="1251"/>
      <c r="BOK144" s="1251"/>
      <c r="BOL144" s="1251"/>
      <c r="BOM144" s="1251"/>
      <c r="BON144" s="1251"/>
      <c r="BOO144" s="1251"/>
      <c r="BOP144" s="1251"/>
      <c r="BOQ144" s="1251"/>
      <c r="BOR144" s="1251"/>
      <c r="BOS144" s="1251"/>
      <c r="BOT144" s="1251"/>
      <c r="BOU144" s="1251"/>
      <c r="BOV144" s="1251"/>
      <c r="BOW144" s="1251"/>
      <c r="BOX144" s="1251"/>
      <c r="BOY144" s="1251"/>
      <c r="BOZ144" s="1251"/>
      <c r="BPA144" s="1251"/>
      <c r="BPB144" s="1251"/>
      <c r="BPC144" s="1251"/>
      <c r="BPD144" s="1251"/>
      <c r="BPE144" s="1251"/>
      <c r="BPF144" s="1251"/>
      <c r="BPG144" s="1251"/>
      <c r="BPH144" s="1251"/>
      <c r="BPI144" s="1251"/>
      <c r="BPJ144" s="1251"/>
      <c r="BPK144" s="1251"/>
      <c r="BPL144" s="1251"/>
      <c r="BPM144" s="1251"/>
      <c r="BPN144" s="1251"/>
      <c r="BPO144" s="1251"/>
      <c r="BPP144" s="1251"/>
      <c r="BPQ144" s="1251"/>
      <c r="BPR144" s="1251"/>
      <c r="BPS144" s="1251"/>
      <c r="BPT144" s="1251"/>
      <c r="BPU144" s="1251"/>
      <c r="BPV144" s="1251"/>
      <c r="BPW144" s="1251"/>
      <c r="BPX144" s="1251"/>
      <c r="BPY144" s="1251"/>
      <c r="BPZ144" s="1251"/>
      <c r="BQA144" s="1251"/>
      <c r="BQB144" s="1251"/>
      <c r="BQC144" s="1251"/>
      <c r="BQD144" s="1251"/>
      <c r="BQE144" s="1251"/>
      <c r="BQF144" s="1251"/>
      <c r="BQG144" s="1251"/>
      <c r="BQH144" s="1251"/>
      <c r="BQI144" s="1251"/>
      <c r="BQJ144" s="1251"/>
      <c r="BQK144" s="1251"/>
      <c r="BQL144" s="1251"/>
      <c r="BQM144" s="1251"/>
      <c r="BQN144" s="1251"/>
      <c r="BQO144" s="1251"/>
      <c r="BQP144" s="1251"/>
      <c r="BQQ144" s="1251"/>
      <c r="BQR144" s="1251"/>
      <c r="BQS144" s="1251"/>
      <c r="BQT144" s="1251"/>
      <c r="BQU144" s="1251"/>
      <c r="BQV144" s="1251"/>
      <c r="BQW144" s="1251"/>
      <c r="BQX144" s="1251"/>
      <c r="BQY144" s="1251"/>
      <c r="BQZ144" s="1251"/>
      <c r="BRA144" s="1251"/>
      <c r="BRB144" s="1251"/>
      <c r="BRC144" s="1251"/>
      <c r="BRD144" s="1251"/>
      <c r="BRE144" s="1251"/>
      <c r="BRF144" s="1251"/>
      <c r="BRG144" s="1251"/>
      <c r="BRH144" s="1251"/>
      <c r="BRI144" s="1251"/>
      <c r="BRJ144" s="1251"/>
      <c r="BRK144" s="1251"/>
      <c r="BRL144" s="1251"/>
      <c r="BRM144" s="1251"/>
      <c r="BRN144" s="1251"/>
      <c r="BRO144" s="1251"/>
      <c r="BRP144" s="1251"/>
      <c r="BRQ144" s="1251"/>
      <c r="BRR144" s="1251"/>
      <c r="BRS144" s="1251"/>
      <c r="BRT144" s="1251"/>
      <c r="BRU144" s="1251"/>
      <c r="BRV144" s="1251"/>
      <c r="BRW144" s="1251"/>
      <c r="BRX144" s="1251"/>
      <c r="BRY144" s="1251"/>
      <c r="BRZ144" s="1251"/>
      <c r="BSA144" s="1251"/>
      <c r="BSB144" s="1251"/>
      <c r="BSC144" s="1251"/>
      <c r="BSD144" s="1251"/>
      <c r="BSE144" s="1251"/>
      <c r="BSF144" s="1251"/>
      <c r="BSG144" s="1251"/>
      <c r="BSH144" s="1251"/>
      <c r="BSI144" s="1251"/>
      <c r="BSJ144" s="1251"/>
      <c r="BSK144" s="1251"/>
      <c r="BSL144" s="1251"/>
      <c r="BSM144" s="1251"/>
      <c r="BSN144" s="1251"/>
      <c r="BSO144" s="1251"/>
      <c r="BSP144" s="1251"/>
      <c r="BSQ144" s="1251"/>
      <c r="BSR144" s="1251"/>
      <c r="BSS144" s="1251"/>
      <c r="BST144" s="1251"/>
      <c r="BSU144" s="1251"/>
      <c r="BSV144" s="1251"/>
      <c r="BSW144" s="1251"/>
      <c r="BSX144" s="1251"/>
      <c r="BSY144" s="1251"/>
      <c r="BSZ144" s="1251"/>
      <c r="BTA144" s="1251"/>
      <c r="BTB144" s="1251"/>
      <c r="BTC144" s="1251"/>
      <c r="BTD144" s="1251"/>
      <c r="BTE144" s="1251"/>
      <c r="BTF144" s="1251"/>
      <c r="BTG144" s="1251"/>
      <c r="BTH144" s="1251"/>
      <c r="BTI144" s="1251"/>
    </row>
    <row r="145" spans="1:1881" s="1261" customFormat="1" ht="110.25" hidden="1" customHeight="1" x14ac:dyDescent="0.3">
      <c r="A145" s="1265">
        <v>638</v>
      </c>
      <c r="B145" s="1282" t="s">
        <v>652</v>
      </c>
      <c r="C145" s="308" t="s">
        <v>656</v>
      </c>
      <c r="D145" s="1281" t="s">
        <v>1473</v>
      </c>
      <c r="E145" s="1249" t="e">
        <f>HLOOKUP($D$2,'2020 Data(H)'!$C$1:$CZ$426,297,FALSE)</f>
        <v>#N/A</v>
      </c>
      <c r="F145" s="1263">
        <v>0</v>
      </c>
      <c r="G145" s="742">
        <f>IF(F145&gt;F140,"Please review account numbers 638&gt;633",)</f>
        <v>0</v>
      </c>
      <c r="H145" s="732"/>
      <c r="I145" s="732"/>
      <c r="J145" s="1251"/>
      <c r="K145" s="1251"/>
      <c r="L145" s="1251"/>
      <c r="M145" s="1251"/>
      <c r="N145" s="1253"/>
      <c r="O145" s="1251"/>
      <c r="P145" s="1251"/>
      <c r="Q145" s="1251"/>
      <c r="R145" s="1251"/>
      <c r="S145" s="1251"/>
      <c r="T145" s="1251"/>
      <c r="U145" s="1251"/>
      <c r="V145" s="1251"/>
      <c r="W145" s="1251"/>
      <c r="X145" s="1251"/>
      <c r="Y145" s="1251"/>
      <c r="Z145" s="1265"/>
      <c r="AA145" s="1265"/>
      <c r="AB145" s="1265"/>
      <c r="AC145" s="1265"/>
      <c r="AD145" s="1265"/>
      <c r="AE145" s="1265"/>
      <c r="AF145" s="1265"/>
      <c r="AG145" s="1265"/>
      <c r="AH145" s="1265"/>
      <c r="AI145" s="1265"/>
      <c r="AJ145" s="1265"/>
      <c r="AK145" s="1265"/>
      <c r="AL145" s="1265"/>
      <c r="AM145" s="1265"/>
      <c r="AN145" s="1265"/>
      <c r="AO145" s="1265"/>
      <c r="AP145" s="1265"/>
      <c r="AQ145" s="1265"/>
      <c r="AR145" s="1265"/>
      <c r="AS145" s="1251"/>
      <c r="AT145" s="1251"/>
      <c r="AU145" s="1251"/>
      <c r="AV145" s="1251"/>
      <c r="AW145" s="1251"/>
      <c r="AX145" s="1251"/>
      <c r="AY145" s="1251"/>
      <c r="AZ145" s="1251"/>
      <c r="BA145" s="1251"/>
      <c r="BB145" s="1251"/>
      <c r="BC145" s="1251"/>
      <c r="BD145" s="1251"/>
      <c r="BE145" s="1251"/>
      <c r="BF145" s="1251"/>
      <c r="BG145" s="1251"/>
      <c r="BH145" s="1251"/>
      <c r="BI145" s="1251"/>
      <c r="BJ145" s="1251"/>
      <c r="BK145" s="1251"/>
      <c r="BL145" s="1251"/>
      <c r="BM145" s="1251"/>
      <c r="BN145" s="1251"/>
      <c r="BO145" s="1251"/>
      <c r="BP145" s="1251"/>
      <c r="BQ145" s="1251"/>
      <c r="BR145" s="1251"/>
      <c r="BS145" s="1251"/>
      <c r="BT145" s="1251"/>
      <c r="BU145" s="1251"/>
      <c r="BV145" s="1251"/>
      <c r="BW145" s="1251"/>
      <c r="BX145" s="1251"/>
      <c r="BY145" s="1251"/>
      <c r="BZ145" s="1251"/>
      <c r="CA145" s="1251"/>
      <c r="CB145" s="1251"/>
      <c r="CC145" s="1251"/>
      <c r="CD145" s="1251"/>
      <c r="CE145" s="1251"/>
      <c r="CF145" s="1251"/>
      <c r="CG145" s="1251"/>
      <c r="CH145" s="1251"/>
      <c r="CI145" s="1251"/>
      <c r="CJ145" s="1251"/>
      <c r="CK145" s="1251"/>
      <c r="CL145" s="1251"/>
      <c r="CM145" s="1251"/>
      <c r="CN145" s="1251"/>
      <c r="CO145" s="1251"/>
      <c r="CP145" s="1251"/>
      <c r="CQ145" s="1251"/>
      <c r="CR145" s="1251"/>
      <c r="CS145" s="1251"/>
      <c r="CT145" s="1251"/>
      <c r="CU145" s="1251"/>
      <c r="CV145" s="1251"/>
      <c r="CW145" s="1251"/>
      <c r="CX145" s="1251"/>
      <c r="CY145" s="1251"/>
      <c r="CZ145" s="1251"/>
      <c r="DA145" s="1251"/>
      <c r="DB145" s="1251"/>
      <c r="DC145" s="1251"/>
      <c r="DD145" s="1251"/>
      <c r="DE145" s="1251"/>
      <c r="DF145" s="1251"/>
      <c r="DG145" s="1251"/>
      <c r="DH145" s="1251"/>
      <c r="DI145" s="1251"/>
      <c r="DJ145" s="1251"/>
      <c r="DK145" s="1251"/>
      <c r="DL145" s="1251"/>
      <c r="DM145" s="1251"/>
      <c r="DN145" s="1251"/>
      <c r="DO145" s="1251"/>
      <c r="DP145" s="1251"/>
      <c r="DQ145" s="1251"/>
      <c r="DR145" s="1251"/>
      <c r="DS145" s="1251"/>
      <c r="DT145" s="1251"/>
      <c r="DU145" s="1251"/>
      <c r="DV145" s="1251"/>
      <c r="DW145" s="1251"/>
      <c r="DX145" s="1251"/>
      <c r="DY145" s="1251"/>
      <c r="DZ145" s="1251"/>
      <c r="EA145" s="1251"/>
      <c r="EB145" s="1251"/>
      <c r="EC145" s="1251"/>
      <c r="ED145" s="1251"/>
      <c r="EE145" s="1251"/>
      <c r="EF145" s="1251"/>
      <c r="EG145" s="1251"/>
      <c r="EH145" s="1251"/>
      <c r="EI145" s="1251"/>
      <c r="EJ145" s="1251"/>
      <c r="EK145" s="1251"/>
      <c r="EL145" s="1251"/>
      <c r="EM145" s="1251"/>
      <c r="EN145" s="1251"/>
      <c r="EO145" s="1251"/>
      <c r="EP145" s="1251"/>
      <c r="EQ145" s="1251"/>
      <c r="ER145" s="1251"/>
      <c r="ES145" s="1251"/>
      <c r="ET145" s="1251"/>
      <c r="EU145" s="1251"/>
      <c r="EV145" s="1251"/>
      <c r="EW145" s="1251"/>
      <c r="EX145" s="1251"/>
      <c r="EY145" s="1251"/>
      <c r="EZ145" s="1251"/>
      <c r="FA145" s="1251"/>
      <c r="FB145" s="1251"/>
      <c r="FC145" s="1251"/>
      <c r="FD145" s="1251"/>
      <c r="FE145" s="1251"/>
      <c r="FF145" s="1251"/>
      <c r="FG145" s="1251"/>
      <c r="FH145" s="1251"/>
      <c r="FI145" s="1251"/>
      <c r="FJ145" s="1251"/>
      <c r="FK145" s="1251"/>
      <c r="FL145" s="1251"/>
      <c r="FM145" s="1251"/>
      <c r="FN145" s="1251"/>
      <c r="FO145" s="1251"/>
      <c r="FP145" s="1251"/>
      <c r="FQ145" s="1251"/>
      <c r="FR145" s="1251"/>
      <c r="FS145" s="1251"/>
      <c r="FT145" s="1251"/>
      <c r="FU145" s="1251"/>
      <c r="FV145" s="1251"/>
      <c r="FW145" s="1251"/>
      <c r="FX145" s="1251"/>
      <c r="FY145" s="1251"/>
      <c r="FZ145" s="1251"/>
      <c r="GA145" s="1251"/>
      <c r="GB145" s="1251"/>
      <c r="GC145" s="1251"/>
      <c r="GD145" s="1251"/>
      <c r="GE145" s="1251"/>
      <c r="GF145" s="1251"/>
      <c r="GG145" s="1251"/>
      <c r="GH145" s="1251"/>
      <c r="GI145" s="1251"/>
      <c r="GJ145" s="1251"/>
      <c r="GK145" s="1251"/>
      <c r="GL145" s="1251"/>
      <c r="GM145" s="1251"/>
      <c r="GN145" s="1251"/>
      <c r="GO145" s="1251"/>
      <c r="GP145" s="1251"/>
      <c r="GQ145" s="1251"/>
      <c r="GR145" s="1251"/>
      <c r="GS145" s="1251"/>
      <c r="GT145" s="1251"/>
      <c r="GU145" s="1251"/>
      <c r="GV145" s="1251"/>
      <c r="GW145" s="1251"/>
      <c r="GX145" s="1251"/>
      <c r="GY145" s="1251"/>
      <c r="GZ145" s="1251"/>
      <c r="HA145" s="1251"/>
      <c r="HB145" s="1251"/>
      <c r="HC145" s="1251"/>
      <c r="HD145" s="1251"/>
      <c r="HE145" s="1251"/>
      <c r="HF145" s="1251"/>
      <c r="HG145" s="1251"/>
      <c r="HH145" s="1251"/>
      <c r="HI145" s="1251"/>
      <c r="HJ145" s="1251"/>
      <c r="HK145" s="1251"/>
      <c r="HL145" s="1251"/>
      <c r="HM145" s="1251"/>
      <c r="HN145" s="1251"/>
      <c r="HO145" s="1251"/>
      <c r="HP145" s="1251"/>
      <c r="HQ145" s="1251"/>
      <c r="HR145" s="1251"/>
      <c r="HS145" s="1251"/>
      <c r="HT145" s="1251"/>
      <c r="HU145" s="1251"/>
      <c r="HV145" s="1251"/>
      <c r="HW145" s="1251"/>
      <c r="HX145" s="1251"/>
      <c r="HY145" s="1251"/>
      <c r="HZ145" s="1251"/>
      <c r="IA145" s="1251"/>
      <c r="IB145" s="1251"/>
      <c r="IC145" s="1251"/>
      <c r="ID145" s="1251"/>
      <c r="IE145" s="1251"/>
      <c r="IF145" s="1251"/>
      <c r="IG145" s="1251"/>
      <c r="IH145" s="1251"/>
      <c r="II145" s="1251"/>
      <c r="IJ145" s="1251"/>
      <c r="IK145" s="1251"/>
      <c r="IL145" s="1251"/>
      <c r="IM145" s="1251"/>
      <c r="IN145" s="1251"/>
      <c r="IO145" s="1251"/>
      <c r="IP145" s="1251"/>
      <c r="IQ145" s="1251"/>
      <c r="IR145" s="1251"/>
      <c r="IS145" s="1251"/>
      <c r="IT145" s="1251"/>
      <c r="IU145" s="1251"/>
      <c r="IV145" s="1251"/>
      <c r="IW145" s="1251"/>
      <c r="IX145" s="1251"/>
      <c r="IY145" s="1251"/>
      <c r="IZ145" s="1251"/>
      <c r="JA145" s="1251"/>
      <c r="JB145" s="1251"/>
      <c r="JC145" s="1251"/>
      <c r="JD145" s="1251"/>
      <c r="JE145" s="1251"/>
      <c r="JF145" s="1251"/>
      <c r="JG145" s="1251"/>
      <c r="JH145" s="1251"/>
      <c r="JI145" s="1251"/>
      <c r="JJ145" s="1251"/>
      <c r="JK145" s="1251"/>
      <c r="JL145" s="1251"/>
      <c r="JM145" s="1251"/>
      <c r="JN145" s="1251"/>
      <c r="JO145" s="1251"/>
      <c r="JP145" s="1251"/>
      <c r="JQ145" s="1251"/>
      <c r="JR145" s="1251"/>
      <c r="JS145" s="1251"/>
      <c r="JT145" s="1251"/>
      <c r="JU145" s="1251"/>
      <c r="JV145" s="1251"/>
      <c r="JW145" s="1251"/>
      <c r="JX145" s="1251"/>
      <c r="JY145" s="1251"/>
      <c r="JZ145" s="1251"/>
      <c r="KA145" s="1251"/>
      <c r="KB145" s="1251"/>
      <c r="KC145" s="1251"/>
      <c r="KD145" s="1251"/>
      <c r="KE145" s="1251"/>
      <c r="KF145" s="1251"/>
      <c r="KG145" s="1251"/>
      <c r="KH145" s="1251"/>
      <c r="KI145" s="1251"/>
      <c r="KJ145" s="1251"/>
      <c r="KK145" s="1251"/>
      <c r="KL145" s="1251"/>
      <c r="KM145" s="1251"/>
      <c r="KN145" s="1251"/>
      <c r="KO145" s="1251"/>
      <c r="KP145" s="1251"/>
      <c r="KQ145" s="1251"/>
      <c r="KR145" s="1251"/>
      <c r="KS145" s="1251"/>
      <c r="KT145" s="1251"/>
      <c r="KU145" s="1251"/>
      <c r="KV145" s="1251"/>
      <c r="KW145" s="1251"/>
      <c r="KX145" s="1251"/>
      <c r="KY145" s="1251"/>
      <c r="KZ145" s="1251"/>
      <c r="LA145" s="1251"/>
      <c r="LB145" s="1251"/>
      <c r="LC145" s="1251"/>
      <c r="LD145" s="1251"/>
      <c r="LE145" s="1251"/>
      <c r="LF145" s="1251"/>
      <c r="LG145" s="1251"/>
      <c r="LH145" s="1251"/>
      <c r="LI145" s="1251"/>
      <c r="LJ145" s="1251"/>
      <c r="LK145" s="1251"/>
      <c r="LL145" s="1251"/>
      <c r="LM145" s="1251"/>
      <c r="LN145" s="1251"/>
      <c r="LO145" s="1251"/>
      <c r="LP145" s="1251"/>
      <c r="LQ145" s="1251"/>
      <c r="LR145" s="1251"/>
      <c r="LS145" s="1251"/>
      <c r="LT145" s="1251"/>
      <c r="LU145" s="1251"/>
      <c r="LV145" s="1251"/>
      <c r="LW145" s="1251"/>
      <c r="LX145" s="1251"/>
      <c r="LY145" s="1251"/>
      <c r="LZ145" s="1251"/>
      <c r="MA145" s="1251"/>
      <c r="MB145" s="1251"/>
      <c r="MC145" s="1251"/>
      <c r="MD145" s="1251"/>
      <c r="ME145" s="1251"/>
      <c r="MF145" s="1251"/>
      <c r="MG145" s="1251"/>
      <c r="MH145" s="1251"/>
      <c r="MI145" s="1251"/>
      <c r="MJ145" s="1251"/>
      <c r="MK145" s="1251"/>
      <c r="ML145" s="1251"/>
      <c r="MM145" s="1251"/>
      <c r="MN145" s="1251"/>
      <c r="MO145" s="1251"/>
      <c r="MP145" s="1251"/>
      <c r="MQ145" s="1251"/>
      <c r="MR145" s="1251"/>
      <c r="MS145" s="1251"/>
      <c r="MT145" s="1251"/>
      <c r="MU145" s="1251"/>
      <c r="MV145" s="1251"/>
      <c r="MW145" s="1251"/>
      <c r="MX145" s="1251"/>
      <c r="MY145" s="1251"/>
      <c r="MZ145" s="1251"/>
      <c r="NA145" s="1251"/>
      <c r="NB145" s="1251"/>
      <c r="NC145" s="1251"/>
      <c r="ND145" s="1251"/>
      <c r="NE145" s="1251"/>
      <c r="NF145" s="1251"/>
      <c r="NG145" s="1251"/>
      <c r="NH145" s="1251"/>
      <c r="NI145" s="1251"/>
      <c r="NJ145" s="1251"/>
      <c r="NK145" s="1251"/>
      <c r="NL145" s="1251"/>
      <c r="NM145" s="1251"/>
      <c r="NN145" s="1251"/>
      <c r="NO145" s="1251"/>
      <c r="NP145" s="1251"/>
      <c r="NQ145" s="1251"/>
      <c r="NR145" s="1251"/>
      <c r="NS145" s="1251"/>
      <c r="NT145" s="1251"/>
      <c r="NU145" s="1251"/>
      <c r="NV145" s="1251"/>
      <c r="NW145" s="1251"/>
      <c r="NX145" s="1251"/>
      <c r="NY145" s="1251"/>
      <c r="NZ145" s="1251"/>
      <c r="OA145" s="1251"/>
      <c r="OB145" s="1251"/>
      <c r="OC145" s="1251"/>
      <c r="OD145" s="1251"/>
      <c r="OE145" s="1251"/>
      <c r="OF145" s="1251"/>
      <c r="OG145" s="1251"/>
      <c r="OH145" s="1251"/>
      <c r="OI145" s="1251"/>
      <c r="OJ145" s="1251"/>
      <c r="OK145" s="1251"/>
      <c r="OL145" s="1251"/>
      <c r="OM145" s="1251"/>
      <c r="ON145" s="1251"/>
      <c r="OO145" s="1251"/>
      <c r="OP145" s="1251"/>
      <c r="OQ145" s="1251"/>
      <c r="OR145" s="1251"/>
      <c r="OS145" s="1251"/>
      <c r="OT145" s="1251"/>
      <c r="OU145" s="1251"/>
      <c r="OV145" s="1251"/>
      <c r="OW145" s="1251"/>
      <c r="OX145" s="1251"/>
      <c r="OY145" s="1251"/>
      <c r="OZ145" s="1251"/>
      <c r="PA145" s="1251"/>
      <c r="PB145" s="1251"/>
      <c r="PC145" s="1251"/>
      <c r="PD145" s="1251"/>
      <c r="PE145" s="1251"/>
      <c r="PF145" s="1251"/>
      <c r="PG145" s="1251"/>
      <c r="PH145" s="1251"/>
      <c r="PI145" s="1251"/>
      <c r="PJ145" s="1251"/>
      <c r="PK145" s="1251"/>
      <c r="PL145" s="1251"/>
      <c r="PM145" s="1251"/>
      <c r="PN145" s="1251"/>
      <c r="PO145" s="1251"/>
      <c r="PP145" s="1251"/>
      <c r="PQ145" s="1251"/>
      <c r="PR145" s="1251"/>
      <c r="PS145" s="1251"/>
      <c r="PT145" s="1251"/>
      <c r="PU145" s="1251"/>
      <c r="PV145" s="1251"/>
      <c r="PW145" s="1251"/>
      <c r="PX145" s="1251"/>
      <c r="PY145" s="1251"/>
      <c r="PZ145" s="1251"/>
      <c r="QA145" s="1251"/>
      <c r="QB145" s="1251"/>
      <c r="QC145" s="1251"/>
      <c r="QD145" s="1251"/>
      <c r="QE145" s="1251"/>
      <c r="QF145" s="1251"/>
      <c r="QG145" s="1251"/>
      <c r="QH145" s="1251"/>
      <c r="QI145" s="1251"/>
      <c r="QJ145" s="1251"/>
      <c r="QK145" s="1251"/>
      <c r="QL145" s="1251"/>
      <c r="QM145" s="1251"/>
      <c r="QN145" s="1251"/>
      <c r="QO145" s="1251"/>
      <c r="QP145" s="1251"/>
      <c r="QQ145" s="1251"/>
      <c r="QR145" s="1251"/>
      <c r="QS145" s="1251"/>
      <c r="QT145" s="1251"/>
      <c r="QU145" s="1251"/>
      <c r="QV145" s="1251"/>
      <c r="QW145" s="1251"/>
      <c r="QX145" s="1251"/>
      <c r="QY145" s="1251"/>
      <c r="QZ145" s="1251"/>
      <c r="RA145" s="1251"/>
      <c r="RB145" s="1251"/>
      <c r="RC145" s="1251"/>
      <c r="RD145" s="1251"/>
      <c r="RE145" s="1251"/>
      <c r="RF145" s="1251"/>
      <c r="RG145" s="1251"/>
      <c r="RH145" s="1251"/>
      <c r="RI145" s="1251"/>
      <c r="RJ145" s="1251"/>
      <c r="RK145" s="1251"/>
      <c r="RL145" s="1251"/>
      <c r="RM145" s="1251"/>
      <c r="RN145" s="1251"/>
      <c r="RO145" s="1251"/>
      <c r="RP145" s="1251"/>
      <c r="RQ145" s="1251"/>
      <c r="RR145" s="1251"/>
      <c r="RS145" s="1251"/>
      <c r="RT145" s="1251"/>
      <c r="RU145" s="1251"/>
      <c r="RV145" s="1251"/>
      <c r="RW145" s="1251"/>
      <c r="RX145" s="1251"/>
      <c r="RY145" s="1251"/>
      <c r="RZ145" s="1251"/>
      <c r="SA145" s="1251"/>
      <c r="SB145" s="1251"/>
      <c r="SC145" s="1251"/>
      <c r="SD145" s="1251"/>
      <c r="SE145" s="1251"/>
      <c r="SF145" s="1251"/>
      <c r="SG145" s="1251"/>
      <c r="SH145" s="1251"/>
      <c r="SI145" s="1251"/>
      <c r="SJ145" s="1251"/>
      <c r="SK145" s="1251"/>
      <c r="SL145" s="1251"/>
      <c r="SM145" s="1251"/>
      <c r="SN145" s="1251"/>
      <c r="SO145" s="1251"/>
      <c r="SP145" s="1251"/>
      <c r="SQ145" s="1251"/>
      <c r="SR145" s="1251"/>
      <c r="SS145" s="1251"/>
      <c r="ST145" s="1251"/>
      <c r="SU145" s="1251"/>
      <c r="SV145" s="1251"/>
      <c r="SW145" s="1251"/>
      <c r="SX145" s="1251"/>
      <c r="SY145" s="1251"/>
      <c r="SZ145" s="1251"/>
      <c r="TA145" s="1251"/>
      <c r="TB145" s="1251"/>
      <c r="TC145" s="1251"/>
      <c r="TD145" s="1251"/>
      <c r="TE145" s="1251"/>
      <c r="TF145" s="1251"/>
      <c r="TG145" s="1251"/>
      <c r="TH145" s="1251"/>
      <c r="TI145" s="1251"/>
      <c r="TJ145" s="1251"/>
      <c r="TK145" s="1251"/>
      <c r="TL145" s="1251"/>
      <c r="TM145" s="1251"/>
      <c r="TN145" s="1251"/>
      <c r="TO145" s="1251"/>
      <c r="TP145" s="1251"/>
      <c r="TQ145" s="1251"/>
      <c r="TR145" s="1251"/>
      <c r="TS145" s="1251"/>
      <c r="TT145" s="1251"/>
      <c r="TU145" s="1251"/>
      <c r="TV145" s="1251"/>
      <c r="TW145" s="1251"/>
      <c r="TX145" s="1251"/>
      <c r="TY145" s="1251"/>
      <c r="TZ145" s="1251"/>
      <c r="UA145" s="1251"/>
      <c r="UB145" s="1251"/>
      <c r="UC145" s="1251"/>
      <c r="UD145" s="1251"/>
      <c r="UE145" s="1251"/>
      <c r="UF145" s="1251"/>
      <c r="UG145" s="1251"/>
      <c r="UH145" s="1251"/>
      <c r="UI145" s="1251"/>
      <c r="UJ145" s="1251"/>
      <c r="UK145" s="1251"/>
      <c r="UL145" s="1251"/>
      <c r="UM145" s="1251"/>
      <c r="UN145" s="1251"/>
      <c r="UO145" s="1251"/>
      <c r="UP145" s="1251"/>
      <c r="UQ145" s="1251"/>
      <c r="UR145" s="1251"/>
      <c r="US145" s="1251"/>
      <c r="UT145" s="1251"/>
      <c r="UU145" s="1251"/>
      <c r="UV145" s="1251"/>
      <c r="UW145" s="1251"/>
      <c r="UX145" s="1251"/>
      <c r="UY145" s="1251"/>
      <c r="UZ145" s="1251"/>
      <c r="VA145" s="1251"/>
      <c r="VB145" s="1251"/>
      <c r="VC145" s="1251"/>
      <c r="VD145" s="1251"/>
      <c r="VE145" s="1251"/>
      <c r="VF145" s="1251"/>
      <c r="VG145" s="1251"/>
      <c r="VH145" s="1251"/>
      <c r="VI145" s="1251"/>
      <c r="VJ145" s="1251"/>
      <c r="VK145" s="1251"/>
      <c r="VL145" s="1251"/>
      <c r="VM145" s="1251"/>
      <c r="VN145" s="1251"/>
      <c r="VO145" s="1251"/>
      <c r="VP145" s="1251"/>
      <c r="VQ145" s="1251"/>
      <c r="VR145" s="1251"/>
      <c r="VS145" s="1251"/>
      <c r="VT145" s="1251"/>
      <c r="VU145" s="1251"/>
      <c r="VV145" s="1251"/>
      <c r="VW145" s="1251"/>
      <c r="VX145" s="1251"/>
      <c r="VY145" s="1251"/>
      <c r="VZ145" s="1251"/>
      <c r="WA145" s="1251"/>
      <c r="WB145" s="1251"/>
      <c r="WC145" s="1251"/>
      <c r="WD145" s="1251"/>
      <c r="WE145" s="1251"/>
      <c r="WF145" s="1251"/>
      <c r="WG145" s="1251"/>
      <c r="WH145" s="1251"/>
      <c r="WI145" s="1251"/>
      <c r="WJ145" s="1251"/>
      <c r="WK145" s="1251"/>
      <c r="WL145" s="1251"/>
      <c r="WM145" s="1251"/>
      <c r="WN145" s="1251"/>
      <c r="WO145" s="1251"/>
      <c r="WP145" s="1251"/>
      <c r="WQ145" s="1251"/>
      <c r="WR145" s="1251"/>
      <c r="WS145" s="1251"/>
      <c r="WT145" s="1251"/>
      <c r="WU145" s="1251"/>
      <c r="WV145" s="1251"/>
      <c r="WW145" s="1251"/>
      <c r="WX145" s="1251"/>
      <c r="WY145" s="1251"/>
      <c r="WZ145" s="1251"/>
      <c r="XA145" s="1251"/>
      <c r="XB145" s="1251"/>
      <c r="XC145" s="1251"/>
      <c r="XD145" s="1251"/>
      <c r="XE145" s="1251"/>
      <c r="XF145" s="1251"/>
      <c r="XG145" s="1251"/>
      <c r="XH145" s="1251"/>
      <c r="XI145" s="1251"/>
      <c r="XJ145" s="1251"/>
      <c r="XK145" s="1251"/>
      <c r="XL145" s="1251"/>
      <c r="XM145" s="1251"/>
      <c r="XN145" s="1251"/>
      <c r="XO145" s="1251"/>
      <c r="XP145" s="1251"/>
      <c r="XQ145" s="1251"/>
      <c r="XR145" s="1251"/>
      <c r="XS145" s="1251"/>
      <c r="XT145" s="1251"/>
      <c r="XU145" s="1251"/>
      <c r="XV145" s="1251"/>
      <c r="XW145" s="1251"/>
      <c r="XX145" s="1251"/>
      <c r="XY145" s="1251"/>
      <c r="XZ145" s="1251"/>
      <c r="YA145" s="1251"/>
      <c r="YB145" s="1251"/>
      <c r="YC145" s="1251"/>
      <c r="YD145" s="1251"/>
      <c r="YE145" s="1251"/>
      <c r="YF145" s="1251"/>
      <c r="YG145" s="1251"/>
      <c r="YH145" s="1251"/>
      <c r="YI145" s="1251"/>
      <c r="YJ145" s="1251"/>
      <c r="YK145" s="1251"/>
      <c r="YL145" s="1251"/>
      <c r="YM145" s="1251"/>
      <c r="YN145" s="1251"/>
      <c r="YO145" s="1251"/>
      <c r="YP145" s="1251"/>
      <c r="YQ145" s="1251"/>
      <c r="YR145" s="1251"/>
      <c r="YS145" s="1251"/>
      <c r="YT145" s="1251"/>
      <c r="YU145" s="1251"/>
      <c r="YV145" s="1251"/>
      <c r="YW145" s="1251"/>
      <c r="YX145" s="1251"/>
      <c r="YY145" s="1251"/>
      <c r="YZ145" s="1251"/>
      <c r="ZA145" s="1251"/>
      <c r="ZB145" s="1251"/>
      <c r="ZC145" s="1251"/>
      <c r="ZD145" s="1251"/>
      <c r="ZE145" s="1251"/>
      <c r="ZF145" s="1251"/>
      <c r="ZG145" s="1251"/>
      <c r="ZH145" s="1251"/>
      <c r="ZI145" s="1251"/>
      <c r="ZJ145" s="1251"/>
      <c r="ZK145" s="1251"/>
      <c r="ZL145" s="1251"/>
      <c r="ZM145" s="1251"/>
      <c r="ZN145" s="1251"/>
      <c r="ZO145" s="1251"/>
      <c r="ZP145" s="1251"/>
      <c r="ZQ145" s="1251"/>
      <c r="ZR145" s="1251"/>
      <c r="ZS145" s="1251"/>
      <c r="ZT145" s="1251"/>
      <c r="ZU145" s="1251"/>
      <c r="ZV145" s="1251"/>
      <c r="ZW145" s="1251"/>
      <c r="ZX145" s="1251"/>
      <c r="ZY145" s="1251"/>
      <c r="ZZ145" s="1251"/>
      <c r="AAA145" s="1251"/>
      <c r="AAB145" s="1251"/>
      <c r="AAC145" s="1251"/>
      <c r="AAD145" s="1251"/>
      <c r="AAE145" s="1251"/>
      <c r="AAF145" s="1251"/>
      <c r="AAG145" s="1251"/>
      <c r="AAH145" s="1251"/>
      <c r="AAI145" s="1251"/>
      <c r="AAJ145" s="1251"/>
      <c r="AAK145" s="1251"/>
      <c r="AAL145" s="1251"/>
      <c r="AAM145" s="1251"/>
      <c r="AAN145" s="1251"/>
      <c r="AAO145" s="1251"/>
      <c r="AAP145" s="1251"/>
      <c r="AAQ145" s="1251"/>
      <c r="AAR145" s="1251"/>
      <c r="AAS145" s="1251"/>
      <c r="AAT145" s="1251"/>
      <c r="AAU145" s="1251"/>
      <c r="AAV145" s="1251"/>
      <c r="AAW145" s="1251"/>
      <c r="AAX145" s="1251"/>
      <c r="AAY145" s="1251"/>
      <c r="AAZ145" s="1251"/>
      <c r="ABA145" s="1251"/>
      <c r="ABB145" s="1251"/>
      <c r="ABC145" s="1251"/>
      <c r="ABD145" s="1251"/>
      <c r="ABE145" s="1251"/>
      <c r="ABF145" s="1251"/>
      <c r="ABG145" s="1251"/>
      <c r="ABH145" s="1251"/>
      <c r="ABI145" s="1251"/>
      <c r="ABJ145" s="1251"/>
      <c r="ABK145" s="1251"/>
      <c r="ABL145" s="1251"/>
      <c r="ABM145" s="1251"/>
      <c r="ABN145" s="1251"/>
      <c r="ABO145" s="1251"/>
      <c r="ABP145" s="1251"/>
      <c r="ABQ145" s="1251"/>
      <c r="ABR145" s="1251"/>
      <c r="ABS145" s="1251"/>
      <c r="ABT145" s="1251"/>
      <c r="ABU145" s="1251"/>
      <c r="ABV145" s="1251"/>
      <c r="ABW145" s="1251"/>
      <c r="ABX145" s="1251"/>
      <c r="ABY145" s="1251"/>
      <c r="ABZ145" s="1251"/>
      <c r="ACA145" s="1251"/>
      <c r="ACB145" s="1251"/>
      <c r="ACC145" s="1251"/>
      <c r="ACD145" s="1251"/>
      <c r="ACE145" s="1251"/>
      <c r="ACF145" s="1251"/>
      <c r="ACG145" s="1251"/>
      <c r="ACH145" s="1251"/>
      <c r="ACI145" s="1251"/>
      <c r="ACJ145" s="1251"/>
      <c r="ACK145" s="1251"/>
      <c r="ACL145" s="1251"/>
      <c r="ACM145" s="1251"/>
      <c r="ACN145" s="1251"/>
      <c r="ACO145" s="1251"/>
      <c r="ACP145" s="1251"/>
      <c r="ACQ145" s="1251"/>
      <c r="ACR145" s="1251"/>
      <c r="ACS145" s="1251"/>
      <c r="ACT145" s="1251"/>
      <c r="ACU145" s="1251"/>
      <c r="ACV145" s="1251"/>
      <c r="ACW145" s="1251"/>
      <c r="ACX145" s="1251"/>
      <c r="ACY145" s="1251"/>
      <c r="ACZ145" s="1251"/>
      <c r="ADA145" s="1251"/>
      <c r="ADB145" s="1251"/>
      <c r="ADC145" s="1251"/>
      <c r="ADD145" s="1251"/>
      <c r="ADE145" s="1251"/>
      <c r="ADF145" s="1251"/>
      <c r="ADG145" s="1251"/>
      <c r="ADH145" s="1251"/>
      <c r="ADI145" s="1251"/>
      <c r="ADJ145" s="1251"/>
      <c r="ADK145" s="1251"/>
      <c r="ADL145" s="1251"/>
      <c r="ADM145" s="1251"/>
      <c r="ADN145" s="1251"/>
      <c r="ADO145" s="1251"/>
      <c r="ADP145" s="1251"/>
      <c r="ADQ145" s="1251"/>
      <c r="ADR145" s="1251"/>
      <c r="ADS145" s="1251"/>
      <c r="ADT145" s="1251"/>
      <c r="ADU145" s="1251"/>
      <c r="ADV145" s="1251"/>
      <c r="ADW145" s="1251"/>
      <c r="ADX145" s="1251"/>
      <c r="ADY145" s="1251"/>
      <c r="ADZ145" s="1251"/>
      <c r="AEA145" s="1251"/>
      <c r="AEB145" s="1251"/>
      <c r="AEC145" s="1251"/>
      <c r="AED145" s="1251"/>
      <c r="AEE145" s="1251"/>
      <c r="AEF145" s="1251"/>
      <c r="AEG145" s="1251"/>
      <c r="AEH145" s="1251"/>
      <c r="AEI145" s="1251"/>
      <c r="AEJ145" s="1251"/>
      <c r="AEK145" s="1251"/>
      <c r="AEL145" s="1251"/>
      <c r="AEM145" s="1251"/>
      <c r="AEN145" s="1251"/>
      <c r="AEO145" s="1251"/>
      <c r="AEP145" s="1251"/>
      <c r="AEQ145" s="1251"/>
      <c r="AER145" s="1251"/>
      <c r="AES145" s="1251"/>
      <c r="AET145" s="1251"/>
      <c r="AEU145" s="1251"/>
      <c r="AEV145" s="1251"/>
      <c r="AEW145" s="1251"/>
      <c r="AEX145" s="1251"/>
      <c r="AEY145" s="1251"/>
      <c r="AEZ145" s="1251"/>
      <c r="AFA145" s="1251"/>
      <c r="AFB145" s="1251"/>
      <c r="AFC145" s="1251"/>
      <c r="AFD145" s="1251"/>
      <c r="AFE145" s="1251"/>
      <c r="AFF145" s="1251"/>
      <c r="AFG145" s="1251"/>
      <c r="AFH145" s="1251"/>
      <c r="AFI145" s="1251"/>
      <c r="AFJ145" s="1251"/>
      <c r="AFK145" s="1251"/>
      <c r="AFL145" s="1251"/>
      <c r="AFM145" s="1251"/>
      <c r="AFN145" s="1251"/>
      <c r="AFO145" s="1251"/>
      <c r="AFP145" s="1251"/>
      <c r="AFQ145" s="1251"/>
      <c r="AFR145" s="1251"/>
      <c r="AFS145" s="1251"/>
      <c r="AFT145" s="1251"/>
      <c r="AFU145" s="1251"/>
      <c r="AFV145" s="1251"/>
      <c r="AFW145" s="1251"/>
      <c r="AFX145" s="1251"/>
      <c r="AFY145" s="1251"/>
      <c r="AFZ145" s="1251"/>
      <c r="AGA145" s="1251"/>
      <c r="AGB145" s="1251"/>
      <c r="AGC145" s="1251"/>
      <c r="AGD145" s="1251"/>
      <c r="AGE145" s="1251"/>
      <c r="AGF145" s="1251"/>
      <c r="AGG145" s="1251"/>
      <c r="AGH145" s="1251"/>
      <c r="AGI145" s="1251"/>
      <c r="AGJ145" s="1251"/>
      <c r="AGK145" s="1251"/>
      <c r="AGL145" s="1251"/>
      <c r="AGM145" s="1251"/>
      <c r="AGN145" s="1251"/>
      <c r="AGO145" s="1251"/>
      <c r="AGP145" s="1251"/>
      <c r="AGQ145" s="1251"/>
      <c r="AGR145" s="1251"/>
      <c r="AGS145" s="1251"/>
      <c r="AGT145" s="1251"/>
      <c r="AGU145" s="1251"/>
      <c r="AGV145" s="1251"/>
      <c r="AGW145" s="1251"/>
      <c r="AGX145" s="1251"/>
      <c r="AGY145" s="1251"/>
      <c r="AGZ145" s="1251"/>
      <c r="AHA145" s="1251"/>
      <c r="AHB145" s="1251"/>
      <c r="AHC145" s="1251"/>
      <c r="AHD145" s="1251"/>
      <c r="AHE145" s="1251"/>
      <c r="AHF145" s="1251"/>
      <c r="AHG145" s="1251"/>
      <c r="AHH145" s="1251"/>
      <c r="AHI145" s="1251"/>
      <c r="AHJ145" s="1251"/>
      <c r="AHK145" s="1251"/>
      <c r="AHL145" s="1251"/>
      <c r="AHM145" s="1251"/>
      <c r="AHN145" s="1251"/>
      <c r="AHO145" s="1251"/>
      <c r="AHP145" s="1251"/>
      <c r="AHQ145" s="1251"/>
      <c r="AHR145" s="1251"/>
      <c r="AHS145" s="1251"/>
      <c r="AHT145" s="1251"/>
      <c r="AHU145" s="1251"/>
      <c r="AHV145" s="1251"/>
      <c r="AHW145" s="1251"/>
      <c r="AHX145" s="1251"/>
      <c r="AHY145" s="1251"/>
      <c r="AHZ145" s="1251"/>
      <c r="AIA145" s="1251"/>
      <c r="AIB145" s="1251"/>
      <c r="AIC145" s="1251"/>
      <c r="AID145" s="1251"/>
      <c r="AIE145" s="1251"/>
      <c r="AIF145" s="1251"/>
      <c r="AIG145" s="1251"/>
      <c r="AIH145" s="1251"/>
      <c r="AII145" s="1251"/>
      <c r="AIJ145" s="1251"/>
      <c r="AIK145" s="1251"/>
      <c r="AIL145" s="1251"/>
      <c r="AIM145" s="1251"/>
      <c r="AIN145" s="1251"/>
      <c r="AIO145" s="1251"/>
      <c r="AIP145" s="1251"/>
      <c r="AIQ145" s="1251"/>
      <c r="AIR145" s="1251"/>
      <c r="AIS145" s="1251"/>
      <c r="AIT145" s="1251"/>
      <c r="AIU145" s="1251"/>
      <c r="AIV145" s="1251"/>
      <c r="AIW145" s="1251"/>
      <c r="AIX145" s="1251"/>
      <c r="AIY145" s="1251"/>
      <c r="AIZ145" s="1251"/>
      <c r="AJA145" s="1251"/>
      <c r="AJB145" s="1251"/>
      <c r="AJC145" s="1251"/>
      <c r="AJD145" s="1251"/>
      <c r="AJE145" s="1251"/>
      <c r="AJF145" s="1251"/>
      <c r="AJG145" s="1251"/>
      <c r="AJH145" s="1251"/>
      <c r="AJI145" s="1251"/>
      <c r="AJJ145" s="1251"/>
      <c r="AJK145" s="1251"/>
      <c r="AJL145" s="1251"/>
      <c r="AJM145" s="1251"/>
      <c r="AJN145" s="1251"/>
      <c r="AJO145" s="1251"/>
      <c r="AJP145" s="1251"/>
      <c r="AJQ145" s="1251"/>
      <c r="AJR145" s="1251"/>
      <c r="AJS145" s="1251"/>
      <c r="AJT145" s="1251"/>
      <c r="AJU145" s="1251"/>
      <c r="AJV145" s="1251"/>
      <c r="AJW145" s="1251"/>
      <c r="AJX145" s="1251"/>
      <c r="AJY145" s="1251"/>
      <c r="AJZ145" s="1251"/>
      <c r="AKA145" s="1251"/>
      <c r="AKB145" s="1251"/>
      <c r="AKC145" s="1251"/>
      <c r="AKD145" s="1251"/>
      <c r="AKE145" s="1251"/>
      <c r="AKF145" s="1251"/>
      <c r="AKG145" s="1251"/>
      <c r="AKH145" s="1251"/>
      <c r="AKI145" s="1251"/>
      <c r="AKJ145" s="1251"/>
      <c r="AKK145" s="1251"/>
      <c r="AKL145" s="1251"/>
      <c r="AKM145" s="1251"/>
      <c r="AKN145" s="1251"/>
      <c r="AKO145" s="1251"/>
      <c r="AKP145" s="1251"/>
      <c r="AKQ145" s="1251"/>
      <c r="AKR145" s="1251"/>
      <c r="AKS145" s="1251"/>
      <c r="AKT145" s="1251"/>
      <c r="AKU145" s="1251"/>
      <c r="AKV145" s="1251"/>
      <c r="AKW145" s="1251"/>
      <c r="AKX145" s="1251"/>
      <c r="AKY145" s="1251"/>
      <c r="AKZ145" s="1251"/>
      <c r="ALA145" s="1251"/>
      <c r="ALB145" s="1251"/>
      <c r="ALC145" s="1251"/>
      <c r="ALD145" s="1251"/>
      <c r="ALE145" s="1251"/>
      <c r="ALF145" s="1251"/>
      <c r="ALG145" s="1251"/>
      <c r="ALH145" s="1251"/>
      <c r="ALI145" s="1251"/>
      <c r="ALJ145" s="1251"/>
      <c r="ALK145" s="1251"/>
      <c r="ALL145" s="1251"/>
      <c r="ALM145" s="1251"/>
      <c r="ALN145" s="1251"/>
      <c r="ALO145" s="1251"/>
      <c r="ALP145" s="1251"/>
      <c r="ALQ145" s="1251"/>
      <c r="ALR145" s="1251"/>
      <c r="ALS145" s="1251"/>
      <c r="ALT145" s="1251"/>
      <c r="ALU145" s="1251"/>
      <c r="ALV145" s="1251"/>
      <c r="ALW145" s="1251"/>
      <c r="ALX145" s="1251"/>
      <c r="ALY145" s="1251"/>
      <c r="ALZ145" s="1251"/>
      <c r="AMA145" s="1251"/>
      <c r="AMB145" s="1251"/>
      <c r="AMC145" s="1251"/>
      <c r="AMD145" s="1251"/>
      <c r="AME145" s="1251"/>
      <c r="AMF145" s="1251"/>
      <c r="AMG145" s="1251"/>
      <c r="AMH145" s="1251"/>
      <c r="AMI145" s="1251"/>
      <c r="AMJ145" s="1251"/>
      <c r="AMK145" s="1251"/>
      <c r="AML145" s="1251"/>
      <c r="AMM145" s="1251"/>
      <c r="AMN145" s="1251"/>
      <c r="AMO145" s="1251"/>
      <c r="AMP145" s="1251"/>
      <c r="AMQ145" s="1251"/>
      <c r="AMR145" s="1251"/>
      <c r="AMS145" s="1251"/>
      <c r="AMT145" s="1251"/>
      <c r="AMU145" s="1251"/>
      <c r="AMV145" s="1251"/>
      <c r="AMW145" s="1251"/>
      <c r="AMX145" s="1251"/>
      <c r="AMY145" s="1251"/>
      <c r="AMZ145" s="1251"/>
      <c r="ANA145" s="1251"/>
      <c r="ANB145" s="1251"/>
      <c r="ANC145" s="1251"/>
      <c r="AND145" s="1251"/>
      <c r="ANE145" s="1251"/>
      <c r="ANF145" s="1251"/>
      <c r="ANG145" s="1251"/>
      <c r="ANH145" s="1251"/>
      <c r="ANI145" s="1251"/>
      <c r="ANJ145" s="1251"/>
      <c r="ANK145" s="1251"/>
      <c r="ANL145" s="1251"/>
      <c r="ANM145" s="1251"/>
      <c r="ANN145" s="1251"/>
      <c r="ANO145" s="1251"/>
      <c r="ANP145" s="1251"/>
      <c r="ANQ145" s="1251"/>
      <c r="ANR145" s="1251"/>
      <c r="ANS145" s="1251"/>
      <c r="ANT145" s="1251"/>
      <c r="ANU145" s="1251"/>
      <c r="ANV145" s="1251"/>
      <c r="ANW145" s="1251"/>
      <c r="ANX145" s="1251"/>
      <c r="ANY145" s="1251"/>
      <c r="ANZ145" s="1251"/>
      <c r="AOA145" s="1251"/>
      <c r="AOB145" s="1251"/>
      <c r="AOC145" s="1251"/>
      <c r="AOD145" s="1251"/>
      <c r="AOE145" s="1251"/>
      <c r="AOF145" s="1251"/>
      <c r="AOG145" s="1251"/>
      <c r="AOH145" s="1251"/>
      <c r="AOI145" s="1251"/>
      <c r="AOJ145" s="1251"/>
      <c r="AOK145" s="1251"/>
      <c r="AOL145" s="1251"/>
      <c r="AOM145" s="1251"/>
      <c r="AON145" s="1251"/>
      <c r="AOO145" s="1251"/>
      <c r="AOP145" s="1251"/>
      <c r="AOQ145" s="1251"/>
      <c r="AOR145" s="1251"/>
      <c r="AOS145" s="1251"/>
      <c r="AOT145" s="1251"/>
      <c r="AOU145" s="1251"/>
      <c r="AOV145" s="1251"/>
      <c r="AOW145" s="1251"/>
      <c r="AOX145" s="1251"/>
      <c r="AOY145" s="1251"/>
      <c r="AOZ145" s="1251"/>
      <c r="APA145" s="1251"/>
      <c r="APB145" s="1251"/>
      <c r="APC145" s="1251"/>
      <c r="APD145" s="1251"/>
      <c r="APE145" s="1251"/>
      <c r="APF145" s="1251"/>
      <c r="APG145" s="1251"/>
      <c r="APH145" s="1251"/>
      <c r="API145" s="1251"/>
      <c r="APJ145" s="1251"/>
      <c r="APK145" s="1251"/>
      <c r="APL145" s="1251"/>
      <c r="APM145" s="1251"/>
      <c r="APN145" s="1251"/>
      <c r="APO145" s="1251"/>
      <c r="APP145" s="1251"/>
      <c r="APQ145" s="1251"/>
      <c r="APR145" s="1251"/>
      <c r="APS145" s="1251"/>
      <c r="APT145" s="1251"/>
      <c r="APU145" s="1251"/>
      <c r="APV145" s="1251"/>
      <c r="APW145" s="1251"/>
      <c r="APX145" s="1251"/>
      <c r="APY145" s="1251"/>
      <c r="APZ145" s="1251"/>
      <c r="AQA145" s="1251"/>
      <c r="AQB145" s="1251"/>
      <c r="AQC145" s="1251"/>
      <c r="AQD145" s="1251"/>
      <c r="AQE145" s="1251"/>
      <c r="AQF145" s="1251"/>
      <c r="AQG145" s="1251"/>
      <c r="AQH145" s="1251"/>
      <c r="AQI145" s="1251"/>
      <c r="AQJ145" s="1251"/>
      <c r="AQK145" s="1251"/>
      <c r="AQL145" s="1251"/>
      <c r="AQM145" s="1251"/>
      <c r="AQN145" s="1251"/>
      <c r="AQO145" s="1251"/>
      <c r="AQP145" s="1251"/>
      <c r="AQQ145" s="1251"/>
      <c r="AQR145" s="1251"/>
      <c r="AQS145" s="1251"/>
      <c r="AQT145" s="1251"/>
      <c r="AQU145" s="1251"/>
      <c r="AQV145" s="1251"/>
      <c r="AQW145" s="1251"/>
      <c r="AQX145" s="1251"/>
      <c r="AQY145" s="1251"/>
      <c r="AQZ145" s="1251"/>
      <c r="ARA145" s="1251"/>
      <c r="ARB145" s="1251"/>
      <c r="ARC145" s="1251"/>
      <c r="ARD145" s="1251"/>
      <c r="ARE145" s="1251"/>
      <c r="ARF145" s="1251"/>
      <c r="ARG145" s="1251"/>
      <c r="ARH145" s="1251"/>
      <c r="ARI145" s="1251"/>
      <c r="ARJ145" s="1251"/>
      <c r="ARK145" s="1251"/>
      <c r="ARL145" s="1251"/>
      <c r="ARM145" s="1251"/>
      <c r="ARN145" s="1251"/>
      <c r="ARO145" s="1251"/>
      <c r="ARP145" s="1251"/>
      <c r="ARQ145" s="1251"/>
      <c r="ARR145" s="1251"/>
      <c r="ARS145" s="1251"/>
      <c r="ART145" s="1251"/>
      <c r="ARU145" s="1251"/>
      <c r="ARV145" s="1251"/>
      <c r="ARW145" s="1251"/>
      <c r="ARX145" s="1251"/>
      <c r="ARY145" s="1251"/>
      <c r="ARZ145" s="1251"/>
      <c r="ASA145" s="1251"/>
      <c r="ASB145" s="1251"/>
      <c r="ASC145" s="1251"/>
      <c r="ASD145" s="1251"/>
      <c r="ASE145" s="1251"/>
      <c r="ASF145" s="1251"/>
      <c r="ASG145" s="1251"/>
      <c r="ASH145" s="1251"/>
      <c r="ASI145" s="1251"/>
      <c r="ASJ145" s="1251"/>
      <c r="ASK145" s="1251"/>
      <c r="ASL145" s="1251"/>
      <c r="ASM145" s="1251"/>
      <c r="ASN145" s="1251"/>
      <c r="ASO145" s="1251"/>
      <c r="ASP145" s="1251"/>
      <c r="ASQ145" s="1251"/>
      <c r="ASR145" s="1251"/>
      <c r="ASS145" s="1251"/>
      <c r="AST145" s="1251"/>
      <c r="ASU145" s="1251"/>
      <c r="ASV145" s="1251"/>
      <c r="ASW145" s="1251"/>
      <c r="ASX145" s="1251"/>
      <c r="ASY145" s="1251"/>
      <c r="ASZ145" s="1251"/>
      <c r="ATA145" s="1251"/>
      <c r="ATB145" s="1251"/>
      <c r="ATC145" s="1251"/>
      <c r="ATD145" s="1251"/>
      <c r="ATE145" s="1251"/>
      <c r="ATF145" s="1251"/>
      <c r="ATG145" s="1251"/>
      <c r="ATH145" s="1251"/>
      <c r="ATI145" s="1251"/>
      <c r="ATJ145" s="1251"/>
      <c r="ATK145" s="1251"/>
      <c r="ATL145" s="1251"/>
      <c r="ATM145" s="1251"/>
      <c r="ATN145" s="1251"/>
      <c r="ATO145" s="1251"/>
      <c r="ATP145" s="1251"/>
      <c r="ATQ145" s="1251"/>
      <c r="ATR145" s="1251"/>
      <c r="ATS145" s="1251"/>
      <c r="ATT145" s="1251"/>
      <c r="ATU145" s="1251"/>
      <c r="ATV145" s="1251"/>
      <c r="ATW145" s="1251"/>
      <c r="ATX145" s="1251"/>
      <c r="ATY145" s="1251"/>
      <c r="ATZ145" s="1251"/>
      <c r="AUA145" s="1251"/>
      <c r="AUB145" s="1251"/>
      <c r="AUC145" s="1251"/>
      <c r="AUD145" s="1251"/>
      <c r="AUE145" s="1251"/>
      <c r="AUF145" s="1251"/>
      <c r="AUG145" s="1251"/>
      <c r="AUH145" s="1251"/>
      <c r="AUI145" s="1251"/>
      <c r="AUJ145" s="1251"/>
      <c r="AUK145" s="1251"/>
      <c r="AUL145" s="1251"/>
      <c r="AUM145" s="1251"/>
      <c r="AUN145" s="1251"/>
      <c r="AUO145" s="1251"/>
      <c r="AUP145" s="1251"/>
      <c r="AUQ145" s="1251"/>
      <c r="AUR145" s="1251"/>
      <c r="AUS145" s="1251"/>
      <c r="AUT145" s="1251"/>
      <c r="AUU145" s="1251"/>
      <c r="AUV145" s="1251"/>
      <c r="AUW145" s="1251"/>
      <c r="AUX145" s="1251"/>
      <c r="AUY145" s="1251"/>
      <c r="AUZ145" s="1251"/>
      <c r="AVA145" s="1251"/>
      <c r="AVB145" s="1251"/>
      <c r="AVC145" s="1251"/>
      <c r="AVD145" s="1251"/>
      <c r="AVE145" s="1251"/>
      <c r="AVF145" s="1251"/>
      <c r="AVG145" s="1251"/>
      <c r="AVH145" s="1251"/>
      <c r="AVI145" s="1251"/>
      <c r="AVJ145" s="1251"/>
      <c r="AVK145" s="1251"/>
      <c r="AVL145" s="1251"/>
      <c r="AVM145" s="1251"/>
      <c r="AVN145" s="1251"/>
      <c r="AVO145" s="1251"/>
      <c r="AVP145" s="1251"/>
      <c r="AVQ145" s="1251"/>
      <c r="AVR145" s="1251"/>
      <c r="AVS145" s="1251"/>
      <c r="AVT145" s="1251"/>
      <c r="AVU145" s="1251"/>
      <c r="AVV145" s="1251"/>
      <c r="AVW145" s="1251"/>
      <c r="AVX145" s="1251"/>
      <c r="AVY145" s="1251"/>
      <c r="AVZ145" s="1251"/>
      <c r="AWA145" s="1251"/>
      <c r="AWB145" s="1251"/>
      <c r="AWC145" s="1251"/>
      <c r="AWD145" s="1251"/>
      <c r="AWE145" s="1251"/>
      <c r="AWF145" s="1251"/>
      <c r="AWG145" s="1251"/>
      <c r="AWH145" s="1251"/>
      <c r="AWI145" s="1251"/>
      <c r="AWJ145" s="1251"/>
      <c r="AWK145" s="1251"/>
      <c r="AWL145" s="1251"/>
      <c r="AWM145" s="1251"/>
      <c r="AWN145" s="1251"/>
      <c r="AWO145" s="1251"/>
      <c r="AWP145" s="1251"/>
      <c r="AWQ145" s="1251"/>
      <c r="AWR145" s="1251"/>
      <c r="AWS145" s="1251"/>
      <c r="AWT145" s="1251"/>
      <c r="AWU145" s="1251"/>
      <c r="AWV145" s="1251"/>
      <c r="AWW145" s="1251"/>
      <c r="AWX145" s="1251"/>
      <c r="AWY145" s="1251"/>
      <c r="AWZ145" s="1251"/>
      <c r="AXA145" s="1251"/>
      <c r="AXB145" s="1251"/>
      <c r="AXC145" s="1251"/>
      <c r="AXD145" s="1251"/>
      <c r="AXE145" s="1251"/>
      <c r="AXF145" s="1251"/>
      <c r="AXG145" s="1251"/>
      <c r="AXH145" s="1251"/>
      <c r="AXI145" s="1251"/>
      <c r="AXJ145" s="1251"/>
      <c r="AXK145" s="1251"/>
      <c r="AXL145" s="1251"/>
      <c r="AXM145" s="1251"/>
      <c r="AXN145" s="1251"/>
      <c r="AXO145" s="1251"/>
      <c r="AXP145" s="1251"/>
      <c r="AXQ145" s="1251"/>
      <c r="AXR145" s="1251"/>
      <c r="AXS145" s="1251"/>
      <c r="AXT145" s="1251"/>
      <c r="AXU145" s="1251"/>
      <c r="AXV145" s="1251"/>
      <c r="AXW145" s="1251"/>
      <c r="AXX145" s="1251"/>
      <c r="AXY145" s="1251"/>
      <c r="AXZ145" s="1251"/>
      <c r="AYA145" s="1251"/>
      <c r="AYB145" s="1251"/>
      <c r="AYC145" s="1251"/>
      <c r="AYD145" s="1251"/>
      <c r="AYE145" s="1251"/>
      <c r="AYF145" s="1251"/>
      <c r="AYG145" s="1251"/>
      <c r="AYH145" s="1251"/>
      <c r="AYI145" s="1251"/>
      <c r="AYJ145" s="1251"/>
      <c r="AYK145" s="1251"/>
      <c r="AYL145" s="1251"/>
      <c r="AYM145" s="1251"/>
      <c r="AYN145" s="1251"/>
      <c r="AYO145" s="1251"/>
      <c r="AYP145" s="1251"/>
      <c r="AYQ145" s="1251"/>
      <c r="AYR145" s="1251"/>
      <c r="AYS145" s="1251"/>
      <c r="AYT145" s="1251"/>
      <c r="AYU145" s="1251"/>
      <c r="AYV145" s="1251"/>
      <c r="AYW145" s="1251"/>
      <c r="AYX145" s="1251"/>
      <c r="AYY145" s="1251"/>
      <c r="AYZ145" s="1251"/>
      <c r="AZA145" s="1251"/>
      <c r="AZB145" s="1251"/>
      <c r="AZC145" s="1251"/>
      <c r="AZD145" s="1251"/>
      <c r="AZE145" s="1251"/>
      <c r="AZF145" s="1251"/>
      <c r="AZG145" s="1251"/>
      <c r="AZH145" s="1251"/>
      <c r="AZI145" s="1251"/>
      <c r="AZJ145" s="1251"/>
      <c r="AZK145" s="1251"/>
      <c r="AZL145" s="1251"/>
      <c r="AZM145" s="1251"/>
      <c r="AZN145" s="1251"/>
      <c r="AZO145" s="1251"/>
      <c r="AZP145" s="1251"/>
      <c r="AZQ145" s="1251"/>
      <c r="AZR145" s="1251"/>
      <c r="AZS145" s="1251"/>
      <c r="AZT145" s="1251"/>
      <c r="AZU145" s="1251"/>
      <c r="AZV145" s="1251"/>
      <c r="AZW145" s="1251"/>
      <c r="AZX145" s="1251"/>
      <c r="AZY145" s="1251"/>
      <c r="AZZ145" s="1251"/>
      <c r="BAA145" s="1251"/>
      <c r="BAB145" s="1251"/>
      <c r="BAC145" s="1251"/>
      <c r="BAD145" s="1251"/>
      <c r="BAE145" s="1251"/>
      <c r="BAF145" s="1251"/>
      <c r="BAG145" s="1251"/>
      <c r="BAH145" s="1251"/>
      <c r="BAI145" s="1251"/>
      <c r="BAJ145" s="1251"/>
      <c r="BAK145" s="1251"/>
      <c r="BAL145" s="1251"/>
      <c r="BAM145" s="1251"/>
      <c r="BAN145" s="1251"/>
      <c r="BAO145" s="1251"/>
      <c r="BAP145" s="1251"/>
      <c r="BAQ145" s="1251"/>
      <c r="BAR145" s="1251"/>
      <c r="BAS145" s="1251"/>
      <c r="BAT145" s="1251"/>
      <c r="BAU145" s="1251"/>
      <c r="BAV145" s="1251"/>
      <c r="BAW145" s="1251"/>
      <c r="BAX145" s="1251"/>
      <c r="BAY145" s="1251"/>
      <c r="BAZ145" s="1251"/>
      <c r="BBA145" s="1251"/>
      <c r="BBB145" s="1251"/>
      <c r="BBC145" s="1251"/>
      <c r="BBD145" s="1251"/>
      <c r="BBE145" s="1251"/>
      <c r="BBF145" s="1251"/>
      <c r="BBG145" s="1251"/>
      <c r="BBH145" s="1251"/>
      <c r="BBI145" s="1251"/>
      <c r="BBJ145" s="1251"/>
      <c r="BBK145" s="1251"/>
      <c r="BBL145" s="1251"/>
      <c r="BBM145" s="1251"/>
      <c r="BBN145" s="1251"/>
      <c r="BBO145" s="1251"/>
      <c r="BBP145" s="1251"/>
      <c r="BBQ145" s="1251"/>
      <c r="BBR145" s="1251"/>
      <c r="BBS145" s="1251"/>
      <c r="BBT145" s="1251"/>
      <c r="BBU145" s="1251"/>
      <c r="BBV145" s="1251"/>
      <c r="BBW145" s="1251"/>
      <c r="BBX145" s="1251"/>
      <c r="BBY145" s="1251"/>
      <c r="BBZ145" s="1251"/>
      <c r="BCA145" s="1251"/>
      <c r="BCB145" s="1251"/>
      <c r="BCC145" s="1251"/>
      <c r="BCD145" s="1251"/>
      <c r="BCE145" s="1251"/>
      <c r="BCF145" s="1251"/>
      <c r="BCG145" s="1251"/>
      <c r="BCH145" s="1251"/>
      <c r="BCI145" s="1251"/>
      <c r="BCJ145" s="1251"/>
      <c r="BCK145" s="1251"/>
      <c r="BCL145" s="1251"/>
      <c r="BCM145" s="1251"/>
      <c r="BCN145" s="1251"/>
      <c r="BCO145" s="1251"/>
      <c r="BCP145" s="1251"/>
      <c r="BCQ145" s="1251"/>
      <c r="BCR145" s="1251"/>
      <c r="BCS145" s="1251"/>
      <c r="BCT145" s="1251"/>
      <c r="BCU145" s="1251"/>
      <c r="BCV145" s="1251"/>
      <c r="BCW145" s="1251"/>
      <c r="BCX145" s="1251"/>
      <c r="BCY145" s="1251"/>
      <c r="BCZ145" s="1251"/>
      <c r="BDA145" s="1251"/>
      <c r="BDB145" s="1251"/>
      <c r="BDC145" s="1251"/>
      <c r="BDD145" s="1251"/>
      <c r="BDE145" s="1251"/>
      <c r="BDF145" s="1251"/>
      <c r="BDG145" s="1251"/>
      <c r="BDH145" s="1251"/>
      <c r="BDI145" s="1251"/>
      <c r="BDJ145" s="1251"/>
      <c r="BDK145" s="1251"/>
      <c r="BDL145" s="1251"/>
      <c r="BDM145" s="1251"/>
      <c r="BDN145" s="1251"/>
      <c r="BDO145" s="1251"/>
      <c r="BDP145" s="1251"/>
      <c r="BDQ145" s="1251"/>
      <c r="BDR145" s="1251"/>
      <c r="BDS145" s="1251"/>
      <c r="BDT145" s="1251"/>
      <c r="BDU145" s="1251"/>
      <c r="BDV145" s="1251"/>
      <c r="BDW145" s="1251"/>
      <c r="BDX145" s="1251"/>
      <c r="BDY145" s="1251"/>
      <c r="BDZ145" s="1251"/>
      <c r="BEA145" s="1251"/>
      <c r="BEB145" s="1251"/>
      <c r="BEC145" s="1251"/>
      <c r="BED145" s="1251"/>
      <c r="BEE145" s="1251"/>
      <c r="BEF145" s="1251"/>
      <c r="BEG145" s="1251"/>
      <c r="BEH145" s="1251"/>
      <c r="BEI145" s="1251"/>
      <c r="BEJ145" s="1251"/>
      <c r="BEK145" s="1251"/>
      <c r="BEL145" s="1251"/>
      <c r="BEM145" s="1251"/>
      <c r="BEN145" s="1251"/>
      <c r="BEO145" s="1251"/>
      <c r="BEP145" s="1251"/>
      <c r="BEQ145" s="1251"/>
      <c r="BER145" s="1251"/>
      <c r="BES145" s="1251"/>
      <c r="BET145" s="1251"/>
      <c r="BEU145" s="1251"/>
      <c r="BEV145" s="1251"/>
      <c r="BEW145" s="1251"/>
      <c r="BEX145" s="1251"/>
      <c r="BEY145" s="1251"/>
      <c r="BEZ145" s="1251"/>
      <c r="BFA145" s="1251"/>
      <c r="BFB145" s="1251"/>
      <c r="BFC145" s="1251"/>
      <c r="BFD145" s="1251"/>
      <c r="BFE145" s="1251"/>
      <c r="BFF145" s="1251"/>
      <c r="BFG145" s="1251"/>
      <c r="BFH145" s="1251"/>
      <c r="BFI145" s="1251"/>
      <c r="BFJ145" s="1251"/>
      <c r="BFK145" s="1251"/>
      <c r="BFL145" s="1251"/>
      <c r="BFM145" s="1251"/>
      <c r="BFN145" s="1251"/>
      <c r="BFO145" s="1251"/>
      <c r="BFP145" s="1251"/>
      <c r="BFQ145" s="1251"/>
      <c r="BFR145" s="1251"/>
      <c r="BFS145" s="1251"/>
      <c r="BFT145" s="1251"/>
      <c r="BFU145" s="1251"/>
      <c r="BFV145" s="1251"/>
      <c r="BFW145" s="1251"/>
      <c r="BFX145" s="1251"/>
      <c r="BFY145" s="1251"/>
      <c r="BFZ145" s="1251"/>
      <c r="BGA145" s="1251"/>
      <c r="BGB145" s="1251"/>
      <c r="BGC145" s="1251"/>
      <c r="BGD145" s="1251"/>
      <c r="BGE145" s="1251"/>
      <c r="BGF145" s="1251"/>
      <c r="BGG145" s="1251"/>
      <c r="BGH145" s="1251"/>
      <c r="BGI145" s="1251"/>
      <c r="BGJ145" s="1251"/>
      <c r="BGK145" s="1251"/>
      <c r="BGL145" s="1251"/>
      <c r="BGM145" s="1251"/>
      <c r="BGN145" s="1251"/>
      <c r="BGO145" s="1251"/>
      <c r="BGP145" s="1251"/>
      <c r="BGQ145" s="1251"/>
      <c r="BGR145" s="1251"/>
      <c r="BGS145" s="1251"/>
      <c r="BGT145" s="1251"/>
      <c r="BGU145" s="1251"/>
      <c r="BGV145" s="1251"/>
      <c r="BGW145" s="1251"/>
      <c r="BGX145" s="1251"/>
      <c r="BGY145" s="1251"/>
      <c r="BGZ145" s="1251"/>
      <c r="BHA145" s="1251"/>
      <c r="BHB145" s="1251"/>
      <c r="BHC145" s="1251"/>
      <c r="BHD145" s="1251"/>
      <c r="BHE145" s="1251"/>
      <c r="BHF145" s="1251"/>
      <c r="BHG145" s="1251"/>
      <c r="BHH145" s="1251"/>
      <c r="BHI145" s="1251"/>
      <c r="BHJ145" s="1251"/>
      <c r="BHK145" s="1251"/>
      <c r="BHL145" s="1251"/>
      <c r="BHM145" s="1251"/>
      <c r="BHN145" s="1251"/>
      <c r="BHO145" s="1251"/>
      <c r="BHP145" s="1251"/>
      <c r="BHQ145" s="1251"/>
      <c r="BHR145" s="1251"/>
      <c r="BHS145" s="1251"/>
      <c r="BHT145" s="1251"/>
      <c r="BHU145" s="1251"/>
      <c r="BHV145" s="1251"/>
      <c r="BHW145" s="1251"/>
      <c r="BHX145" s="1251"/>
      <c r="BHY145" s="1251"/>
      <c r="BHZ145" s="1251"/>
      <c r="BIA145" s="1251"/>
      <c r="BIB145" s="1251"/>
      <c r="BIC145" s="1251"/>
      <c r="BID145" s="1251"/>
      <c r="BIE145" s="1251"/>
      <c r="BIF145" s="1251"/>
      <c r="BIG145" s="1251"/>
      <c r="BIH145" s="1251"/>
      <c r="BII145" s="1251"/>
      <c r="BIJ145" s="1251"/>
      <c r="BIK145" s="1251"/>
      <c r="BIL145" s="1251"/>
      <c r="BIM145" s="1251"/>
      <c r="BIN145" s="1251"/>
      <c r="BIO145" s="1251"/>
      <c r="BIP145" s="1251"/>
      <c r="BIQ145" s="1251"/>
      <c r="BIR145" s="1251"/>
      <c r="BIS145" s="1251"/>
      <c r="BIT145" s="1251"/>
      <c r="BIU145" s="1251"/>
      <c r="BIV145" s="1251"/>
      <c r="BIW145" s="1251"/>
      <c r="BIX145" s="1251"/>
      <c r="BIY145" s="1251"/>
      <c r="BIZ145" s="1251"/>
      <c r="BJA145" s="1251"/>
      <c r="BJB145" s="1251"/>
      <c r="BJC145" s="1251"/>
      <c r="BJD145" s="1251"/>
      <c r="BJE145" s="1251"/>
      <c r="BJF145" s="1251"/>
      <c r="BJG145" s="1251"/>
      <c r="BJH145" s="1251"/>
      <c r="BJI145" s="1251"/>
      <c r="BJJ145" s="1251"/>
      <c r="BJK145" s="1251"/>
      <c r="BJL145" s="1251"/>
      <c r="BJM145" s="1251"/>
      <c r="BJN145" s="1251"/>
      <c r="BJO145" s="1251"/>
      <c r="BJP145" s="1251"/>
      <c r="BJQ145" s="1251"/>
      <c r="BJR145" s="1251"/>
      <c r="BJS145" s="1251"/>
      <c r="BJT145" s="1251"/>
      <c r="BJU145" s="1251"/>
      <c r="BJV145" s="1251"/>
      <c r="BJW145" s="1251"/>
      <c r="BJX145" s="1251"/>
      <c r="BJY145" s="1251"/>
      <c r="BJZ145" s="1251"/>
      <c r="BKA145" s="1251"/>
      <c r="BKB145" s="1251"/>
      <c r="BKC145" s="1251"/>
      <c r="BKD145" s="1251"/>
      <c r="BKE145" s="1251"/>
      <c r="BKF145" s="1251"/>
      <c r="BKG145" s="1251"/>
      <c r="BKH145" s="1251"/>
      <c r="BKI145" s="1251"/>
      <c r="BKJ145" s="1251"/>
      <c r="BKK145" s="1251"/>
      <c r="BKL145" s="1251"/>
      <c r="BKM145" s="1251"/>
      <c r="BKN145" s="1251"/>
      <c r="BKO145" s="1251"/>
      <c r="BKP145" s="1251"/>
      <c r="BKQ145" s="1251"/>
      <c r="BKR145" s="1251"/>
      <c r="BKS145" s="1251"/>
      <c r="BKT145" s="1251"/>
      <c r="BKU145" s="1251"/>
      <c r="BKV145" s="1251"/>
      <c r="BKW145" s="1251"/>
      <c r="BKX145" s="1251"/>
      <c r="BKY145" s="1251"/>
      <c r="BKZ145" s="1251"/>
      <c r="BLA145" s="1251"/>
      <c r="BLB145" s="1251"/>
      <c r="BLC145" s="1251"/>
      <c r="BLD145" s="1251"/>
      <c r="BLE145" s="1251"/>
      <c r="BLF145" s="1251"/>
      <c r="BLG145" s="1251"/>
      <c r="BLH145" s="1251"/>
      <c r="BLI145" s="1251"/>
      <c r="BLJ145" s="1251"/>
      <c r="BLK145" s="1251"/>
      <c r="BLL145" s="1251"/>
      <c r="BLM145" s="1251"/>
      <c r="BLN145" s="1251"/>
      <c r="BLO145" s="1251"/>
      <c r="BLP145" s="1251"/>
      <c r="BLQ145" s="1251"/>
      <c r="BLR145" s="1251"/>
      <c r="BLS145" s="1251"/>
      <c r="BLT145" s="1251"/>
      <c r="BLU145" s="1251"/>
      <c r="BLV145" s="1251"/>
      <c r="BLW145" s="1251"/>
      <c r="BLX145" s="1251"/>
      <c r="BLY145" s="1251"/>
      <c r="BLZ145" s="1251"/>
      <c r="BMA145" s="1251"/>
      <c r="BMB145" s="1251"/>
      <c r="BMC145" s="1251"/>
      <c r="BMD145" s="1251"/>
      <c r="BME145" s="1251"/>
      <c r="BMF145" s="1251"/>
      <c r="BMG145" s="1251"/>
      <c r="BMH145" s="1251"/>
      <c r="BMI145" s="1251"/>
      <c r="BMJ145" s="1251"/>
      <c r="BMK145" s="1251"/>
      <c r="BML145" s="1251"/>
      <c r="BMM145" s="1251"/>
      <c r="BMN145" s="1251"/>
      <c r="BMO145" s="1251"/>
      <c r="BMP145" s="1251"/>
      <c r="BMQ145" s="1251"/>
      <c r="BMR145" s="1251"/>
      <c r="BMS145" s="1251"/>
      <c r="BMT145" s="1251"/>
      <c r="BMU145" s="1251"/>
      <c r="BMV145" s="1251"/>
      <c r="BMW145" s="1251"/>
      <c r="BMX145" s="1251"/>
      <c r="BMY145" s="1251"/>
      <c r="BMZ145" s="1251"/>
      <c r="BNA145" s="1251"/>
      <c r="BNB145" s="1251"/>
      <c r="BNC145" s="1251"/>
      <c r="BND145" s="1251"/>
      <c r="BNE145" s="1251"/>
      <c r="BNF145" s="1251"/>
      <c r="BNG145" s="1251"/>
      <c r="BNH145" s="1251"/>
      <c r="BNI145" s="1251"/>
      <c r="BNJ145" s="1251"/>
      <c r="BNK145" s="1251"/>
      <c r="BNL145" s="1251"/>
      <c r="BNM145" s="1251"/>
      <c r="BNN145" s="1251"/>
      <c r="BNO145" s="1251"/>
      <c r="BNP145" s="1251"/>
      <c r="BNQ145" s="1251"/>
      <c r="BNR145" s="1251"/>
      <c r="BNS145" s="1251"/>
      <c r="BNT145" s="1251"/>
      <c r="BNU145" s="1251"/>
      <c r="BNV145" s="1251"/>
      <c r="BNW145" s="1251"/>
      <c r="BNX145" s="1251"/>
      <c r="BNY145" s="1251"/>
      <c r="BNZ145" s="1251"/>
      <c r="BOA145" s="1251"/>
      <c r="BOB145" s="1251"/>
      <c r="BOC145" s="1251"/>
      <c r="BOD145" s="1251"/>
      <c r="BOE145" s="1251"/>
      <c r="BOF145" s="1251"/>
      <c r="BOG145" s="1251"/>
      <c r="BOH145" s="1251"/>
      <c r="BOI145" s="1251"/>
      <c r="BOJ145" s="1251"/>
      <c r="BOK145" s="1251"/>
      <c r="BOL145" s="1251"/>
      <c r="BOM145" s="1251"/>
      <c r="BON145" s="1251"/>
      <c r="BOO145" s="1251"/>
      <c r="BOP145" s="1251"/>
      <c r="BOQ145" s="1251"/>
      <c r="BOR145" s="1251"/>
      <c r="BOS145" s="1251"/>
      <c r="BOT145" s="1251"/>
      <c r="BOU145" s="1251"/>
      <c r="BOV145" s="1251"/>
      <c r="BOW145" s="1251"/>
      <c r="BOX145" s="1251"/>
      <c r="BOY145" s="1251"/>
      <c r="BOZ145" s="1251"/>
      <c r="BPA145" s="1251"/>
      <c r="BPB145" s="1251"/>
      <c r="BPC145" s="1251"/>
      <c r="BPD145" s="1251"/>
      <c r="BPE145" s="1251"/>
      <c r="BPF145" s="1251"/>
      <c r="BPG145" s="1251"/>
      <c r="BPH145" s="1251"/>
      <c r="BPI145" s="1251"/>
      <c r="BPJ145" s="1251"/>
      <c r="BPK145" s="1251"/>
      <c r="BPL145" s="1251"/>
      <c r="BPM145" s="1251"/>
      <c r="BPN145" s="1251"/>
      <c r="BPO145" s="1251"/>
      <c r="BPP145" s="1251"/>
      <c r="BPQ145" s="1251"/>
      <c r="BPR145" s="1251"/>
      <c r="BPS145" s="1251"/>
      <c r="BPT145" s="1251"/>
      <c r="BPU145" s="1251"/>
      <c r="BPV145" s="1251"/>
      <c r="BPW145" s="1251"/>
      <c r="BPX145" s="1251"/>
      <c r="BPY145" s="1251"/>
      <c r="BPZ145" s="1251"/>
      <c r="BQA145" s="1251"/>
      <c r="BQB145" s="1251"/>
      <c r="BQC145" s="1251"/>
      <c r="BQD145" s="1251"/>
      <c r="BQE145" s="1251"/>
      <c r="BQF145" s="1251"/>
      <c r="BQG145" s="1251"/>
      <c r="BQH145" s="1251"/>
      <c r="BQI145" s="1251"/>
      <c r="BQJ145" s="1251"/>
      <c r="BQK145" s="1251"/>
      <c r="BQL145" s="1251"/>
      <c r="BQM145" s="1251"/>
      <c r="BQN145" s="1251"/>
      <c r="BQO145" s="1251"/>
      <c r="BQP145" s="1251"/>
      <c r="BQQ145" s="1251"/>
      <c r="BQR145" s="1251"/>
      <c r="BQS145" s="1251"/>
      <c r="BQT145" s="1251"/>
      <c r="BQU145" s="1251"/>
      <c r="BQV145" s="1251"/>
      <c r="BQW145" s="1251"/>
      <c r="BQX145" s="1251"/>
      <c r="BQY145" s="1251"/>
      <c r="BQZ145" s="1251"/>
      <c r="BRA145" s="1251"/>
      <c r="BRB145" s="1251"/>
      <c r="BRC145" s="1251"/>
      <c r="BRD145" s="1251"/>
      <c r="BRE145" s="1251"/>
      <c r="BRF145" s="1251"/>
      <c r="BRG145" s="1251"/>
      <c r="BRH145" s="1251"/>
      <c r="BRI145" s="1251"/>
      <c r="BRJ145" s="1251"/>
      <c r="BRK145" s="1251"/>
      <c r="BRL145" s="1251"/>
      <c r="BRM145" s="1251"/>
      <c r="BRN145" s="1251"/>
      <c r="BRO145" s="1251"/>
      <c r="BRP145" s="1251"/>
      <c r="BRQ145" s="1251"/>
      <c r="BRR145" s="1251"/>
      <c r="BRS145" s="1251"/>
      <c r="BRT145" s="1251"/>
      <c r="BRU145" s="1251"/>
      <c r="BRV145" s="1251"/>
      <c r="BRW145" s="1251"/>
      <c r="BRX145" s="1251"/>
      <c r="BRY145" s="1251"/>
      <c r="BRZ145" s="1251"/>
      <c r="BSA145" s="1251"/>
      <c r="BSB145" s="1251"/>
      <c r="BSC145" s="1251"/>
      <c r="BSD145" s="1251"/>
      <c r="BSE145" s="1251"/>
      <c r="BSF145" s="1251"/>
      <c r="BSG145" s="1251"/>
      <c r="BSH145" s="1251"/>
      <c r="BSI145" s="1251"/>
      <c r="BSJ145" s="1251"/>
      <c r="BSK145" s="1251"/>
      <c r="BSL145" s="1251"/>
      <c r="BSM145" s="1251"/>
      <c r="BSN145" s="1251"/>
      <c r="BSO145" s="1251"/>
      <c r="BSP145" s="1251"/>
      <c r="BSQ145" s="1251"/>
      <c r="BSR145" s="1251"/>
      <c r="BSS145" s="1251"/>
      <c r="BST145" s="1251"/>
      <c r="BSU145" s="1251"/>
      <c r="BSV145" s="1251"/>
      <c r="BSW145" s="1251"/>
      <c r="BSX145" s="1251"/>
      <c r="BSY145" s="1251"/>
      <c r="BSZ145" s="1251"/>
      <c r="BTA145" s="1251"/>
      <c r="BTB145" s="1251"/>
      <c r="BTC145" s="1251"/>
      <c r="BTD145" s="1251"/>
      <c r="BTE145" s="1251"/>
      <c r="BTF145" s="1251"/>
      <c r="BTG145" s="1251"/>
      <c r="BTH145" s="1251"/>
      <c r="BTI145" s="1251"/>
    </row>
    <row r="146" spans="1:1881" s="1261" customFormat="1" ht="93.75" hidden="1" customHeight="1" x14ac:dyDescent="0.3">
      <c r="A146" s="1248">
        <v>383</v>
      </c>
      <c r="B146" s="659" t="s">
        <v>62</v>
      </c>
      <c r="C146" s="659" t="s">
        <v>1385</v>
      </c>
      <c r="D146" s="29" t="s">
        <v>1472</v>
      </c>
      <c r="E146" s="1249" t="e">
        <f>HLOOKUP($D$2,'2020 Data(H)'!$C$1:$CZ$426,142,FALSE)</f>
        <v>#N/A</v>
      </c>
      <c r="F146" s="1263">
        <v>0</v>
      </c>
      <c r="G146" s="743">
        <f>IF(F146&gt;F140,"Error: Please review components of current liabilities above. Account number 383&gt;633",)</f>
        <v>0</v>
      </c>
      <c r="H146" s="744"/>
      <c r="I146" s="760"/>
      <c r="J146" s="1251"/>
      <c r="K146" s="1251"/>
      <c r="L146" s="1251"/>
      <c r="M146" s="1251"/>
      <c r="N146" s="1253"/>
      <c r="O146" s="1251"/>
      <c r="P146" s="1251"/>
      <c r="Q146" s="1251"/>
      <c r="R146" s="1251"/>
      <c r="S146" s="1251"/>
      <c r="T146" s="1251"/>
      <c r="U146" s="1251"/>
      <c r="V146" s="1251"/>
      <c r="W146" s="1251"/>
      <c r="X146" s="1251"/>
      <c r="Y146" s="1251"/>
      <c r="Z146" s="1248"/>
      <c r="AA146" s="1248"/>
      <c r="AB146" s="1248"/>
      <c r="AC146" s="1248"/>
      <c r="AD146" s="1248"/>
      <c r="AE146" s="1248"/>
      <c r="AF146" s="1248"/>
      <c r="AG146" s="1248"/>
      <c r="AH146" s="1248"/>
      <c r="AI146" s="1248"/>
      <c r="AJ146" s="1248"/>
      <c r="AK146" s="1248"/>
      <c r="AL146" s="1248"/>
      <c r="AM146" s="1248"/>
      <c r="AN146" s="1248"/>
      <c r="AO146" s="1248"/>
      <c r="AP146" s="1248"/>
      <c r="AQ146" s="1248"/>
      <c r="AR146" s="1248"/>
      <c r="AS146" s="1251"/>
      <c r="AT146" s="1251"/>
      <c r="AU146" s="1251"/>
      <c r="AV146" s="1251"/>
      <c r="AW146" s="1251"/>
      <c r="AX146" s="1251"/>
      <c r="AY146" s="1251"/>
      <c r="AZ146" s="1251"/>
      <c r="BA146" s="1251"/>
      <c r="BB146" s="1251"/>
      <c r="BC146" s="1251"/>
      <c r="BD146" s="1251"/>
      <c r="BE146" s="1251"/>
      <c r="BF146" s="1251"/>
      <c r="BG146" s="1251"/>
      <c r="BH146" s="1251"/>
      <c r="BI146" s="1251"/>
      <c r="BJ146" s="1251"/>
      <c r="BK146" s="1251"/>
      <c r="BL146" s="1251"/>
      <c r="BM146" s="1251"/>
      <c r="BN146" s="1251"/>
      <c r="BO146" s="1251"/>
      <c r="BP146" s="1251"/>
      <c r="BQ146" s="1251"/>
      <c r="BR146" s="1251"/>
      <c r="BS146" s="1251"/>
      <c r="BT146" s="1251"/>
      <c r="BU146" s="1251"/>
      <c r="BV146" s="1251"/>
      <c r="BW146" s="1251"/>
      <c r="BX146" s="1251"/>
      <c r="BY146" s="1251"/>
      <c r="BZ146" s="1251"/>
      <c r="CA146" s="1251"/>
      <c r="CB146" s="1251"/>
      <c r="CC146" s="1251"/>
      <c r="CD146" s="1251"/>
      <c r="CE146" s="1251"/>
      <c r="CF146" s="1251"/>
      <c r="CG146" s="1251"/>
      <c r="CH146" s="1251"/>
      <c r="CI146" s="1251"/>
      <c r="CJ146" s="1251"/>
      <c r="CK146" s="1251"/>
      <c r="CL146" s="1251"/>
      <c r="CM146" s="1251"/>
      <c r="CN146" s="1251"/>
      <c r="CO146" s="1251"/>
      <c r="CP146" s="1251"/>
      <c r="CQ146" s="1251"/>
      <c r="CR146" s="1251"/>
      <c r="CS146" s="1251"/>
      <c r="CT146" s="1251"/>
      <c r="CU146" s="1251"/>
      <c r="CV146" s="1251"/>
      <c r="CW146" s="1251"/>
      <c r="CX146" s="1251"/>
      <c r="CY146" s="1251"/>
      <c r="CZ146" s="1251"/>
      <c r="DA146" s="1251"/>
      <c r="DB146" s="1251"/>
      <c r="DC146" s="1251"/>
      <c r="DD146" s="1251"/>
      <c r="DE146" s="1251"/>
      <c r="DF146" s="1251"/>
      <c r="DG146" s="1251"/>
      <c r="DH146" s="1251"/>
      <c r="DI146" s="1251"/>
      <c r="DJ146" s="1251"/>
      <c r="DK146" s="1251"/>
      <c r="DL146" s="1251"/>
      <c r="DM146" s="1251"/>
      <c r="DN146" s="1251"/>
      <c r="DO146" s="1251"/>
      <c r="DP146" s="1251"/>
      <c r="DQ146" s="1251"/>
      <c r="DR146" s="1251"/>
      <c r="DS146" s="1251"/>
      <c r="DT146" s="1251"/>
      <c r="DU146" s="1251"/>
      <c r="DV146" s="1251"/>
      <c r="DW146" s="1251"/>
      <c r="DX146" s="1251"/>
      <c r="DY146" s="1251"/>
      <c r="DZ146" s="1251"/>
      <c r="EA146" s="1251"/>
      <c r="EB146" s="1251"/>
      <c r="EC146" s="1251"/>
      <c r="ED146" s="1251"/>
      <c r="EE146" s="1251"/>
      <c r="EF146" s="1251"/>
      <c r="EG146" s="1251"/>
      <c r="EH146" s="1251"/>
      <c r="EI146" s="1251"/>
      <c r="EJ146" s="1251"/>
      <c r="EK146" s="1251"/>
      <c r="EL146" s="1251"/>
      <c r="EM146" s="1251"/>
      <c r="EN146" s="1251"/>
      <c r="EO146" s="1251"/>
      <c r="EP146" s="1251"/>
      <c r="EQ146" s="1251"/>
      <c r="ER146" s="1251"/>
      <c r="ES146" s="1251"/>
      <c r="ET146" s="1251"/>
      <c r="EU146" s="1251"/>
      <c r="EV146" s="1251"/>
      <c r="EW146" s="1251"/>
      <c r="EX146" s="1251"/>
      <c r="EY146" s="1251"/>
      <c r="EZ146" s="1251"/>
      <c r="FA146" s="1251"/>
      <c r="FB146" s="1251"/>
      <c r="FC146" s="1251"/>
      <c r="FD146" s="1251"/>
      <c r="FE146" s="1251"/>
      <c r="FF146" s="1251"/>
      <c r="FG146" s="1251"/>
      <c r="FH146" s="1251"/>
      <c r="FI146" s="1251"/>
      <c r="FJ146" s="1251"/>
      <c r="FK146" s="1251"/>
      <c r="FL146" s="1251"/>
      <c r="FM146" s="1251"/>
      <c r="FN146" s="1251"/>
      <c r="FO146" s="1251"/>
      <c r="FP146" s="1251"/>
      <c r="FQ146" s="1251"/>
      <c r="FR146" s="1251"/>
      <c r="FS146" s="1251"/>
      <c r="FT146" s="1251"/>
      <c r="FU146" s="1251"/>
      <c r="FV146" s="1251"/>
      <c r="FW146" s="1251"/>
      <c r="FX146" s="1251"/>
      <c r="FY146" s="1251"/>
      <c r="FZ146" s="1251"/>
      <c r="GA146" s="1251"/>
      <c r="GB146" s="1251"/>
      <c r="GC146" s="1251"/>
      <c r="GD146" s="1251"/>
      <c r="GE146" s="1251"/>
      <c r="GF146" s="1251"/>
      <c r="GG146" s="1251"/>
      <c r="GH146" s="1251"/>
      <c r="GI146" s="1251"/>
      <c r="GJ146" s="1251"/>
      <c r="GK146" s="1251"/>
      <c r="GL146" s="1251"/>
      <c r="GM146" s="1251"/>
      <c r="GN146" s="1251"/>
      <c r="GO146" s="1251"/>
      <c r="GP146" s="1251"/>
      <c r="GQ146" s="1251"/>
      <c r="GR146" s="1251"/>
      <c r="GS146" s="1251"/>
      <c r="GT146" s="1251"/>
      <c r="GU146" s="1251"/>
      <c r="GV146" s="1251"/>
      <c r="GW146" s="1251"/>
      <c r="GX146" s="1251"/>
      <c r="GY146" s="1251"/>
      <c r="GZ146" s="1251"/>
      <c r="HA146" s="1251"/>
      <c r="HB146" s="1251"/>
      <c r="HC146" s="1251"/>
      <c r="HD146" s="1251"/>
      <c r="HE146" s="1251"/>
      <c r="HF146" s="1251"/>
      <c r="HG146" s="1251"/>
      <c r="HH146" s="1251"/>
      <c r="HI146" s="1251"/>
      <c r="HJ146" s="1251"/>
      <c r="HK146" s="1251"/>
      <c r="HL146" s="1251"/>
      <c r="HM146" s="1251"/>
      <c r="HN146" s="1251"/>
      <c r="HO146" s="1251"/>
      <c r="HP146" s="1251"/>
      <c r="HQ146" s="1251"/>
      <c r="HR146" s="1251"/>
      <c r="HS146" s="1251"/>
      <c r="HT146" s="1251"/>
      <c r="HU146" s="1251"/>
      <c r="HV146" s="1251"/>
      <c r="HW146" s="1251"/>
      <c r="HX146" s="1251"/>
      <c r="HY146" s="1251"/>
      <c r="HZ146" s="1251"/>
      <c r="IA146" s="1251"/>
      <c r="IB146" s="1251"/>
      <c r="IC146" s="1251"/>
      <c r="ID146" s="1251"/>
      <c r="IE146" s="1251"/>
      <c r="IF146" s="1251"/>
      <c r="IG146" s="1251"/>
      <c r="IH146" s="1251"/>
      <c r="II146" s="1251"/>
      <c r="IJ146" s="1251"/>
      <c r="IK146" s="1251"/>
      <c r="IL146" s="1251"/>
      <c r="IM146" s="1251"/>
      <c r="IN146" s="1251"/>
      <c r="IO146" s="1251"/>
      <c r="IP146" s="1251"/>
      <c r="IQ146" s="1251"/>
      <c r="IR146" s="1251"/>
      <c r="IS146" s="1251"/>
      <c r="IT146" s="1251"/>
      <c r="IU146" s="1251"/>
      <c r="IV146" s="1251"/>
      <c r="IW146" s="1251"/>
      <c r="IX146" s="1251"/>
      <c r="IY146" s="1251"/>
      <c r="IZ146" s="1251"/>
      <c r="JA146" s="1251"/>
      <c r="JB146" s="1251"/>
      <c r="JC146" s="1251"/>
      <c r="JD146" s="1251"/>
      <c r="JE146" s="1251"/>
      <c r="JF146" s="1251"/>
      <c r="JG146" s="1251"/>
      <c r="JH146" s="1251"/>
      <c r="JI146" s="1251"/>
      <c r="JJ146" s="1251"/>
      <c r="JK146" s="1251"/>
      <c r="JL146" s="1251"/>
      <c r="JM146" s="1251"/>
      <c r="JN146" s="1251"/>
      <c r="JO146" s="1251"/>
      <c r="JP146" s="1251"/>
      <c r="JQ146" s="1251"/>
      <c r="JR146" s="1251"/>
      <c r="JS146" s="1251"/>
      <c r="JT146" s="1251"/>
      <c r="JU146" s="1251"/>
      <c r="JV146" s="1251"/>
      <c r="JW146" s="1251"/>
      <c r="JX146" s="1251"/>
      <c r="JY146" s="1251"/>
      <c r="JZ146" s="1251"/>
      <c r="KA146" s="1251"/>
      <c r="KB146" s="1251"/>
      <c r="KC146" s="1251"/>
      <c r="KD146" s="1251"/>
      <c r="KE146" s="1251"/>
      <c r="KF146" s="1251"/>
      <c r="KG146" s="1251"/>
      <c r="KH146" s="1251"/>
      <c r="KI146" s="1251"/>
      <c r="KJ146" s="1251"/>
      <c r="KK146" s="1251"/>
      <c r="KL146" s="1251"/>
      <c r="KM146" s="1251"/>
      <c r="KN146" s="1251"/>
      <c r="KO146" s="1251"/>
      <c r="KP146" s="1251"/>
      <c r="KQ146" s="1251"/>
      <c r="KR146" s="1251"/>
      <c r="KS146" s="1251"/>
      <c r="KT146" s="1251"/>
      <c r="KU146" s="1251"/>
      <c r="KV146" s="1251"/>
      <c r="KW146" s="1251"/>
      <c r="KX146" s="1251"/>
      <c r="KY146" s="1251"/>
      <c r="KZ146" s="1251"/>
      <c r="LA146" s="1251"/>
      <c r="LB146" s="1251"/>
      <c r="LC146" s="1251"/>
      <c r="LD146" s="1251"/>
      <c r="LE146" s="1251"/>
      <c r="LF146" s="1251"/>
      <c r="LG146" s="1251"/>
      <c r="LH146" s="1251"/>
      <c r="LI146" s="1251"/>
      <c r="LJ146" s="1251"/>
      <c r="LK146" s="1251"/>
      <c r="LL146" s="1251"/>
      <c r="LM146" s="1251"/>
      <c r="LN146" s="1251"/>
      <c r="LO146" s="1251"/>
      <c r="LP146" s="1251"/>
      <c r="LQ146" s="1251"/>
      <c r="LR146" s="1251"/>
      <c r="LS146" s="1251"/>
      <c r="LT146" s="1251"/>
      <c r="LU146" s="1251"/>
      <c r="LV146" s="1251"/>
      <c r="LW146" s="1251"/>
      <c r="LX146" s="1251"/>
      <c r="LY146" s="1251"/>
      <c r="LZ146" s="1251"/>
      <c r="MA146" s="1251"/>
      <c r="MB146" s="1251"/>
      <c r="MC146" s="1251"/>
      <c r="MD146" s="1251"/>
      <c r="ME146" s="1251"/>
      <c r="MF146" s="1251"/>
      <c r="MG146" s="1251"/>
      <c r="MH146" s="1251"/>
      <c r="MI146" s="1251"/>
      <c r="MJ146" s="1251"/>
      <c r="MK146" s="1251"/>
      <c r="ML146" s="1251"/>
      <c r="MM146" s="1251"/>
      <c r="MN146" s="1251"/>
      <c r="MO146" s="1251"/>
      <c r="MP146" s="1251"/>
      <c r="MQ146" s="1251"/>
      <c r="MR146" s="1251"/>
      <c r="MS146" s="1251"/>
      <c r="MT146" s="1251"/>
      <c r="MU146" s="1251"/>
      <c r="MV146" s="1251"/>
      <c r="MW146" s="1251"/>
      <c r="MX146" s="1251"/>
      <c r="MY146" s="1251"/>
      <c r="MZ146" s="1251"/>
      <c r="NA146" s="1251"/>
      <c r="NB146" s="1251"/>
      <c r="NC146" s="1251"/>
      <c r="ND146" s="1251"/>
      <c r="NE146" s="1251"/>
      <c r="NF146" s="1251"/>
      <c r="NG146" s="1251"/>
      <c r="NH146" s="1251"/>
      <c r="NI146" s="1251"/>
      <c r="NJ146" s="1251"/>
      <c r="NK146" s="1251"/>
      <c r="NL146" s="1251"/>
      <c r="NM146" s="1251"/>
      <c r="NN146" s="1251"/>
      <c r="NO146" s="1251"/>
      <c r="NP146" s="1251"/>
      <c r="NQ146" s="1251"/>
      <c r="NR146" s="1251"/>
      <c r="NS146" s="1251"/>
      <c r="NT146" s="1251"/>
      <c r="NU146" s="1251"/>
      <c r="NV146" s="1251"/>
      <c r="NW146" s="1251"/>
      <c r="NX146" s="1251"/>
      <c r="NY146" s="1251"/>
      <c r="NZ146" s="1251"/>
      <c r="OA146" s="1251"/>
      <c r="OB146" s="1251"/>
      <c r="OC146" s="1251"/>
      <c r="OD146" s="1251"/>
      <c r="OE146" s="1251"/>
      <c r="OF146" s="1251"/>
      <c r="OG146" s="1251"/>
      <c r="OH146" s="1251"/>
      <c r="OI146" s="1251"/>
      <c r="OJ146" s="1251"/>
      <c r="OK146" s="1251"/>
      <c r="OL146" s="1251"/>
      <c r="OM146" s="1251"/>
      <c r="ON146" s="1251"/>
      <c r="OO146" s="1251"/>
      <c r="OP146" s="1251"/>
      <c r="OQ146" s="1251"/>
      <c r="OR146" s="1251"/>
      <c r="OS146" s="1251"/>
      <c r="OT146" s="1251"/>
      <c r="OU146" s="1251"/>
      <c r="OV146" s="1251"/>
      <c r="OW146" s="1251"/>
      <c r="OX146" s="1251"/>
      <c r="OY146" s="1251"/>
      <c r="OZ146" s="1251"/>
      <c r="PA146" s="1251"/>
      <c r="PB146" s="1251"/>
      <c r="PC146" s="1251"/>
      <c r="PD146" s="1251"/>
      <c r="PE146" s="1251"/>
      <c r="PF146" s="1251"/>
      <c r="PG146" s="1251"/>
      <c r="PH146" s="1251"/>
      <c r="PI146" s="1251"/>
      <c r="PJ146" s="1251"/>
      <c r="PK146" s="1251"/>
      <c r="PL146" s="1251"/>
      <c r="PM146" s="1251"/>
      <c r="PN146" s="1251"/>
      <c r="PO146" s="1251"/>
      <c r="PP146" s="1251"/>
      <c r="PQ146" s="1251"/>
      <c r="PR146" s="1251"/>
      <c r="PS146" s="1251"/>
      <c r="PT146" s="1251"/>
      <c r="PU146" s="1251"/>
      <c r="PV146" s="1251"/>
      <c r="PW146" s="1251"/>
      <c r="PX146" s="1251"/>
      <c r="PY146" s="1251"/>
      <c r="PZ146" s="1251"/>
      <c r="QA146" s="1251"/>
      <c r="QB146" s="1251"/>
      <c r="QC146" s="1251"/>
      <c r="QD146" s="1251"/>
      <c r="QE146" s="1251"/>
      <c r="QF146" s="1251"/>
      <c r="QG146" s="1251"/>
      <c r="QH146" s="1251"/>
      <c r="QI146" s="1251"/>
      <c r="QJ146" s="1251"/>
      <c r="QK146" s="1251"/>
      <c r="QL146" s="1251"/>
      <c r="QM146" s="1251"/>
      <c r="QN146" s="1251"/>
      <c r="QO146" s="1251"/>
      <c r="QP146" s="1251"/>
      <c r="QQ146" s="1251"/>
      <c r="QR146" s="1251"/>
      <c r="QS146" s="1251"/>
      <c r="QT146" s="1251"/>
      <c r="QU146" s="1251"/>
      <c r="QV146" s="1251"/>
      <c r="QW146" s="1251"/>
      <c r="QX146" s="1251"/>
      <c r="QY146" s="1251"/>
      <c r="QZ146" s="1251"/>
      <c r="RA146" s="1251"/>
      <c r="RB146" s="1251"/>
      <c r="RC146" s="1251"/>
      <c r="RD146" s="1251"/>
      <c r="RE146" s="1251"/>
      <c r="RF146" s="1251"/>
      <c r="RG146" s="1251"/>
      <c r="RH146" s="1251"/>
      <c r="RI146" s="1251"/>
      <c r="RJ146" s="1251"/>
      <c r="RK146" s="1251"/>
      <c r="RL146" s="1251"/>
      <c r="RM146" s="1251"/>
      <c r="RN146" s="1251"/>
      <c r="RO146" s="1251"/>
      <c r="RP146" s="1251"/>
      <c r="RQ146" s="1251"/>
      <c r="RR146" s="1251"/>
      <c r="RS146" s="1251"/>
      <c r="RT146" s="1251"/>
      <c r="RU146" s="1251"/>
      <c r="RV146" s="1251"/>
      <c r="RW146" s="1251"/>
      <c r="RX146" s="1251"/>
      <c r="RY146" s="1251"/>
      <c r="RZ146" s="1251"/>
      <c r="SA146" s="1251"/>
      <c r="SB146" s="1251"/>
      <c r="SC146" s="1251"/>
      <c r="SD146" s="1251"/>
      <c r="SE146" s="1251"/>
      <c r="SF146" s="1251"/>
      <c r="SG146" s="1251"/>
      <c r="SH146" s="1251"/>
      <c r="SI146" s="1251"/>
      <c r="SJ146" s="1251"/>
      <c r="SK146" s="1251"/>
      <c r="SL146" s="1251"/>
      <c r="SM146" s="1251"/>
      <c r="SN146" s="1251"/>
      <c r="SO146" s="1251"/>
      <c r="SP146" s="1251"/>
      <c r="SQ146" s="1251"/>
      <c r="SR146" s="1251"/>
      <c r="SS146" s="1251"/>
      <c r="ST146" s="1251"/>
      <c r="SU146" s="1251"/>
      <c r="SV146" s="1251"/>
      <c r="SW146" s="1251"/>
      <c r="SX146" s="1251"/>
      <c r="SY146" s="1251"/>
      <c r="SZ146" s="1251"/>
      <c r="TA146" s="1251"/>
      <c r="TB146" s="1251"/>
      <c r="TC146" s="1251"/>
      <c r="TD146" s="1251"/>
      <c r="TE146" s="1251"/>
      <c r="TF146" s="1251"/>
      <c r="TG146" s="1251"/>
      <c r="TH146" s="1251"/>
      <c r="TI146" s="1251"/>
      <c r="TJ146" s="1251"/>
      <c r="TK146" s="1251"/>
      <c r="TL146" s="1251"/>
      <c r="TM146" s="1251"/>
      <c r="TN146" s="1251"/>
      <c r="TO146" s="1251"/>
      <c r="TP146" s="1251"/>
      <c r="TQ146" s="1251"/>
      <c r="TR146" s="1251"/>
      <c r="TS146" s="1251"/>
      <c r="TT146" s="1251"/>
      <c r="TU146" s="1251"/>
      <c r="TV146" s="1251"/>
      <c r="TW146" s="1251"/>
      <c r="TX146" s="1251"/>
      <c r="TY146" s="1251"/>
      <c r="TZ146" s="1251"/>
      <c r="UA146" s="1251"/>
      <c r="UB146" s="1251"/>
      <c r="UC146" s="1251"/>
      <c r="UD146" s="1251"/>
      <c r="UE146" s="1251"/>
      <c r="UF146" s="1251"/>
      <c r="UG146" s="1251"/>
      <c r="UH146" s="1251"/>
      <c r="UI146" s="1251"/>
      <c r="UJ146" s="1251"/>
      <c r="UK146" s="1251"/>
      <c r="UL146" s="1251"/>
      <c r="UM146" s="1251"/>
      <c r="UN146" s="1251"/>
      <c r="UO146" s="1251"/>
      <c r="UP146" s="1251"/>
      <c r="UQ146" s="1251"/>
      <c r="UR146" s="1251"/>
      <c r="US146" s="1251"/>
      <c r="UT146" s="1251"/>
      <c r="UU146" s="1251"/>
      <c r="UV146" s="1251"/>
      <c r="UW146" s="1251"/>
      <c r="UX146" s="1251"/>
      <c r="UY146" s="1251"/>
      <c r="UZ146" s="1251"/>
      <c r="VA146" s="1251"/>
      <c r="VB146" s="1251"/>
      <c r="VC146" s="1251"/>
      <c r="VD146" s="1251"/>
      <c r="VE146" s="1251"/>
      <c r="VF146" s="1251"/>
      <c r="VG146" s="1251"/>
      <c r="VH146" s="1251"/>
      <c r="VI146" s="1251"/>
      <c r="VJ146" s="1251"/>
      <c r="VK146" s="1251"/>
      <c r="VL146" s="1251"/>
      <c r="VM146" s="1251"/>
      <c r="VN146" s="1251"/>
      <c r="VO146" s="1251"/>
      <c r="VP146" s="1251"/>
      <c r="VQ146" s="1251"/>
      <c r="VR146" s="1251"/>
      <c r="VS146" s="1251"/>
      <c r="VT146" s="1251"/>
      <c r="VU146" s="1251"/>
      <c r="VV146" s="1251"/>
      <c r="VW146" s="1251"/>
      <c r="VX146" s="1251"/>
      <c r="VY146" s="1251"/>
      <c r="VZ146" s="1251"/>
      <c r="WA146" s="1251"/>
      <c r="WB146" s="1251"/>
      <c r="WC146" s="1251"/>
      <c r="WD146" s="1251"/>
      <c r="WE146" s="1251"/>
      <c r="WF146" s="1251"/>
      <c r="WG146" s="1251"/>
      <c r="WH146" s="1251"/>
      <c r="WI146" s="1251"/>
      <c r="WJ146" s="1251"/>
      <c r="WK146" s="1251"/>
      <c r="WL146" s="1251"/>
      <c r="WM146" s="1251"/>
      <c r="WN146" s="1251"/>
      <c r="WO146" s="1251"/>
      <c r="WP146" s="1251"/>
      <c r="WQ146" s="1251"/>
      <c r="WR146" s="1251"/>
      <c r="WS146" s="1251"/>
      <c r="WT146" s="1251"/>
      <c r="WU146" s="1251"/>
      <c r="WV146" s="1251"/>
      <c r="WW146" s="1251"/>
      <c r="WX146" s="1251"/>
      <c r="WY146" s="1251"/>
      <c r="WZ146" s="1251"/>
      <c r="XA146" s="1251"/>
      <c r="XB146" s="1251"/>
      <c r="XC146" s="1251"/>
      <c r="XD146" s="1251"/>
      <c r="XE146" s="1251"/>
      <c r="XF146" s="1251"/>
      <c r="XG146" s="1251"/>
      <c r="XH146" s="1251"/>
      <c r="XI146" s="1251"/>
      <c r="XJ146" s="1251"/>
      <c r="XK146" s="1251"/>
      <c r="XL146" s="1251"/>
      <c r="XM146" s="1251"/>
      <c r="XN146" s="1251"/>
      <c r="XO146" s="1251"/>
      <c r="XP146" s="1251"/>
      <c r="XQ146" s="1251"/>
      <c r="XR146" s="1251"/>
      <c r="XS146" s="1251"/>
      <c r="XT146" s="1251"/>
      <c r="XU146" s="1251"/>
      <c r="XV146" s="1251"/>
      <c r="XW146" s="1251"/>
      <c r="XX146" s="1251"/>
      <c r="XY146" s="1251"/>
      <c r="XZ146" s="1251"/>
      <c r="YA146" s="1251"/>
      <c r="YB146" s="1251"/>
      <c r="YC146" s="1251"/>
      <c r="YD146" s="1251"/>
      <c r="YE146" s="1251"/>
      <c r="YF146" s="1251"/>
      <c r="YG146" s="1251"/>
      <c r="YH146" s="1251"/>
      <c r="YI146" s="1251"/>
      <c r="YJ146" s="1251"/>
      <c r="YK146" s="1251"/>
      <c r="YL146" s="1251"/>
      <c r="YM146" s="1251"/>
      <c r="YN146" s="1251"/>
      <c r="YO146" s="1251"/>
      <c r="YP146" s="1251"/>
      <c r="YQ146" s="1251"/>
      <c r="YR146" s="1251"/>
      <c r="YS146" s="1251"/>
      <c r="YT146" s="1251"/>
      <c r="YU146" s="1251"/>
      <c r="YV146" s="1251"/>
      <c r="YW146" s="1251"/>
      <c r="YX146" s="1251"/>
      <c r="YY146" s="1251"/>
      <c r="YZ146" s="1251"/>
      <c r="ZA146" s="1251"/>
      <c r="ZB146" s="1251"/>
      <c r="ZC146" s="1251"/>
      <c r="ZD146" s="1251"/>
      <c r="ZE146" s="1251"/>
      <c r="ZF146" s="1251"/>
      <c r="ZG146" s="1251"/>
      <c r="ZH146" s="1251"/>
      <c r="ZI146" s="1251"/>
      <c r="ZJ146" s="1251"/>
      <c r="ZK146" s="1251"/>
      <c r="ZL146" s="1251"/>
      <c r="ZM146" s="1251"/>
      <c r="ZN146" s="1251"/>
      <c r="ZO146" s="1251"/>
      <c r="ZP146" s="1251"/>
      <c r="ZQ146" s="1251"/>
      <c r="ZR146" s="1251"/>
      <c r="ZS146" s="1251"/>
      <c r="ZT146" s="1251"/>
      <c r="ZU146" s="1251"/>
      <c r="ZV146" s="1251"/>
      <c r="ZW146" s="1251"/>
      <c r="ZX146" s="1251"/>
      <c r="ZY146" s="1251"/>
      <c r="ZZ146" s="1251"/>
      <c r="AAA146" s="1251"/>
      <c r="AAB146" s="1251"/>
      <c r="AAC146" s="1251"/>
      <c r="AAD146" s="1251"/>
      <c r="AAE146" s="1251"/>
      <c r="AAF146" s="1251"/>
      <c r="AAG146" s="1251"/>
      <c r="AAH146" s="1251"/>
      <c r="AAI146" s="1251"/>
      <c r="AAJ146" s="1251"/>
      <c r="AAK146" s="1251"/>
      <c r="AAL146" s="1251"/>
      <c r="AAM146" s="1251"/>
      <c r="AAN146" s="1251"/>
      <c r="AAO146" s="1251"/>
      <c r="AAP146" s="1251"/>
      <c r="AAQ146" s="1251"/>
      <c r="AAR146" s="1251"/>
      <c r="AAS146" s="1251"/>
      <c r="AAT146" s="1251"/>
      <c r="AAU146" s="1251"/>
      <c r="AAV146" s="1251"/>
      <c r="AAW146" s="1251"/>
      <c r="AAX146" s="1251"/>
      <c r="AAY146" s="1251"/>
      <c r="AAZ146" s="1251"/>
      <c r="ABA146" s="1251"/>
      <c r="ABB146" s="1251"/>
      <c r="ABC146" s="1251"/>
      <c r="ABD146" s="1251"/>
      <c r="ABE146" s="1251"/>
      <c r="ABF146" s="1251"/>
      <c r="ABG146" s="1251"/>
      <c r="ABH146" s="1251"/>
      <c r="ABI146" s="1251"/>
      <c r="ABJ146" s="1251"/>
      <c r="ABK146" s="1251"/>
      <c r="ABL146" s="1251"/>
      <c r="ABM146" s="1251"/>
      <c r="ABN146" s="1251"/>
      <c r="ABO146" s="1251"/>
      <c r="ABP146" s="1251"/>
      <c r="ABQ146" s="1251"/>
      <c r="ABR146" s="1251"/>
      <c r="ABS146" s="1251"/>
      <c r="ABT146" s="1251"/>
      <c r="ABU146" s="1251"/>
      <c r="ABV146" s="1251"/>
      <c r="ABW146" s="1251"/>
      <c r="ABX146" s="1251"/>
      <c r="ABY146" s="1251"/>
      <c r="ABZ146" s="1251"/>
      <c r="ACA146" s="1251"/>
      <c r="ACB146" s="1251"/>
      <c r="ACC146" s="1251"/>
      <c r="ACD146" s="1251"/>
      <c r="ACE146" s="1251"/>
      <c r="ACF146" s="1251"/>
      <c r="ACG146" s="1251"/>
      <c r="ACH146" s="1251"/>
      <c r="ACI146" s="1251"/>
      <c r="ACJ146" s="1251"/>
      <c r="ACK146" s="1251"/>
      <c r="ACL146" s="1251"/>
      <c r="ACM146" s="1251"/>
      <c r="ACN146" s="1251"/>
      <c r="ACO146" s="1251"/>
      <c r="ACP146" s="1251"/>
      <c r="ACQ146" s="1251"/>
      <c r="ACR146" s="1251"/>
      <c r="ACS146" s="1251"/>
      <c r="ACT146" s="1251"/>
      <c r="ACU146" s="1251"/>
      <c r="ACV146" s="1251"/>
      <c r="ACW146" s="1251"/>
      <c r="ACX146" s="1251"/>
      <c r="ACY146" s="1251"/>
      <c r="ACZ146" s="1251"/>
      <c r="ADA146" s="1251"/>
      <c r="ADB146" s="1251"/>
      <c r="ADC146" s="1251"/>
      <c r="ADD146" s="1251"/>
      <c r="ADE146" s="1251"/>
      <c r="ADF146" s="1251"/>
      <c r="ADG146" s="1251"/>
      <c r="ADH146" s="1251"/>
      <c r="ADI146" s="1251"/>
      <c r="ADJ146" s="1251"/>
      <c r="ADK146" s="1251"/>
      <c r="ADL146" s="1251"/>
      <c r="ADM146" s="1251"/>
      <c r="ADN146" s="1251"/>
      <c r="ADO146" s="1251"/>
      <c r="ADP146" s="1251"/>
      <c r="ADQ146" s="1251"/>
      <c r="ADR146" s="1251"/>
      <c r="ADS146" s="1251"/>
      <c r="ADT146" s="1251"/>
      <c r="ADU146" s="1251"/>
      <c r="ADV146" s="1251"/>
      <c r="ADW146" s="1251"/>
      <c r="ADX146" s="1251"/>
      <c r="ADY146" s="1251"/>
      <c r="ADZ146" s="1251"/>
      <c r="AEA146" s="1251"/>
      <c r="AEB146" s="1251"/>
      <c r="AEC146" s="1251"/>
      <c r="AED146" s="1251"/>
      <c r="AEE146" s="1251"/>
      <c r="AEF146" s="1251"/>
      <c r="AEG146" s="1251"/>
      <c r="AEH146" s="1251"/>
      <c r="AEI146" s="1251"/>
      <c r="AEJ146" s="1251"/>
      <c r="AEK146" s="1251"/>
      <c r="AEL146" s="1251"/>
      <c r="AEM146" s="1251"/>
      <c r="AEN146" s="1251"/>
      <c r="AEO146" s="1251"/>
      <c r="AEP146" s="1251"/>
      <c r="AEQ146" s="1251"/>
      <c r="AER146" s="1251"/>
      <c r="AES146" s="1251"/>
      <c r="AET146" s="1251"/>
      <c r="AEU146" s="1251"/>
      <c r="AEV146" s="1251"/>
      <c r="AEW146" s="1251"/>
      <c r="AEX146" s="1251"/>
      <c r="AEY146" s="1251"/>
      <c r="AEZ146" s="1251"/>
      <c r="AFA146" s="1251"/>
      <c r="AFB146" s="1251"/>
      <c r="AFC146" s="1251"/>
      <c r="AFD146" s="1251"/>
      <c r="AFE146" s="1251"/>
      <c r="AFF146" s="1251"/>
      <c r="AFG146" s="1251"/>
      <c r="AFH146" s="1251"/>
      <c r="AFI146" s="1251"/>
      <c r="AFJ146" s="1251"/>
      <c r="AFK146" s="1251"/>
      <c r="AFL146" s="1251"/>
      <c r="AFM146" s="1251"/>
      <c r="AFN146" s="1251"/>
      <c r="AFO146" s="1251"/>
      <c r="AFP146" s="1251"/>
      <c r="AFQ146" s="1251"/>
      <c r="AFR146" s="1251"/>
      <c r="AFS146" s="1251"/>
      <c r="AFT146" s="1251"/>
      <c r="AFU146" s="1251"/>
      <c r="AFV146" s="1251"/>
      <c r="AFW146" s="1251"/>
      <c r="AFX146" s="1251"/>
      <c r="AFY146" s="1251"/>
      <c r="AFZ146" s="1251"/>
      <c r="AGA146" s="1251"/>
      <c r="AGB146" s="1251"/>
      <c r="AGC146" s="1251"/>
      <c r="AGD146" s="1251"/>
      <c r="AGE146" s="1251"/>
      <c r="AGF146" s="1251"/>
      <c r="AGG146" s="1251"/>
      <c r="AGH146" s="1251"/>
      <c r="AGI146" s="1251"/>
      <c r="AGJ146" s="1251"/>
      <c r="AGK146" s="1251"/>
      <c r="AGL146" s="1251"/>
      <c r="AGM146" s="1251"/>
      <c r="AGN146" s="1251"/>
      <c r="AGO146" s="1251"/>
      <c r="AGP146" s="1251"/>
      <c r="AGQ146" s="1251"/>
      <c r="AGR146" s="1251"/>
      <c r="AGS146" s="1251"/>
      <c r="AGT146" s="1251"/>
      <c r="AGU146" s="1251"/>
      <c r="AGV146" s="1251"/>
      <c r="AGW146" s="1251"/>
      <c r="AGX146" s="1251"/>
      <c r="AGY146" s="1251"/>
      <c r="AGZ146" s="1251"/>
      <c r="AHA146" s="1251"/>
      <c r="AHB146" s="1251"/>
      <c r="AHC146" s="1251"/>
      <c r="AHD146" s="1251"/>
      <c r="AHE146" s="1251"/>
      <c r="AHF146" s="1251"/>
      <c r="AHG146" s="1251"/>
      <c r="AHH146" s="1251"/>
      <c r="AHI146" s="1251"/>
      <c r="AHJ146" s="1251"/>
      <c r="AHK146" s="1251"/>
      <c r="AHL146" s="1251"/>
      <c r="AHM146" s="1251"/>
      <c r="AHN146" s="1251"/>
      <c r="AHO146" s="1251"/>
      <c r="AHP146" s="1251"/>
      <c r="AHQ146" s="1251"/>
      <c r="AHR146" s="1251"/>
      <c r="AHS146" s="1251"/>
      <c r="AHT146" s="1251"/>
      <c r="AHU146" s="1251"/>
      <c r="AHV146" s="1251"/>
      <c r="AHW146" s="1251"/>
      <c r="AHX146" s="1251"/>
      <c r="AHY146" s="1251"/>
      <c r="AHZ146" s="1251"/>
      <c r="AIA146" s="1251"/>
      <c r="AIB146" s="1251"/>
      <c r="AIC146" s="1251"/>
      <c r="AID146" s="1251"/>
      <c r="AIE146" s="1251"/>
      <c r="AIF146" s="1251"/>
      <c r="AIG146" s="1251"/>
      <c r="AIH146" s="1251"/>
      <c r="AII146" s="1251"/>
      <c r="AIJ146" s="1251"/>
      <c r="AIK146" s="1251"/>
      <c r="AIL146" s="1251"/>
      <c r="AIM146" s="1251"/>
      <c r="AIN146" s="1251"/>
      <c r="AIO146" s="1251"/>
      <c r="AIP146" s="1251"/>
      <c r="AIQ146" s="1251"/>
      <c r="AIR146" s="1251"/>
      <c r="AIS146" s="1251"/>
      <c r="AIT146" s="1251"/>
      <c r="AIU146" s="1251"/>
      <c r="AIV146" s="1251"/>
      <c r="AIW146" s="1251"/>
      <c r="AIX146" s="1251"/>
      <c r="AIY146" s="1251"/>
      <c r="AIZ146" s="1251"/>
      <c r="AJA146" s="1251"/>
      <c r="AJB146" s="1251"/>
      <c r="AJC146" s="1251"/>
      <c r="AJD146" s="1251"/>
      <c r="AJE146" s="1251"/>
      <c r="AJF146" s="1251"/>
      <c r="AJG146" s="1251"/>
      <c r="AJH146" s="1251"/>
      <c r="AJI146" s="1251"/>
      <c r="AJJ146" s="1251"/>
      <c r="AJK146" s="1251"/>
      <c r="AJL146" s="1251"/>
      <c r="AJM146" s="1251"/>
      <c r="AJN146" s="1251"/>
      <c r="AJO146" s="1251"/>
      <c r="AJP146" s="1251"/>
      <c r="AJQ146" s="1251"/>
      <c r="AJR146" s="1251"/>
      <c r="AJS146" s="1251"/>
      <c r="AJT146" s="1251"/>
      <c r="AJU146" s="1251"/>
      <c r="AJV146" s="1251"/>
      <c r="AJW146" s="1251"/>
      <c r="AJX146" s="1251"/>
      <c r="AJY146" s="1251"/>
      <c r="AJZ146" s="1251"/>
      <c r="AKA146" s="1251"/>
      <c r="AKB146" s="1251"/>
      <c r="AKC146" s="1251"/>
      <c r="AKD146" s="1251"/>
      <c r="AKE146" s="1251"/>
      <c r="AKF146" s="1251"/>
      <c r="AKG146" s="1251"/>
      <c r="AKH146" s="1251"/>
      <c r="AKI146" s="1251"/>
      <c r="AKJ146" s="1251"/>
      <c r="AKK146" s="1251"/>
      <c r="AKL146" s="1251"/>
      <c r="AKM146" s="1251"/>
      <c r="AKN146" s="1251"/>
      <c r="AKO146" s="1251"/>
      <c r="AKP146" s="1251"/>
      <c r="AKQ146" s="1251"/>
      <c r="AKR146" s="1251"/>
      <c r="AKS146" s="1251"/>
      <c r="AKT146" s="1251"/>
      <c r="AKU146" s="1251"/>
      <c r="AKV146" s="1251"/>
      <c r="AKW146" s="1251"/>
      <c r="AKX146" s="1251"/>
      <c r="AKY146" s="1251"/>
      <c r="AKZ146" s="1251"/>
      <c r="ALA146" s="1251"/>
      <c r="ALB146" s="1251"/>
      <c r="ALC146" s="1251"/>
      <c r="ALD146" s="1251"/>
      <c r="ALE146" s="1251"/>
      <c r="ALF146" s="1251"/>
      <c r="ALG146" s="1251"/>
      <c r="ALH146" s="1251"/>
      <c r="ALI146" s="1251"/>
      <c r="ALJ146" s="1251"/>
      <c r="ALK146" s="1251"/>
      <c r="ALL146" s="1251"/>
      <c r="ALM146" s="1251"/>
      <c r="ALN146" s="1251"/>
      <c r="ALO146" s="1251"/>
      <c r="ALP146" s="1251"/>
      <c r="ALQ146" s="1251"/>
      <c r="ALR146" s="1251"/>
      <c r="ALS146" s="1251"/>
      <c r="ALT146" s="1251"/>
      <c r="ALU146" s="1251"/>
      <c r="ALV146" s="1251"/>
      <c r="ALW146" s="1251"/>
      <c r="ALX146" s="1251"/>
      <c r="ALY146" s="1251"/>
      <c r="ALZ146" s="1251"/>
      <c r="AMA146" s="1251"/>
      <c r="AMB146" s="1251"/>
      <c r="AMC146" s="1251"/>
      <c r="AMD146" s="1251"/>
      <c r="AME146" s="1251"/>
      <c r="AMF146" s="1251"/>
      <c r="AMG146" s="1251"/>
      <c r="AMH146" s="1251"/>
      <c r="AMI146" s="1251"/>
      <c r="AMJ146" s="1251"/>
      <c r="AMK146" s="1251"/>
      <c r="AML146" s="1251"/>
      <c r="AMM146" s="1251"/>
      <c r="AMN146" s="1251"/>
      <c r="AMO146" s="1251"/>
      <c r="AMP146" s="1251"/>
      <c r="AMQ146" s="1251"/>
      <c r="AMR146" s="1251"/>
      <c r="AMS146" s="1251"/>
      <c r="AMT146" s="1251"/>
      <c r="AMU146" s="1251"/>
      <c r="AMV146" s="1251"/>
      <c r="AMW146" s="1251"/>
      <c r="AMX146" s="1251"/>
      <c r="AMY146" s="1251"/>
      <c r="AMZ146" s="1251"/>
      <c r="ANA146" s="1251"/>
      <c r="ANB146" s="1251"/>
      <c r="ANC146" s="1251"/>
      <c r="AND146" s="1251"/>
      <c r="ANE146" s="1251"/>
      <c r="ANF146" s="1251"/>
      <c r="ANG146" s="1251"/>
      <c r="ANH146" s="1251"/>
      <c r="ANI146" s="1251"/>
      <c r="ANJ146" s="1251"/>
      <c r="ANK146" s="1251"/>
      <c r="ANL146" s="1251"/>
      <c r="ANM146" s="1251"/>
      <c r="ANN146" s="1251"/>
      <c r="ANO146" s="1251"/>
      <c r="ANP146" s="1251"/>
      <c r="ANQ146" s="1251"/>
      <c r="ANR146" s="1251"/>
      <c r="ANS146" s="1251"/>
      <c r="ANT146" s="1251"/>
      <c r="ANU146" s="1251"/>
      <c r="ANV146" s="1251"/>
      <c r="ANW146" s="1251"/>
      <c r="ANX146" s="1251"/>
      <c r="ANY146" s="1251"/>
      <c r="ANZ146" s="1251"/>
      <c r="AOA146" s="1251"/>
      <c r="AOB146" s="1251"/>
      <c r="AOC146" s="1251"/>
      <c r="AOD146" s="1251"/>
      <c r="AOE146" s="1251"/>
      <c r="AOF146" s="1251"/>
      <c r="AOG146" s="1251"/>
      <c r="AOH146" s="1251"/>
      <c r="AOI146" s="1251"/>
      <c r="AOJ146" s="1251"/>
      <c r="AOK146" s="1251"/>
      <c r="AOL146" s="1251"/>
      <c r="AOM146" s="1251"/>
      <c r="AON146" s="1251"/>
      <c r="AOO146" s="1251"/>
      <c r="AOP146" s="1251"/>
      <c r="AOQ146" s="1251"/>
      <c r="AOR146" s="1251"/>
      <c r="AOS146" s="1251"/>
      <c r="AOT146" s="1251"/>
      <c r="AOU146" s="1251"/>
      <c r="AOV146" s="1251"/>
      <c r="AOW146" s="1251"/>
      <c r="AOX146" s="1251"/>
      <c r="AOY146" s="1251"/>
      <c r="AOZ146" s="1251"/>
      <c r="APA146" s="1251"/>
      <c r="APB146" s="1251"/>
      <c r="APC146" s="1251"/>
      <c r="APD146" s="1251"/>
      <c r="APE146" s="1251"/>
      <c r="APF146" s="1251"/>
      <c r="APG146" s="1251"/>
      <c r="APH146" s="1251"/>
      <c r="API146" s="1251"/>
      <c r="APJ146" s="1251"/>
      <c r="APK146" s="1251"/>
      <c r="APL146" s="1251"/>
      <c r="APM146" s="1251"/>
      <c r="APN146" s="1251"/>
      <c r="APO146" s="1251"/>
      <c r="APP146" s="1251"/>
      <c r="APQ146" s="1251"/>
      <c r="APR146" s="1251"/>
      <c r="APS146" s="1251"/>
      <c r="APT146" s="1251"/>
      <c r="APU146" s="1251"/>
      <c r="APV146" s="1251"/>
      <c r="APW146" s="1251"/>
      <c r="APX146" s="1251"/>
      <c r="APY146" s="1251"/>
      <c r="APZ146" s="1251"/>
      <c r="AQA146" s="1251"/>
      <c r="AQB146" s="1251"/>
      <c r="AQC146" s="1251"/>
      <c r="AQD146" s="1251"/>
      <c r="AQE146" s="1251"/>
      <c r="AQF146" s="1251"/>
      <c r="AQG146" s="1251"/>
      <c r="AQH146" s="1251"/>
      <c r="AQI146" s="1251"/>
      <c r="AQJ146" s="1251"/>
      <c r="AQK146" s="1251"/>
      <c r="AQL146" s="1251"/>
      <c r="AQM146" s="1251"/>
      <c r="AQN146" s="1251"/>
      <c r="AQO146" s="1251"/>
      <c r="AQP146" s="1251"/>
      <c r="AQQ146" s="1251"/>
      <c r="AQR146" s="1251"/>
      <c r="AQS146" s="1251"/>
      <c r="AQT146" s="1251"/>
      <c r="AQU146" s="1251"/>
      <c r="AQV146" s="1251"/>
      <c r="AQW146" s="1251"/>
      <c r="AQX146" s="1251"/>
      <c r="AQY146" s="1251"/>
      <c r="AQZ146" s="1251"/>
      <c r="ARA146" s="1251"/>
      <c r="ARB146" s="1251"/>
      <c r="ARC146" s="1251"/>
      <c r="ARD146" s="1251"/>
      <c r="ARE146" s="1251"/>
      <c r="ARF146" s="1251"/>
      <c r="ARG146" s="1251"/>
      <c r="ARH146" s="1251"/>
      <c r="ARI146" s="1251"/>
      <c r="ARJ146" s="1251"/>
      <c r="ARK146" s="1251"/>
      <c r="ARL146" s="1251"/>
      <c r="ARM146" s="1251"/>
      <c r="ARN146" s="1251"/>
      <c r="ARO146" s="1251"/>
      <c r="ARP146" s="1251"/>
      <c r="ARQ146" s="1251"/>
      <c r="ARR146" s="1251"/>
      <c r="ARS146" s="1251"/>
      <c r="ART146" s="1251"/>
      <c r="ARU146" s="1251"/>
      <c r="ARV146" s="1251"/>
      <c r="ARW146" s="1251"/>
      <c r="ARX146" s="1251"/>
      <c r="ARY146" s="1251"/>
      <c r="ARZ146" s="1251"/>
      <c r="ASA146" s="1251"/>
      <c r="ASB146" s="1251"/>
      <c r="ASC146" s="1251"/>
      <c r="ASD146" s="1251"/>
      <c r="ASE146" s="1251"/>
      <c r="ASF146" s="1251"/>
      <c r="ASG146" s="1251"/>
      <c r="ASH146" s="1251"/>
      <c r="ASI146" s="1251"/>
      <c r="ASJ146" s="1251"/>
      <c r="ASK146" s="1251"/>
      <c r="ASL146" s="1251"/>
      <c r="ASM146" s="1251"/>
      <c r="ASN146" s="1251"/>
      <c r="ASO146" s="1251"/>
      <c r="ASP146" s="1251"/>
      <c r="ASQ146" s="1251"/>
      <c r="ASR146" s="1251"/>
      <c r="ASS146" s="1251"/>
      <c r="AST146" s="1251"/>
      <c r="ASU146" s="1251"/>
      <c r="ASV146" s="1251"/>
      <c r="ASW146" s="1251"/>
      <c r="ASX146" s="1251"/>
      <c r="ASY146" s="1251"/>
      <c r="ASZ146" s="1251"/>
      <c r="ATA146" s="1251"/>
      <c r="ATB146" s="1251"/>
      <c r="ATC146" s="1251"/>
      <c r="ATD146" s="1251"/>
      <c r="ATE146" s="1251"/>
      <c r="ATF146" s="1251"/>
      <c r="ATG146" s="1251"/>
      <c r="ATH146" s="1251"/>
      <c r="ATI146" s="1251"/>
      <c r="ATJ146" s="1251"/>
      <c r="ATK146" s="1251"/>
      <c r="ATL146" s="1251"/>
      <c r="ATM146" s="1251"/>
      <c r="ATN146" s="1251"/>
      <c r="ATO146" s="1251"/>
      <c r="ATP146" s="1251"/>
      <c r="ATQ146" s="1251"/>
      <c r="ATR146" s="1251"/>
      <c r="ATS146" s="1251"/>
      <c r="ATT146" s="1251"/>
      <c r="ATU146" s="1251"/>
      <c r="ATV146" s="1251"/>
      <c r="ATW146" s="1251"/>
      <c r="ATX146" s="1251"/>
      <c r="ATY146" s="1251"/>
      <c r="ATZ146" s="1251"/>
      <c r="AUA146" s="1251"/>
      <c r="AUB146" s="1251"/>
      <c r="AUC146" s="1251"/>
      <c r="AUD146" s="1251"/>
      <c r="AUE146" s="1251"/>
      <c r="AUF146" s="1251"/>
      <c r="AUG146" s="1251"/>
      <c r="AUH146" s="1251"/>
      <c r="AUI146" s="1251"/>
      <c r="AUJ146" s="1251"/>
      <c r="AUK146" s="1251"/>
      <c r="AUL146" s="1251"/>
      <c r="AUM146" s="1251"/>
      <c r="AUN146" s="1251"/>
      <c r="AUO146" s="1251"/>
      <c r="AUP146" s="1251"/>
      <c r="AUQ146" s="1251"/>
      <c r="AUR146" s="1251"/>
      <c r="AUS146" s="1251"/>
      <c r="AUT146" s="1251"/>
      <c r="AUU146" s="1251"/>
      <c r="AUV146" s="1251"/>
      <c r="AUW146" s="1251"/>
      <c r="AUX146" s="1251"/>
      <c r="AUY146" s="1251"/>
      <c r="AUZ146" s="1251"/>
      <c r="AVA146" s="1251"/>
      <c r="AVB146" s="1251"/>
      <c r="AVC146" s="1251"/>
      <c r="AVD146" s="1251"/>
      <c r="AVE146" s="1251"/>
      <c r="AVF146" s="1251"/>
      <c r="AVG146" s="1251"/>
      <c r="AVH146" s="1251"/>
      <c r="AVI146" s="1251"/>
      <c r="AVJ146" s="1251"/>
      <c r="AVK146" s="1251"/>
      <c r="AVL146" s="1251"/>
      <c r="AVM146" s="1251"/>
      <c r="AVN146" s="1251"/>
      <c r="AVO146" s="1251"/>
      <c r="AVP146" s="1251"/>
      <c r="AVQ146" s="1251"/>
      <c r="AVR146" s="1251"/>
      <c r="AVS146" s="1251"/>
      <c r="AVT146" s="1251"/>
      <c r="AVU146" s="1251"/>
      <c r="AVV146" s="1251"/>
      <c r="AVW146" s="1251"/>
      <c r="AVX146" s="1251"/>
      <c r="AVY146" s="1251"/>
      <c r="AVZ146" s="1251"/>
      <c r="AWA146" s="1251"/>
      <c r="AWB146" s="1251"/>
      <c r="AWC146" s="1251"/>
      <c r="AWD146" s="1251"/>
      <c r="AWE146" s="1251"/>
      <c r="AWF146" s="1251"/>
      <c r="AWG146" s="1251"/>
      <c r="AWH146" s="1251"/>
      <c r="AWI146" s="1251"/>
      <c r="AWJ146" s="1251"/>
      <c r="AWK146" s="1251"/>
      <c r="AWL146" s="1251"/>
      <c r="AWM146" s="1251"/>
      <c r="AWN146" s="1251"/>
      <c r="AWO146" s="1251"/>
      <c r="AWP146" s="1251"/>
      <c r="AWQ146" s="1251"/>
      <c r="AWR146" s="1251"/>
      <c r="AWS146" s="1251"/>
      <c r="AWT146" s="1251"/>
      <c r="AWU146" s="1251"/>
      <c r="AWV146" s="1251"/>
      <c r="AWW146" s="1251"/>
      <c r="AWX146" s="1251"/>
      <c r="AWY146" s="1251"/>
      <c r="AWZ146" s="1251"/>
      <c r="AXA146" s="1251"/>
      <c r="AXB146" s="1251"/>
      <c r="AXC146" s="1251"/>
      <c r="AXD146" s="1251"/>
      <c r="AXE146" s="1251"/>
      <c r="AXF146" s="1251"/>
      <c r="AXG146" s="1251"/>
      <c r="AXH146" s="1251"/>
      <c r="AXI146" s="1251"/>
      <c r="AXJ146" s="1251"/>
      <c r="AXK146" s="1251"/>
      <c r="AXL146" s="1251"/>
      <c r="AXM146" s="1251"/>
      <c r="AXN146" s="1251"/>
      <c r="AXO146" s="1251"/>
      <c r="AXP146" s="1251"/>
      <c r="AXQ146" s="1251"/>
      <c r="AXR146" s="1251"/>
      <c r="AXS146" s="1251"/>
      <c r="AXT146" s="1251"/>
      <c r="AXU146" s="1251"/>
      <c r="AXV146" s="1251"/>
      <c r="AXW146" s="1251"/>
      <c r="AXX146" s="1251"/>
      <c r="AXY146" s="1251"/>
      <c r="AXZ146" s="1251"/>
      <c r="AYA146" s="1251"/>
      <c r="AYB146" s="1251"/>
      <c r="AYC146" s="1251"/>
      <c r="AYD146" s="1251"/>
      <c r="AYE146" s="1251"/>
      <c r="AYF146" s="1251"/>
      <c r="AYG146" s="1251"/>
      <c r="AYH146" s="1251"/>
      <c r="AYI146" s="1251"/>
      <c r="AYJ146" s="1251"/>
      <c r="AYK146" s="1251"/>
      <c r="AYL146" s="1251"/>
      <c r="AYM146" s="1251"/>
      <c r="AYN146" s="1251"/>
      <c r="AYO146" s="1251"/>
      <c r="AYP146" s="1251"/>
      <c r="AYQ146" s="1251"/>
      <c r="AYR146" s="1251"/>
      <c r="AYS146" s="1251"/>
      <c r="AYT146" s="1251"/>
      <c r="AYU146" s="1251"/>
      <c r="AYV146" s="1251"/>
      <c r="AYW146" s="1251"/>
      <c r="AYX146" s="1251"/>
      <c r="AYY146" s="1251"/>
      <c r="AYZ146" s="1251"/>
      <c r="AZA146" s="1251"/>
      <c r="AZB146" s="1251"/>
      <c r="AZC146" s="1251"/>
      <c r="AZD146" s="1251"/>
      <c r="AZE146" s="1251"/>
      <c r="AZF146" s="1251"/>
      <c r="AZG146" s="1251"/>
      <c r="AZH146" s="1251"/>
      <c r="AZI146" s="1251"/>
      <c r="AZJ146" s="1251"/>
      <c r="AZK146" s="1251"/>
      <c r="AZL146" s="1251"/>
      <c r="AZM146" s="1251"/>
      <c r="AZN146" s="1251"/>
      <c r="AZO146" s="1251"/>
      <c r="AZP146" s="1251"/>
      <c r="AZQ146" s="1251"/>
      <c r="AZR146" s="1251"/>
      <c r="AZS146" s="1251"/>
      <c r="AZT146" s="1251"/>
      <c r="AZU146" s="1251"/>
      <c r="AZV146" s="1251"/>
      <c r="AZW146" s="1251"/>
      <c r="AZX146" s="1251"/>
      <c r="AZY146" s="1251"/>
      <c r="AZZ146" s="1251"/>
      <c r="BAA146" s="1251"/>
      <c r="BAB146" s="1251"/>
      <c r="BAC146" s="1251"/>
      <c r="BAD146" s="1251"/>
      <c r="BAE146" s="1251"/>
      <c r="BAF146" s="1251"/>
      <c r="BAG146" s="1251"/>
      <c r="BAH146" s="1251"/>
      <c r="BAI146" s="1251"/>
      <c r="BAJ146" s="1251"/>
      <c r="BAK146" s="1251"/>
      <c r="BAL146" s="1251"/>
      <c r="BAM146" s="1251"/>
      <c r="BAN146" s="1251"/>
      <c r="BAO146" s="1251"/>
      <c r="BAP146" s="1251"/>
      <c r="BAQ146" s="1251"/>
      <c r="BAR146" s="1251"/>
      <c r="BAS146" s="1251"/>
      <c r="BAT146" s="1251"/>
      <c r="BAU146" s="1251"/>
      <c r="BAV146" s="1251"/>
      <c r="BAW146" s="1251"/>
      <c r="BAX146" s="1251"/>
      <c r="BAY146" s="1251"/>
      <c r="BAZ146" s="1251"/>
      <c r="BBA146" s="1251"/>
      <c r="BBB146" s="1251"/>
      <c r="BBC146" s="1251"/>
      <c r="BBD146" s="1251"/>
      <c r="BBE146" s="1251"/>
      <c r="BBF146" s="1251"/>
      <c r="BBG146" s="1251"/>
      <c r="BBH146" s="1251"/>
      <c r="BBI146" s="1251"/>
      <c r="BBJ146" s="1251"/>
      <c r="BBK146" s="1251"/>
      <c r="BBL146" s="1251"/>
      <c r="BBM146" s="1251"/>
      <c r="BBN146" s="1251"/>
      <c r="BBO146" s="1251"/>
      <c r="BBP146" s="1251"/>
      <c r="BBQ146" s="1251"/>
      <c r="BBR146" s="1251"/>
      <c r="BBS146" s="1251"/>
      <c r="BBT146" s="1251"/>
      <c r="BBU146" s="1251"/>
      <c r="BBV146" s="1251"/>
      <c r="BBW146" s="1251"/>
      <c r="BBX146" s="1251"/>
      <c r="BBY146" s="1251"/>
      <c r="BBZ146" s="1251"/>
      <c r="BCA146" s="1251"/>
      <c r="BCB146" s="1251"/>
      <c r="BCC146" s="1251"/>
      <c r="BCD146" s="1251"/>
      <c r="BCE146" s="1251"/>
      <c r="BCF146" s="1251"/>
      <c r="BCG146" s="1251"/>
      <c r="BCH146" s="1251"/>
      <c r="BCI146" s="1251"/>
      <c r="BCJ146" s="1251"/>
      <c r="BCK146" s="1251"/>
      <c r="BCL146" s="1251"/>
      <c r="BCM146" s="1251"/>
      <c r="BCN146" s="1251"/>
      <c r="BCO146" s="1251"/>
      <c r="BCP146" s="1251"/>
      <c r="BCQ146" s="1251"/>
      <c r="BCR146" s="1251"/>
      <c r="BCS146" s="1251"/>
      <c r="BCT146" s="1251"/>
      <c r="BCU146" s="1251"/>
      <c r="BCV146" s="1251"/>
      <c r="BCW146" s="1251"/>
      <c r="BCX146" s="1251"/>
      <c r="BCY146" s="1251"/>
      <c r="BCZ146" s="1251"/>
      <c r="BDA146" s="1251"/>
      <c r="BDB146" s="1251"/>
      <c r="BDC146" s="1251"/>
      <c r="BDD146" s="1251"/>
      <c r="BDE146" s="1251"/>
      <c r="BDF146" s="1251"/>
      <c r="BDG146" s="1251"/>
      <c r="BDH146" s="1251"/>
      <c r="BDI146" s="1251"/>
      <c r="BDJ146" s="1251"/>
      <c r="BDK146" s="1251"/>
      <c r="BDL146" s="1251"/>
      <c r="BDM146" s="1251"/>
      <c r="BDN146" s="1251"/>
      <c r="BDO146" s="1251"/>
      <c r="BDP146" s="1251"/>
      <c r="BDQ146" s="1251"/>
      <c r="BDR146" s="1251"/>
      <c r="BDS146" s="1251"/>
      <c r="BDT146" s="1251"/>
      <c r="BDU146" s="1251"/>
      <c r="BDV146" s="1251"/>
      <c r="BDW146" s="1251"/>
      <c r="BDX146" s="1251"/>
      <c r="BDY146" s="1251"/>
      <c r="BDZ146" s="1251"/>
      <c r="BEA146" s="1251"/>
      <c r="BEB146" s="1251"/>
      <c r="BEC146" s="1251"/>
      <c r="BED146" s="1251"/>
      <c r="BEE146" s="1251"/>
      <c r="BEF146" s="1251"/>
      <c r="BEG146" s="1251"/>
      <c r="BEH146" s="1251"/>
      <c r="BEI146" s="1251"/>
      <c r="BEJ146" s="1251"/>
      <c r="BEK146" s="1251"/>
      <c r="BEL146" s="1251"/>
      <c r="BEM146" s="1251"/>
      <c r="BEN146" s="1251"/>
      <c r="BEO146" s="1251"/>
      <c r="BEP146" s="1251"/>
      <c r="BEQ146" s="1251"/>
      <c r="BER146" s="1251"/>
      <c r="BES146" s="1251"/>
      <c r="BET146" s="1251"/>
      <c r="BEU146" s="1251"/>
      <c r="BEV146" s="1251"/>
      <c r="BEW146" s="1251"/>
      <c r="BEX146" s="1251"/>
      <c r="BEY146" s="1251"/>
      <c r="BEZ146" s="1251"/>
      <c r="BFA146" s="1251"/>
      <c r="BFB146" s="1251"/>
      <c r="BFC146" s="1251"/>
      <c r="BFD146" s="1251"/>
      <c r="BFE146" s="1251"/>
      <c r="BFF146" s="1251"/>
      <c r="BFG146" s="1251"/>
      <c r="BFH146" s="1251"/>
      <c r="BFI146" s="1251"/>
      <c r="BFJ146" s="1251"/>
      <c r="BFK146" s="1251"/>
      <c r="BFL146" s="1251"/>
      <c r="BFM146" s="1251"/>
      <c r="BFN146" s="1251"/>
      <c r="BFO146" s="1251"/>
      <c r="BFP146" s="1251"/>
      <c r="BFQ146" s="1251"/>
      <c r="BFR146" s="1251"/>
      <c r="BFS146" s="1251"/>
      <c r="BFT146" s="1251"/>
      <c r="BFU146" s="1251"/>
      <c r="BFV146" s="1251"/>
      <c r="BFW146" s="1251"/>
      <c r="BFX146" s="1251"/>
      <c r="BFY146" s="1251"/>
      <c r="BFZ146" s="1251"/>
      <c r="BGA146" s="1251"/>
      <c r="BGB146" s="1251"/>
      <c r="BGC146" s="1251"/>
      <c r="BGD146" s="1251"/>
      <c r="BGE146" s="1251"/>
      <c r="BGF146" s="1251"/>
      <c r="BGG146" s="1251"/>
      <c r="BGH146" s="1251"/>
      <c r="BGI146" s="1251"/>
      <c r="BGJ146" s="1251"/>
      <c r="BGK146" s="1251"/>
      <c r="BGL146" s="1251"/>
      <c r="BGM146" s="1251"/>
      <c r="BGN146" s="1251"/>
      <c r="BGO146" s="1251"/>
      <c r="BGP146" s="1251"/>
      <c r="BGQ146" s="1251"/>
      <c r="BGR146" s="1251"/>
      <c r="BGS146" s="1251"/>
      <c r="BGT146" s="1251"/>
      <c r="BGU146" s="1251"/>
      <c r="BGV146" s="1251"/>
      <c r="BGW146" s="1251"/>
      <c r="BGX146" s="1251"/>
      <c r="BGY146" s="1251"/>
      <c r="BGZ146" s="1251"/>
      <c r="BHA146" s="1251"/>
      <c r="BHB146" s="1251"/>
      <c r="BHC146" s="1251"/>
      <c r="BHD146" s="1251"/>
      <c r="BHE146" s="1251"/>
      <c r="BHF146" s="1251"/>
      <c r="BHG146" s="1251"/>
      <c r="BHH146" s="1251"/>
      <c r="BHI146" s="1251"/>
      <c r="BHJ146" s="1251"/>
      <c r="BHK146" s="1251"/>
      <c r="BHL146" s="1251"/>
      <c r="BHM146" s="1251"/>
      <c r="BHN146" s="1251"/>
      <c r="BHO146" s="1251"/>
      <c r="BHP146" s="1251"/>
      <c r="BHQ146" s="1251"/>
      <c r="BHR146" s="1251"/>
      <c r="BHS146" s="1251"/>
      <c r="BHT146" s="1251"/>
      <c r="BHU146" s="1251"/>
      <c r="BHV146" s="1251"/>
      <c r="BHW146" s="1251"/>
      <c r="BHX146" s="1251"/>
      <c r="BHY146" s="1251"/>
      <c r="BHZ146" s="1251"/>
      <c r="BIA146" s="1251"/>
      <c r="BIB146" s="1251"/>
      <c r="BIC146" s="1251"/>
      <c r="BID146" s="1251"/>
      <c r="BIE146" s="1251"/>
      <c r="BIF146" s="1251"/>
      <c r="BIG146" s="1251"/>
      <c r="BIH146" s="1251"/>
      <c r="BII146" s="1251"/>
      <c r="BIJ146" s="1251"/>
      <c r="BIK146" s="1251"/>
      <c r="BIL146" s="1251"/>
      <c r="BIM146" s="1251"/>
      <c r="BIN146" s="1251"/>
      <c r="BIO146" s="1251"/>
      <c r="BIP146" s="1251"/>
      <c r="BIQ146" s="1251"/>
      <c r="BIR146" s="1251"/>
      <c r="BIS146" s="1251"/>
      <c r="BIT146" s="1251"/>
      <c r="BIU146" s="1251"/>
      <c r="BIV146" s="1251"/>
      <c r="BIW146" s="1251"/>
      <c r="BIX146" s="1251"/>
      <c r="BIY146" s="1251"/>
      <c r="BIZ146" s="1251"/>
      <c r="BJA146" s="1251"/>
      <c r="BJB146" s="1251"/>
      <c r="BJC146" s="1251"/>
      <c r="BJD146" s="1251"/>
      <c r="BJE146" s="1251"/>
      <c r="BJF146" s="1251"/>
      <c r="BJG146" s="1251"/>
      <c r="BJH146" s="1251"/>
      <c r="BJI146" s="1251"/>
      <c r="BJJ146" s="1251"/>
      <c r="BJK146" s="1251"/>
      <c r="BJL146" s="1251"/>
      <c r="BJM146" s="1251"/>
      <c r="BJN146" s="1251"/>
      <c r="BJO146" s="1251"/>
      <c r="BJP146" s="1251"/>
      <c r="BJQ146" s="1251"/>
      <c r="BJR146" s="1251"/>
      <c r="BJS146" s="1251"/>
      <c r="BJT146" s="1251"/>
      <c r="BJU146" s="1251"/>
      <c r="BJV146" s="1251"/>
      <c r="BJW146" s="1251"/>
      <c r="BJX146" s="1251"/>
      <c r="BJY146" s="1251"/>
      <c r="BJZ146" s="1251"/>
      <c r="BKA146" s="1251"/>
      <c r="BKB146" s="1251"/>
      <c r="BKC146" s="1251"/>
      <c r="BKD146" s="1251"/>
      <c r="BKE146" s="1251"/>
      <c r="BKF146" s="1251"/>
      <c r="BKG146" s="1251"/>
      <c r="BKH146" s="1251"/>
      <c r="BKI146" s="1251"/>
      <c r="BKJ146" s="1251"/>
      <c r="BKK146" s="1251"/>
      <c r="BKL146" s="1251"/>
      <c r="BKM146" s="1251"/>
      <c r="BKN146" s="1251"/>
      <c r="BKO146" s="1251"/>
      <c r="BKP146" s="1251"/>
      <c r="BKQ146" s="1251"/>
      <c r="BKR146" s="1251"/>
      <c r="BKS146" s="1251"/>
      <c r="BKT146" s="1251"/>
      <c r="BKU146" s="1251"/>
      <c r="BKV146" s="1251"/>
      <c r="BKW146" s="1251"/>
      <c r="BKX146" s="1251"/>
      <c r="BKY146" s="1251"/>
      <c r="BKZ146" s="1251"/>
      <c r="BLA146" s="1251"/>
      <c r="BLB146" s="1251"/>
      <c r="BLC146" s="1251"/>
      <c r="BLD146" s="1251"/>
      <c r="BLE146" s="1251"/>
      <c r="BLF146" s="1251"/>
      <c r="BLG146" s="1251"/>
      <c r="BLH146" s="1251"/>
      <c r="BLI146" s="1251"/>
      <c r="BLJ146" s="1251"/>
      <c r="BLK146" s="1251"/>
      <c r="BLL146" s="1251"/>
      <c r="BLM146" s="1251"/>
      <c r="BLN146" s="1251"/>
      <c r="BLO146" s="1251"/>
      <c r="BLP146" s="1251"/>
      <c r="BLQ146" s="1251"/>
      <c r="BLR146" s="1251"/>
      <c r="BLS146" s="1251"/>
      <c r="BLT146" s="1251"/>
      <c r="BLU146" s="1251"/>
      <c r="BLV146" s="1251"/>
      <c r="BLW146" s="1251"/>
      <c r="BLX146" s="1251"/>
      <c r="BLY146" s="1251"/>
      <c r="BLZ146" s="1251"/>
      <c r="BMA146" s="1251"/>
      <c r="BMB146" s="1251"/>
      <c r="BMC146" s="1251"/>
      <c r="BMD146" s="1251"/>
      <c r="BME146" s="1251"/>
      <c r="BMF146" s="1251"/>
      <c r="BMG146" s="1251"/>
      <c r="BMH146" s="1251"/>
      <c r="BMI146" s="1251"/>
      <c r="BMJ146" s="1251"/>
      <c r="BMK146" s="1251"/>
      <c r="BML146" s="1251"/>
      <c r="BMM146" s="1251"/>
      <c r="BMN146" s="1251"/>
      <c r="BMO146" s="1251"/>
      <c r="BMP146" s="1251"/>
      <c r="BMQ146" s="1251"/>
      <c r="BMR146" s="1251"/>
      <c r="BMS146" s="1251"/>
      <c r="BMT146" s="1251"/>
      <c r="BMU146" s="1251"/>
      <c r="BMV146" s="1251"/>
      <c r="BMW146" s="1251"/>
      <c r="BMX146" s="1251"/>
      <c r="BMY146" s="1251"/>
      <c r="BMZ146" s="1251"/>
      <c r="BNA146" s="1251"/>
      <c r="BNB146" s="1251"/>
      <c r="BNC146" s="1251"/>
      <c r="BND146" s="1251"/>
      <c r="BNE146" s="1251"/>
      <c r="BNF146" s="1251"/>
      <c r="BNG146" s="1251"/>
      <c r="BNH146" s="1251"/>
      <c r="BNI146" s="1251"/>
      <c r="BNJ146" s="1251"/>
      <c r="BNK146" s="1251"/>
      <c r="BNL146" s="1251"/>
      <c r="BNM146" s="1251"/>
      <c r="BNN146" s="1251"/>
      <c r="BNO146" s="1251"/>
      <c r="BNP146" s="1251"/>
      <c r="BNQ146" s="1251"/>
      <c r="BNR146" s="1251"/>
      <c r="BNS146" s="1251"/>
      <c r="BNT146" s="1251"/>
      <c r="BNU146" s="1251"/>
      <c r="BNV146" s="1251"/>
      <c r="BNW146" s="1251"/>
      <c r="BNX146" s="1251"/>
      <c r="BNY146" s="1251"/>
      <c r="BNZ146" s="1251"/>
      <c r="BOA146" s="1251"/>
      <c r="BOB146" s="1251"/>
      <c r="BOC146" s="1251"/>
      <c r="BOD146" s="1251"/>
      <c r="BOE146" s="1251"/>
      <c r="BOF146" s="1251"/>
      <c r="BOG146" s="1251"/>
      <c r="BOH146" s="1251"/>
      <c r="BOI146" s="1251"/>
      <c r="BOJ146" s="1251"/>
      <c r="BOK146" s="1251"/>
      <c r="BOL146" s="1251"/>
      <c r="BOM146" s="1251"/>
      <c r="BON146" s="1251"/>
      <c r="BOO146" s="1251"/>
      <c r="BOP146" s="1251"/>
      <c r="BOQ146" s="1251"/>
      <c r="BOR146" s="1251"/>
      <c r="BOS146" s="1251"/>
      <c r="BOT146" s="1251"/>
      <c r="BOU146" s="1251"/>
      <c r="BOV146" s="1251"/>
      <c r="BOW146" s="1251"/>
      <c r="BOX146" s="1251"/>
      <c r="BOY146" s="1251"/>
      <c r="BOZ146" s="1251"/>
      <c r="BPA146" s="1251"/>
      <c r="BPB146" s="1251"/>
      <c r="BPC146" s="1251"/>
      <c r="BPD146" s="1251"/>
      <c r="BPE146" s="1251"/>
      <c r="BPF146" s="1251"/>
      <c r="BPG146" s="1251"/>
      <c r="BPH146" s="1251"/>
      <c r="BPI146" s="1251"/>
      <c r="BPJ146" s="1251"/>
      <c r="BPK146" s="1251"/>
      <c r="BPL146" s="1251"/>
      <c r="BPM146" s="1251"/>
      <c r="BPN146" s="1251"/>
      <c r="BPO146" s="1251"/>
      <c r="BPP146" s="1251"/>
      <c r="BPQ146" s="1251"/>
      <c r="BPR146" s="1251"/>
      <c r="BPS146" s="1251"/>
      <c r="BPT146" s="1251"/>
      <c r="BPU146" s="1251"/>
      <c r="BPV146" s="1251"/>
      <c r="BPW146" s="1251"/>
      <c r="BPX146" s="1251"/>
      <c r="BPY146" s="1251"/>
      <c r="BPZ146" s="1251"/>
      <c r="BQA146" s="1251"/>
      <c r="BQB146" s="1251"/>
      <c r="BQC146" s="1251"/>
      <c r="BQD146" s="1251"/>
      <c r="BQE146" s="1251"/>
      <c r="BQF146" s="1251"/>
      <c r="BQG146" s="1251"/>
      <c r="BQH146" s="1251"/>
      <c r="BQI146" s="1251"/>
      <c r="BQJ146" s="1251"/>
      <c r="BQK146" s="1251"/>
      <c r="BQL146" s="1251"/>
      <c r="BQM146" s="1251"/>
      <c r="BQN146" s="1251"/>
      <c r="BQO146" s="1251"/>
      <c r="BQP146" s="1251"/>
      <c r="BQQ146" s="1251"/>
      <c r="BQR146" s="1251"/>
      <c r="BQS146" s="1251"/>
      <c r="BQT146" s="1251"/>
      <c r="BQU146" s="1251"/>
      <c r="BQV146" s="1251"/>
      <c r="BQW146" s="1251"/>
      <c r="BQX146" s="1251"/>
      <c r="BQY146" s="1251"/>
      <c r="BQZ146" s="1251"/>
      <c r="BRA146" s="1251"/>
      <c r="BRB146" s="1251"/>
      <c r="BRC146" s="1251"/>
      <c r="BRD146" s="1251"/>
      <c r="BRE146" s="1251"/>
      <c r="BRF146" s="1251"/>
      <c r="BRG146" s="1251"/>
      <c r="BRH146" s="1251"/>
      <c r="BRI146" s="1251"/>
      <c r="BRJ146" s="1251"/>
      <c r="BRK146" s="1251"/>
      <c r="BRL146" s="1251"/>
      <c r="BRM146" s="1251"/>
      <c r="BRN146" s="1251"/>
      <c r="BRO146" s="1251"/>
      <c r="BRP146" s="1251"/>
      <c r="BRQ146" s="1251"/>
      <c r="BRR146" s="1251"/>
      <c r="BRS146" s="1251"/>
      <c r="BRT146" s="1251"/>
      <c r="BRU146" s="1251"/>
      <c r="BRV146" s="1251"/>
      <c r="BRW146" s="1251"/>
      <c r="BRX146" s="1251"/>
      <c r="BRY146" s="1251"/>
      <c r="BRZ146" s="1251"/>
      <c r="BSA146" s="1251"/>
      <c r="BSB146" s="1251"/>
      <c r="BSC146" s="1251"/>
      <c r="BSD146" s="1251"/>
      <c r="BSE146" s="1251"/>
      <c r="BSF146" s="1251"/>
      <c r="BSG146" s="1251"/>
      <c r="BSH146" s="1251"/>
      <c r="BSI146" s="1251"/>
      <c r="BSJ146" s="1251"/>
      <c r="BSK146" s="1251"/>
      <c r="BSL146" s="1251"/>
      <c r="BSM146" s="1251"/>
      <c r="BSN146" s="1251"/>
      <c r="BSO146" s="1251"/>
      <c r="BSP146" s="1251"/>
      <c r="BSQ146" s="1251"/>
      <c r="BSR146" s="1251"/>
      <c r="BSS146" s="1251"/>
      <c r="BST146" s="1251"/>
      <c r="BSU146" s="1251"/>
      <c r="BSV146" s="1251"/>
      <c r="BSW146" s="1251"/>
      <c r="BSX146" s="1251"/>
      <c r="BSY146" s="1251"/>
      <c r="BSZ146" s="1251"/>
      <c r="BTA146" s="1251"/>
      <c r="BTB146" s="1251"/>
      <c r="BTC146" s="1251"/>
      <c r="BTD146" s="1251"/>
      <c r="BTE146" s="1251"/>
      <c r="BTF146" s="1251"/>
      <c r="BTG146" s="1251"/>
      <c r="BTH146" s="1251"/>
      <c r="BTI146" s="1251"/>
    </row>
    <row r="147" spans="1:1881" s="1261" customFormat="1" ht="61.5" hidden="1" customHeight="1" x14ac:dyDescent="0.3">
      <c r="A147" s="1248">
        <v>349</v>
      </c>
      <c r="B147" s="659" t="s">
        <v>62</v>
      </c>
      <c r="C147" s="659" t="s">
        <v>1385</v>
      </c>
      <c r="D147" s="29" t="s">
        <v>153</v>
      </c>
      <c r="E147" s="1249" t="e">
        <f>HLOOKUP($D$2,'2020 Data(H)'!$C$1:$CZ$426,113,FALSE)</f>
        <v>#N/A</v>
      </c>
      <c r="F147" s="1263">
        <v>0</v>
      </c>
      <c r="G147" s="727" t="str">
        <f>IF(F140&gt;F147,"Error: Please review accts 633&gt;349","")</f>
        <v/>
      </c>
      <c r="H147" s="17"/>
      <c r="I147" s="760"/>
      <c r="J147" s="1251"/>
      <c r="K147" s="1251"/>
      <c r="L147" s="1251"/>
      <c r="M147" s="1251"/>
      <c r="N147" s="1253"/>
      <c r="O147" s="1251"/>
      <c r="P147" s="1251"/>
      <c r="Q147" s="1251"/>
      <c r="R147" s="1251"/>
      <c r="S147" s="1251"/>
      <c r="T147" s="1251"/>
      <c r="U147" s="1251"/>
      <c r="V147" s="1251"/>
      <c r="W147" s="1251"/>
      <c r="X147" s="1251"/>
      <c r="Y147" s="1251"/>
      <c r="Z147" s="1248"/>
      <c r="AA147" s="1248"/>
      <c r="AB147" s="1248"/>
      <c r="AC147" s="1248"/>
      <c r="AD147" s="1248"/>
      <c r="AE147" s="1248"/>
      <c r="AF147" s="1248"/>
      <c r="AG147" s="1248"/>
      <c r="AH147" s="1248"/>
      <c r="AI147" s="1248"/>
      <c r="AJ147" s="1248"/>
      <c r="AK147" s="1248"/>
      <c r="AL147" s="1248"/>
      <c r="AM147" s="1248"/>
      <c r="AN147" s="1248"/>
      <c r="AO147" s="1248"/>
      <c r="AP147" s="1248"/>
      <c r="AQ147" s="1248"/>
      <c r="AR147" s="1248"/>
      <c r="AS147" s="1251"/>
      <c r="AT147" s="1251"/>
      <c r="AU147" s="1251"/>
      <c r="AV147" s="1251"/>
      <c r="AW147" s="1251"/>
      <c r="AX147" s="1251"/>
      <c r="AY147" s="1251"/>
      <c r="AZ147" s="1251"/>
      <c r="BA147" s="1251"/>
      <c r="BB147" s="1251"/>
      <c r="BC147" s="1251"/>
      <c r="BD147" s="1251"/>
      <c r="BE147" s="1251"/>
      <c r="BF147" s="1251"/>
      <c r="BG147" s="1251"/>
      <c r="BH147" s="1251"/>
      <c r="BI147" s="1251"/>
      <c r="BJ147" s="1251"/>
      <c r="BK147" s="1251"/>
      <c r="BL147" s="1251"/>
      <c r="BM147" s="1251"/>
      <c r="BN147" s="1251"/>
      <c r="BO147" s="1251"/>
      <c r="BP147" s="1251"/>
      <c r="BQ147" s="1251"/>
      <c r="BR147" s="1251"/>
      <c r="BS147" s="1251"/>
      <c r="BT147" s="1251"/>
      <c r="BU147" s="1251"/>
      <c r="BV147" s="1251"/>
      <c r="BW147" s="1251"/>
      <c r="BX147" s="1251"/>
      <c r="BY147" s="1251"/>
      <c r="BZ147" s="1251"/>
      <c r="CA147" s="1251"/>
      <c r="CB147" s="1251"/>
      <c r="CC147" s="1251"/>
      <c r="CD147" s="1251"/>
      <c r="CE147" s="1251"/>
      <c r="CF147" s="1251"/>
      <c r="CG147" s="1251"/>
      <c r="CH147" s="1251"/>
      <c r="CI147" s="1251"/>
      <c r="CJ147" s="1251"/>
      <c r="CK147" s="1251"/>
      <c r="CL147" s="1251"/>
      <c r="CM147" s="1251"/>
      <c r="CN147" s="1251"/>
      <c r="CO147" s="1251"/>
      <c r="CP147" s="1251"/>
      <c r="CQ147" s="1251"/>
      <c r="CR147" s="1251"/>
      <c r="CS147" s="1251"/>
      <c r="CT147" s="1251"/>
      <c r="CU147" s="1251"/>
      <c r="CV147" s="1251"/>
      <c r="CW147" s="1251"/>
      <c r="CX147" s="1251"/>
      <c r="CY147" s="1251"/>
      <c r="CZ147" s="1251"/>
      <c r="DA147" s="1251"/>
      <c r="DB147" s="1251"/>
      <c r="DC147" s="1251"/>
      <c r="DD147" s="1251"/>
      <c r="DE147" s="1251"/>
      <c r="DF147" s="1251"/>
      <c r="DG147" s="1251"/>
      <c r="DH147" s="1251"/>
      <c r="DI147" s="1251"/>
      <c r="DJ147" s="1251"/>
      <c r="DK147" s="1251"/>
      <c r="DL147" s="1251"/>
      <c r="DM147" s="1251"/>
      <c r="DN147" s="1251"/>
      <c r="DO147" s="1251"/>
      <c r="DP147" s="1251"/>
      <c r="DQ147" s="1251"/>
      <c r="DR147" s="1251"/>
      <c r="DS147" s="1251"/>
      <c r="DT147" s="1251"/>
      <c r="DU147" s="1251"/>
      <c r="DV147" s="1251"/>
      <c r="DW147" s="1251"/>
      <c r="DX147" s="1251"/>
      <c r="DY147" s="1251"/>
      <c r="DZ147" s="1251"/>
      <c r="EA147" s="1251"/>
      <c r="EB147" s="1251"/>
      <c r="EC147" s="1251"/>
      <c r="ED147" s="1251"/>
      <c r="EE147" s="1251"/>
      <c r="EF147" s="1251"/>
      <c r="EG147" s="1251"/>
      <c r="EH147" s="1251"/>
      <c r="EI147" s="1251"/>
      <c r="EJ147" s="1251"/>
      <c r="EK147" s="1251"/>
      <c r="EL147" s="1251"/>
      <c r="EM147" s="1251"/>
      <c r="EN147" s="1251"/>
      <c r="EO147" s="1251"/>
      <c r="EP147" s="1251"/>
      <c r="EQ147" s="1251"/>
      <c r="ER147" s="1251"/>
      <c r="ES147" s="1251"/>
      <c r="ET147" s="1251"/>
      <c r="EU147" s="1251"/>
      <c r="EV147" s="1251"/>
      <c r="EW147" s="1251"/>
      <c r="EX147" s="1251"/>
      <c r="EY147" s="1251"/>
      <c r="EZ147" s="1251"/>
      <c r="FA147" s="1251"/>
      <c r="FB147" s="1251"/>
      <c r="FC147" s="1251"/>
      <c r="FD147" s="1251"/>
      <c r="FE147" s="1251"/>
      <c r="FF147" s="1251"/>
      <c r="FG147" s="1251"/>
      <c r="FH147" s="1251"/>
      <c r="FI147" s="1251"/>
      <c r="FJ147" s="1251"/>
      <c r="FK147" s="1251"/>
      <c r="FL147" s="1251"/>
      <c r="FM147" s="1251"/>
      <c r="FN147" s="1251"/>
      <c r="FO147" s="1251"/>
      <c r="FP147" s="1251"/>
      <c r="FQ147" s="1251"/>
      <c r="FR147" s="1251"/>
      <c r="FS147" s="1251"/>
      <c r="FT147" s="1251"/>
      <c r="FU147" s="1251"/>
      <c r="FV147" s="1251"/>
      <c r="FW147" s="1251"/>
      <c r="FX147" s="1251"/>
      <c r="FY147" s="1251"/>
      <c r="FZ147" s="1251"/>
      <c r="GA147" s="1251"/>
      <c r="GB147" s="1251"/>
      <c r="GC147" s="1251"/>
      <c r="GD147" s="1251"/>
      <c r="GE147" s="1251"/>
      <c r="GF147" s="1251"/>
      <c r="GG147" s="1251"/>
      <c r="GH147" s="1251"/>
      <c r="GI147" s="1251"/>
      <c r="GJ147" s="1251"/>
      <c r="GK147" s="1251"/>
      <c r="GL147" s="1251"/>
      <c r="GM147" s="1251"/>
      <c r="GN147" s="1251"/>
      <c r="GO147" s="1251"/>
      <c r="GP147" s="1251"/>
      <c r="GQ147" s="1251"/>
      <c r="GR147" s="1251"/>
      <c r="GS147" s="1251"/>
      <c r="GT147" s="1251"/>
      <c r="GU147" s="1251"/>
      <c r="GV147" s="1251"/>
      <c r="GW147" s="1251"/>
      <c r="GX147" s="1251"/>
      <c r="GY147" s="1251"/>
      <c r="GZ147" s="1251"/>
      <c r="HA147" s="1251"/>
      <c r="HB147" s="1251"/>
      <c r="HC147" s="1251"/>
      <c r="HD147" s="1251"/>
      <c r="HE147" s="1251"/>
      <c r="HF147" s="1251"/>
      <c r="HG147" s="1251"/>
      <c r="HH147" s="1251"/>
      <c r="HI147" s="1251"/>
      <c r="HJ147" s="1251"/>
      <c r="HK147" s="1251"/>
      <c r="HL147" s="1251"/>
      <c r="HM147" s="1251"/>
      <c r="HN147" s="1251"/>
      <c r="HO147" s="1251"/>
      <c r="HP147" s="1251"/>
      <c r="HQ147" s="1251"/>
      <c r="HR147" s="1251"/>
      <c r="HS147" s="1251"/>
      <c r="HT147" s="1251"/>
      <c r="HU147" s="1251"/>
      <c r="HV147" s="1251"/>
      <c r="HW147" s="1251"/>
      <c r="HX147" s="1251"/>
      <c r="HY147" s="1251"/>
      <c r="HZ147" s="1251"/>
      <c r="IA147" s="1251"/>
      <c r="IB147" s="1251"/>
      <c r="IC147" s="1251"/>
      <c r="ID147" s="1251"/>
      <c r="IE147" s="1251"/>
      <c r="IF147" s="1251"/>
      <c r="IG147" s="1251"/>
      <c r="IH147" s="1251"/>
      <c r="II147" s="1251"/>
      <c r="IJ147" s="1251"/>
      <c r="IK147" s="1251"/>
      <c r="IL147" s="1251"/>
      <c r="IM147" s="1251"/>
      <c r="IN147" s="1251"/>
      <c r="IO147" s="1251"/>
      <c r="IP147" s="1251"/>
      <c r="IQ147" s="1251"/>
      <c r="IR147" s="1251"/>
      <c r="IS147" s="1251"/>
      <c r="IT147" s="1251"/>
      <c r="IU147" s="1251"/>
      <c r="IV147" s="1251"/>
      <c r="IW147" s="1251"/>
      <c r="IX147" s="1251"/>
      <c r="IY147" s="1251"/>
      <c r="IZ147" s="1251"/>
      <c r="JA147" s="1251"/>
      <c r="JB147" s="1251"/>
      <c r="JC147" s="1251"/>
      <c r="JD147" s="1251"/>
      <c r="JE147" s="1251"/>
      <c r="JF147" s="1251"/>
      <c r="JG147" s="1251"/>
      <c r="JH147" s="1251"/>
      <c r="JI147" s="1251"/>
      <c r="JJ147" s="1251"/>
      <c r="JK147" s="1251"/>
      <c r="JL147" s="1251"/>
      <c r="JM147" s="1251"/>
      <c r="JN147" s="1251"/>
      <c r="JO147" s="1251"/>
      <c r="JP147" s="1251"/>
      <c r="JQ147" s="1251"/>
      <c r="JR147" s="1251"/>
      <c r="JS147" s="1251"/>
      <c r="JT147" s="1251"/>
      <c r="JU147" s="1251"/>
      <c r="JV147" s="1251"/>
      <c r="JW147" s="1251"/>
      <c r="JX147" s="1251"/>
      <c r="JY147" s="1251"/>
      <c r="JZ147" s="1251"/>
      <c r="KA147" s="1251"/>
      <c r="KB147" s="1251"/>
      <c r="KC147" s="1251"/>
      <c r="KD147" s="1251"/>
      <c r="KE147" s="1251"/>
      <c r="KF147" s="1251"/>
      <c r="KG147" s="1251"/>
      <c r="KH147" s="1251"/>
      <c r="KI147" s="1251"/>
      <c r="KJ147" s="1251"/>
      <c r="KK147" s="1251"/>
      <c r="KL147" s="1251"/>
      <c r="KM147" s="1251"/>
      <c r="KN147" s="1251"/>
      <c r="KO147" s="1251"/>
      <c r="KP147" s="1251"/>
      <c r="KQ147" s="1251"/>
      <c r="KR147" s="1251"/>
      <c r="KS147" s="1251"/>
      <c r="KT147" s="1251"/>
      <c r="KU147" s="1251"/>
      <c r="KV147" s="1251"/>
      <c r="KW147" s="1251"/>
      <c r="KX147" s="1251"/>
      <c r="KY147" s="1251"/>
      <c r="KZ147" s="1251"/>
      <c r="LA147" s="1251"/>
      <c r="LB147" s="1251"/>
      <c r="LC147" s="1251"/>
      <c r="LD147" s="1251"/>
      <c r="LE147" s="1251"/>
      <c r="LF147" s="1251"/>
      <c r="LG147" s="1251"/>
      <c r="LH147" s="1251"/>
      <c r="LI147" s="1251"/>
      <c r="LJ147" s="1251"/>
      <c r="LK147" s="1251"/>
      <c r="LL147" s="1251"/>
      <c r="LM147" s="1251"/>
      <c r="LN147" s="1251"/>
      <c r="LO147" s="1251"/>
      <c r="LP147" s="1251"/>
      <c r="LQ147" s="1251"/>
      <c r="LR147" s="1251"/>
      <c r="LS147" s="1251"/>
      <c r="LT147" s="1251"/>
      <c r="LU147" s="1251"/>
      <c r="LV147" s="1251"/>
      <c r="LW147" s="1251"/>
      <c r="LX147" s="1251"/>
      <c r="LY147" s="1251"/>
      <c r="LZ147" s="1251"/>
      <c r="MA147" s="1251"/>
      <c r="MB147" s="1251"/>
      <c r="MC147" s="1251"/>
      <c r="MD147" s="1251"/>
      <c r="ME147" s="1251"/>
      <c r="MF147" s="1251"/>
      <c r="MG147" s="1251"/>
      <c r="MH147" s="1251"/>
      <c r="MI147" s="1251"/>
      <c r="MJ147" s="1251"/>
      <c r="MK147" s="1251"/>
      <c r="ML147" s="1251"/>
      <c r="MM147" s="1251"/>
      <c r="MN147" s="1251"/>
      <c r="MO147" s="1251"/>
      <c r="MP147" s="1251"/>
      <c r="MQ147" s="1251"/>
      <c r="MR147" s="1251"/>
      <c r="MS147" s="1251"/>
      <c r="MT147" s="1251"/>
      <c r="MU147" s="1251"/>
      <c r="MV147" s="1251"/>
      <c r="MW147" s="1251"/>
      <c r="MX147" s="1251"/>
      <c r="MY147" s="1251"/>
      <c r="MZ147" s="1251"/>
      <c r="NA147" s="1251"/>
      <c r="NB147" s="1251"/>
      <c r="NC147" s="1251"/>
      <c r="ND147" s="1251"/>
      <c r="NE147" s="1251"/>
      <c r="NF147" s="1251"/>
      <c r="NG147" s="1251"/>
      <c r="NH147" s="1251"/>
      <c r="NI147" s="1251"/>
      <c r="NJ147" s="1251"/>
      <c r="NK147" s="1251"/>
      <c r="NL147" s="1251"/>
      <c r="NM147" s="1251"/>
      <c r="NN147" s="1251"/>
      <c r="NO147" s="1251"/>
      <c r="NP147" s="1251"/>
      <c r="NQ147" s="1251"/>
      <c r="NR147" s="1251"/>
      <c r="NS147" s="1251"/>
      <c r="NT147" s="1251"/>
      <c r="NU147" s="1251"/>
      <c r="NV147" s="1251"/>
      <c r="NW147" s="1251"/>
      <c r="NX147" s="1251"/>
      <c r="NY147" s="1251"/>
      <c r="NZ147" s="1251"/>
      <c r="OA147" s="1251"/>
      <c r="OB147" s="1251"/>
      <c r="OC147" s="1251"/>
      <c r="OD147" s="1251"/>
      <c r="OE147" s="1251"/>
      <c r="OF147" s="1251"/>
      <c r="OG147" s="1251"/>
      <c r="OH147" s="1251"/>
      <c r="OI147" s="1251"/>
      <c r="OJ147" s="1251"/>
      <c r="OK147" s="1251"/>
      <c r="OL147" s="1251"/>
      <c r="OM147" s="1251"/>
      <c r="ON147" s="1251"/>
      <c r="OO147" s="1251"/>
      <c r="OP147" s="1251"/>
      <c r="OQ147" s="1251"/>
      <c r="OR147" s="1251"/>
      <c r="OS147" s="1251"/>
      <c r="OT147" s="1251"/>
      <c r="OU147" s="1251"/>
      <c r="OV147" s="1251"/>
      <c r="OW147" s="1251"/>
      <c r="OX147" s="1251"/>
      <c r="OY147" s="1251"/>
      <c r="OZ147" s="1251"/>
      <c r="PA147" s="1251"/>
      <c r="PB147" s="1251"/>
      <c r="PC147" s="1251"/>
      <c r="PD147" s="1251"/>
      <c r="PE147" s="1251"/>
      <c r="PF147" s="1251"/>
      <c r="PG147" s="1251"/>
      <c r="PH147" s="1251"/>
      <c r="PI147" s="1251"/>
      <c r="PJ147" s="1251"/>
      <c r="PK147" s="1251"/>
      <c r="PL147" s="1251"/>
      <c r="PM147" s="1251"/>
      <c r="PN147" s="1251"/>
      <c r="PO147" s="1251"/>
      <c r="PP147" s="1251"/>
      <c r="PQ147" s="1251"/>
      <c r="PR147" s="1251"/>
      <c r="PS147" s="1251"/>
      <c r="PT147" s="1251"/>
      <c r="PU147" s="1251"/>
      <c r="PV147" s="1251"/>
      <c r="PW147" s="1251"/>
      <c r="PX147" s="1251"/>
      <c r="PY147" s="1251"/>
      <c r="PZ147" s="1251"/>
      <c r="QA147" s="1251"/>
      <c r="QB147" s="1251"/>
      <c r="QC147" s="1251"/>
      <c r="QD147" s="1251"/>
      <c r="QE147" s="1251"/>
      <c r="QF147" s="1251"/>
      <c r="QG147" s="1251"/>
      <c r="QH147" s="1251"/>
      <c r="QI147" s="1251"/>
      <c r="QJ147" s="1251"/>
      <c r="QK147" s="1251"/>
      <c r="QL147" s="1251"/>
      <c r="QM147" s="1251"/>
      <c r="QN147" s="1251"/>
      <c r="QO147" s="1251"/>
      <c r="QP147" s="1251"/>
      <c r="QQ147" s="1251"/>
      <c r="QR147" s="1251"/>
      <c r="QS147" s="1251"/>
      <c r="QT147" s="1251"/>
      <c r="QU147" s="1251"/>
      <c r="QV147" s="1251"/>
      <c r="QW147" s="1251"/>
      <c r="QX147" s="1251"/>
      <c r="QY147" s="1251"/>
      <c r="QZ147" s="1251"/>
      <c r="RA147" s="1251"/>
      <c r="RB147" s="1251"/>
      <c r="RC147" s="1251"/>
      <c r="RD147" s="1251"/>
      <c r="RE147" s="1251"/>
      <c r="RF147" s="1251"/>
      <c r="RG147" s="1251"/>
      <c r="RH147" s="1251"/>
      <c r="RI147" s="1251"/>
      <c r="RJ147" s="1251"/>
      <c r="RK147" s="1251"/>
      <c r="RL147" s="1251"/>
      <c r="RM147" s="1251"/>
      <c r="RN147" s="1251"/>
      <c r="RO147" s="1251"/>
      <c r="RP147" s="1251"/>
      <c r="RQ147" s="1251"/>
      <c r="RR147" s="1251"/>
      <c r="RS147" s="1251"/>
      <c r="RT147" s="1251"/>
      <c r="RU147" s="1251"/>
      <c r="RV147" s="1251"/>
      <c r="RW147" s="1251"/>
      <c r="RX147" s="1251"/>
      <c r="RY147" s="1251"/>
      <c r="RZ147" s="1251"/>
      <c r="SA147" s="1251"/>
      <c r="SB147" s="1251"/>
      <c r="SC147" s="1251"/>
      <c r="SD147" s="1251"/>
      <c r="SE147" s="1251"/>
      <c r="SF147" s="1251"/>
      <c r="SG147" s="1251"/>
      <c r="SH147" s="1251"/>
      <c r="SI147" s="1251"/>
      <c r="SJ147" s="1251"/>
      <c r="SK147" s="1251"/>
      <c r="SL147" s="1251"/>
      <c r="SM147" s="1251"/>
      <c r="SN147" s="1251"/>
      <c r="SO147" s="1251"/>
      <c r="SP147" s="1251"/>
      <c r="SQ147" s="1251"/>
      <c r="SR147" s="1251"/>
      <c r="SS147" s="1251"/>
      <c r="ST147" s="1251"/>
      <c r="SU147" s="1251"/>
      <c r="SV147" s="1251"/>
      <c r="SW147" s="1251"/>
      <c r="SX147" s="1251"/>
      <c r="SY147" s="1251"/>
      <c r="SZ147" s="1251"/>
      <c r="TA147" s="1251"/>
      <c r="TB147" s="1251"/>
      <c r="TC147" s="1251"/>
      <c r="TD147" s="1251"/>
      <c r="TE147" s="1251"/>
      <c r="TF147" s="1251"/>
      <c r="TG147" s="1251"/>
      <c r="TH147" s="1251"/>
      <c r="TI147" s="1251"/>
      <c r="TJ147" s="1251"/>
      <c r="TK147" s="1251"/>
      <c r="TL147" s="1251"/>
      <c r="TM147" s="1251"/>
      <c r="TN147" s="1251"/>
      <c r="TO147" s="1251"/>
      <c r="TP147" s="1251"/>
      <c r="TQ147" s="1251"/>
      <c r="TR147" s="1251"/>
      <c r="TS147" s="1251"/>
      <c r="TT147" s="1251"/>
      <c r="TU147" s="1251"/>
      <c r="TV147" s="1251"/>
      <c r="TW147" s="1251"/>
      <c r="TX147" s="1251"/>
      <c r="TY147" s="1251"/>
      <c r="TZ147" s="1251"/>
      <c r="UA147" s="1251"/>
      <c r="UB147" s="1251"/>
      <c r="UC147" s="1251"/>
      <c r="UD147" s="1251"/>
      <c r="UE147" s="1251"/>
      <c r="UF147" s="1251"/>
      <c r="UG147" s="1251"/>
      <c r="UH147" s="1251"/>
      <c r="UI147" s="1251"/>
      <c r="UJ147" s="1251"/>
      <c r="UK147" s="1251"/>
      <c r="UL147" s="1251"/>
      <c r="UM147" s="1251"/>
      <c r="UN147" s="1251"/>
      <c r="UO147" s="1251"/>
      <c r="UP147" s="1251"/>
      <c r="UQ147" s="1251"/>
      <c r="UR147" s="1251"/>
      <c r="US147" s="1251"/>
      <c r="UT147" s="1251"/>
      <c r="UU147" s="1251"/>
      <c r="UV147" s="1251"/>
      <c r="UW147" s="1251"/>
      <c r="UX147" s="1251"/>
      <c r="UY147" s="1251"/>
      <c r="UZ147" s="1251"/>
      <c r="VA147" s="1251"/>
      <c r="VB147" s="1251"/>
      <c r="VC147" s="1251"/>
      <c r="VD147" s="1251"/>
      <c r="VE147" s="1251"/>
      <c r="VF147" s="1251"/>
      <c r="VG147" s="1251"/>
      <c r="VH147" s="1251"/>
      <c r="VI147" s="1251"/>
      <c r="VJ147" s="1251"/>
      <c r="VK147" s="1251"/>
      <c r="VL147" s="1251"/>
      <c r="VM147" s="1251"/>
      <c r="VN147" s="1251"/>
      <c r="VO147" s="1251"/>
      <c r="VP147" s="1251"/>
      <c r="VQ147" s="1251"/>
      <c r="VR147" s="1251"/>
      <c r="VS147" s="1251"/>
      <c r="VT147" s="1251"/>
      <c r="VU147" s="1251"/>
      <c r="VV147" s="1251"/>
      <c r="VW147" s="1251"/>
      <c r="VX147" s="1251"/>
      <c r="VY147" s="1251"/>
      <c r="VZ147" s="1251"/>
      <c r="WA147" s="1251"/>
      <c r="WB147" s="1251"/>
      <c r="WC147" s="1251"/>
      <c r="WD147" s="1251"/>
      <c r="WE147" s="1251"/>
      <c r="WF147" s="1251"/>
      <c r="WG147" s="1251"/>
      <c r="WH147" s="1251"/>
      <c r="WI147" s="1251"/>
      <c r="WJ147" s="1251"/>
      <c r="WK147" s="1251"/>
      <c r="WL147" s="1251"/>
      <c r="WM147" s="1251"/>
      <c r="WN147" s="1251"/>
      <c r="WO147" s="1251"/>
      <c r="WP147" s="1251"/>
      <c r="WQ147" s="1251"/>
      <c r="WR147" s="1251"/>
      <c r="WS147" s="1251"/>
      <c r="WT147" s="1251"/>
      <c r="WU147" s="1251"/>
      <c r="WV147" s="1251"/>
      <c r="WW147" s="1251"/>
      <c r="WX147" s="1251"/>
      <c r="WY147" s="1251"/>
      <c r="WZ147" s="1251"/>
      <c r="XA147" s="1251"/>
      <c r="XB147" s="1251"/>
      <c r="XC147" s="1251"/>
      <c r="XD147" s="1251"/>
      <c r="XE147" s="1251"/>
      <c r="XF147" s="1251"/>
      <c r="XG147" s="1251"/>
      <c r="XH147" s="1251"/>
      <c r="XI147" s="1251"/>
      <c r="XJ147" s="1251"/>
      <c r="XK147" s="1251"/>
      <c r="XL147" s="1251"/>
      <c r="XM147" s="1251"/>
      <c r="XN147" s="1251"/>
      <c r="XO147" s="1251"/>
      <c r="XP147" s="1251"/>
      <c r="XQ147" s="1251"/>
      <c r="XR147" s="1251"/>
      <c r="XS147" s="1251"/>
      <c r="XT147" s="1251"/>
      <c r="XU147" s="1251"/>
      <c r="XV147" s="1251"/>
      <c r="XW147" s="1251"/>
      <c r="XX147" s="1251"/>
      <c r="XY147" s="1251"/>
      <c r="XZ147" s="1251"/>
      <c r="YA147" s="1251"/>
      <c r="YB147" s="1251"/>
      <c r="YC147" s="1251"/>
      <c r="YD147" s="1251"/>
      <c r="YE147" s="1251"/>
      <c r="YF147" s="1251"/>
      <c r="YG147" s="1251"/>
      <c r="YH147" s="1251"/>
      <c r="YI147" s="1251"/>
      <c r="YJ147" s="1251"/>
      <c r="YK147" s="1251"/>
      <c r="YL147" s="1251"/>
      <c r="YM147" s="1251"/>
      <c r="YN147" s="1251"/>
      <c r="YO147" s="1251"/>
      <c r="YP147" s="1251"/>
      <c r="YQ147" s="1251"/>
      <c r="YR147" s="1251"/>
      <c r="YS147" s="1251"/>
      <c r="YT147" s="1251"/>
      <c r="YU147" s="1251"/>
      <c r="YV147" s="1251"/>
      <c r="YW147" s="1251"/>
      <c r="YX147" s="1251"/>
      <c r="YY147" s="1251"/>
      <c r="YZ147" s="1251"/>
      <c r="ZA147" s="1251"/>
      <c r="ZB147" s="1251"/>
      <c r="ZC147" s="1251"/>
      <c r="ZD147" s="1251"/>
      <c r="ZE147" s="1251"/>
      <c r="ZF147" s="1251"/>
      <c r="ZG147" s="1251"/>
      <c r="ZH147" s="1251"/>
      <c r="ZI147" s="1251"/>
      <c r="ZJ147" s="1251"/>
      <c r="ZK147" s="1251"/>
      <c r="ZL147" s="1251"/>
      <c r="ZM147" s="1251"/>
      <c r="ZN147" s="1251"/>
      <c r="ZO147" s="1251"/>
      <c r="ZP147" s="1251"/>
      <c r="ZQ147" s="1251"/>
      <c r="ZR147" s="1251"/>
      <c r="ZS147" s="1251"/>
      <c r="ZT147" s="1251"/>
      <c r="ZU147" s="1251"/>
      <c r="ZV147" s="1251"/>
      <c r="ZW147" s="1251"/>
      <c r="ZX147" s="1251"/>
      <c r="ZY147" s="1251"/>
      <c r="ZZ147" s="1251"/>
      <c r="AAA147" s="1251"/>
      <c r="AAB147" s="1251"/>
      <c r="AAC147" s="1251"/>
      <c r="AAD147" s="1251"/>
      <c r="AAE147" s="1251"/>
      <c r="AAF147" s="1251"/>
      <c r="AAG147" s="1251"/>
      <c r="AAH147" s="1251"/>
      <c r="AAI147" s="1251"/>
      <c r="AAJ147" s="1251"/>
      <c r="AAK147" s="1251"/>
      <c r="AAL147" s="1251"/>
      <c r="AAM147" s="1251"/>
      <c r="AAN147" s="1251"/>
      <c r="AAO147" s="1251"/>
      <c r="AAP147" s="1251"/>
      <c r="AAQ147" s="1251"/>
      <c r="AAR147" s="1251"/>
      <c r="AAS147" s="1251"/>
      <c r="AAT147" s="1251"/>
      <c r="AAU147" s="1251"/>
      <c r="AAV147" s="1251"/>
      <c r="AAW147" s="1251"/>
      <c r="AAX147" s="1251"/>
      <c r="AAY147" s="1251"/>
      <c r="AAZ147" s="1251"/>
      <c r="ABA147" s="1251"/>
      <c r="ABB147" s="1251"/>
      <c r="ABC147" s="1251"/>
      <c r="ABD147" s="1251"/>
      <c r="ABE147" s="1251"/>
      <c r="ABF147" s="1251"/>
      <c r="ABG147" s="1251"/>
      <c r="ABH147" s="1251"/>
      <c r="ABI147" s="1251"/>
      <c r="ABJ147" s="1251"/>
      <c r="ABK147" s="1251"/>
      <c r="ABL147" s="1251"/>
      <c r="ABM147" s="1251"/>
      <c r="ABN147" s="1251"/>
      <c r="ABO147" s="1251"/>
      <c r="ABP147" s="1251"/>
      <c r="ABQ147" s="1251"/>
      <c r="ABR147" s="1251"/>
      <c r="ABS147" s="1251"/>
      <c r="ABT147" s="1251"/>
      <c r="ABU147" s="1251"/>
      <c r="ABV147" s="1251"/>
      <c r="ABW147" s="1251"/>
      <c r="ABX147" s="1251"/>
      <c r="ABY147" s="1251"/>
      <c r="ABZ147" s="1251"/>
      <c r="ACA147" s="1251"/>
      <c r="ACB147" s="1251"/>
      <c r="ACC147" s="1251"/>
      <c r="ACD147" s="1251"/>
      <c r="ACE147" s="1251"/>
      <c r="ACF147" s="1251"/>
      <c r="ACG147" s="1251"/>
      <c r="ACH147" s="1251"/>
      <c r="ACI147" s="1251"/>
      <c r="ACJ147" s="1251"/>
      <c r="ACK147" s="1251"/>
      <c r="ACL147" s="1251"/>
      <c r="ACM147" s="1251"/>
      <c r="ACN147" s="1251"/>
      <c r="ACO147" s="1251"/>
      <c r="ACP147" s="1251"/>
      <c r="ACQ147" s="1251"/>
      <c r="ACR147" s="1251"/>
      <c r="ACS147" s="1251"/>
      <c r="ACT147" s="1251"/>
      <c r="ACU147" s="1251"/>
      <c r="ACV147" s="1251"/>
      <c r="ACW147" s="1251"/>
      <c r="ACX147" s="1251"/>
      <c r="ACY147" s="1251"/>
      <c r="ACZ147" s="1251"/>
      <c r="ADA147" s="1251"/>
      <c r="ADB147" s="1251"/>
      <c r="ADC147" s="1251"/>
      <c r="ADD147" s="1251"/>
      <c r="ADE147" s="1251"/>
      <c r="ADF147" s="1251"/>
      <c r="ADG147" s="1251"/>
      <c r="ADH147" s="1251"/>
      <c r="ADI147" s="1251"/>
      <c r="ADJ147" s="1251"/>
      <c r="ADK147" s="1251"/>
      <c r="ADL147" s="1251"/>
      <c r="ADM147" s="1251"/>
      <c r="ADN147" s="1251"/>
      <c r="ADO147" s="1251"/>
      <c r="ADP147" s="1251"/>
      <c r="ADQ147" s="1251"/>
      <c r="ADR147" s="1251"/>
      <c r="ADS147" s="1251"/>
      <c r="ADT147" s="1251"/>
      <c r="ADU147" s="1251"/>
      <c r="ADV147" s="1251"/>
      <c r="ADW147" s="1251"/>
      <c r="ADX147" s="1251"/>
      <c r="ADY147" s="1251"/>
      <c r="ADZ147" s="1251"/>
      <c r="AEA147" s="1251"/>
      <c r="AEB147" s="1251"/>
      <c r="AEC147" s="1251"/>
      <c r="AED147" s="1251"/>
      <c r="AEE147" s="1251"/>
      <c r="AEF147" s="1251"/>
      <c r="AEG147" s="1251"/>
      <c r="AEH147" s="1251"/>
      <c r="AEI147" s="1251"/>
      <c r="AEJ147" s="1251"/>
      <c r="AEK147" s="1251"/>
      <c r="AEL147" s="1251"/>
      <c r="AEM147" s="1251"/>
      <c r="AEN147" s="1251"/>
      <c r="AEO147" s="1251"/>
      <c r="AEP147" s="1251"/>
      <c r="AEQ147" s="1251"/>
      <c r="AER147" s="1251"/>
      <c r="AES147" s="1251"/>
      <c r="AET147" s="1251"/>
      <c r="AEU147" s="1251"/>
      <c r="AEV147" s="1251"/>
      <c r="AEW147" s="1251"/>
      <c r="AEX147" s="1251"/>
      <c r="AEY147" s="1251"/>
      <c r="AEZ147" s="1251"/>
      <c r="AFA147" s="1251"/>
      <c r="AFB147" s="1251"/>
      <c r="AFC147" s="1251"/>
      <c r="AFD147" s="1251"/>
      <c r="AFE147" s="1251"/>
      <c r="AFF147" s="1251"/>
      <c r="AFG147" s="1251"/>
      <c r="AFH147" s="1251"/>
      <c r="AFI147" s="1251"/>
      <c r="AFJ147" s="1251"/>
      <c r="AFK147" s="1251"/>
      <c r="AFL147" s="1251"/>
      <c r="AFM147" s="1251"/>
      <c r="AFN147" s="1251"/>
      <c r="AFO147" s="1251"/>
      <c r="AFP147" s="1251"/>
      <c r="AFQ147" s="1251"/>
      <c r="AFR147" s="1251"/>
      <c r="AFS147" s="1251"/>
      <c r="AFT147" s="1251"/>
      <c r="AFU147" s="1251"/>
      <c r="AFV147" s="1251"/>
      <c r="AFW147" s="1251"/>
      <c r="AFX147" s="1251"/>
      <c r="AFY147" s="1251"/>
      <c r="AFZ147" s="1251"/>
      <c r="AGA147" s="1251"/>
      <c r="AGB147" s="1251"/>
      <c r="AGC147" s="1251"/>
      <c r="AGD147" s="1251"/>
      <c r="AGE147" s="1251"/>
      <c r="AGF147" s="1251"/>
      <c r="AGG147" s="1251"/>
      <c r="AGH147" s="1251"/>
      <c r="AGI147" s="1251"/>
      <c r="AGJ147" s="1251"/>
      <c r="AGK147" s="1251"/>
      <c r="AGL147" s="1251"/>
      <c r="AGM147" s="1251"/>
      <c r="AGN147" s="1251"/>
      <c r="AGO147" s="1251"/>
      <c r="AGP147" s="1251"/>
      <c r="AGQ147" s="1251"/>
      <c r="AGR147" s="1251"/>
      <c r="AGS147" s="1251"/>
      <c r="AGT147" s="1251"/>
      <c r="AGU147" s="1251"/>
      <c r="AGV147" s="1251"/>
      <c r="AGW147" s="1251"/>
      <c r="AGX147" s="1251"/>
      <c r="AGY147" s="1251"/>
      <c r="AGZ147" s="1251"/>
      <c r="AHA147" s="1251"/>
      <c r="AHB147" s="1251"/>
      <c r="AHC147" s="1251"/>
      <c r="AHD147" s="1251"/>
      <c r="AHE147" s="1251"/>
      <c r="AHF147" s="1251"/>
      <c r="AHG147" s="1251"/>
      <c r="AHH147" s="1251"/>
      <c r="AHI147" s="1251"/>
      <c r="AHJ147" s="1251"/>
      <c r="AHK147" s="1251"/>
      <c r="AHL147" s="1251"/>
      <c r="AHM147" s="1251"/>
      <c r="AHN147" s="1251"/>
      <c r="AHO147" s="1251"/>
      <c r="AHP147" s="1251"/>
      <c r="AHQ147" s="1251"/>
      <c r="AHR147" s="1251"/>
      <c r="AHS147" s="1251"/>
      <c r="AHT147" s="1251"/>
      <c r="AHU147" s="1251"/>
      <c r="AHV147" s="1251"/>
      <c r="AHW147" s="1251"/>
      <c r="AHX147" s="1251"/>
      <c r="AHY147" s="1251"/>
      <c r="AHZ147" s="1251"/>
      <c r="AIA147" s="1251"/>
      <c r="AIB147" s="1251"/>
      <c r="AIC147" s="1251"/>
      <c r="AID147" s="1251"/>
      <c r="AIE147" s="1251"/>
      <c r="AIF147" s="1251"/>
      <c r="AIG147" s="1251"/>
      <c r="AIH147" s="1251"/>
      <c r="AII147" s="1251"/>
      <c r="AIJ147" s="1251"/>
      <c r="AIK147" s="1251"/>
      <c r="AIL147" s="1251"/>
      <c r="AIM147" s="1251"/>
      <c r="AIN147" s="1251"/>
      <c r="AIO147" s="1251"/>
      <c r="AIP147" s="1251"/>
      <c r="AIQ147" s="1251"/>
      <c r="AIR147" s="1251"/>
      <c r="AIS147" s="1251"/>
      <c r="AIT147" s="1251"/>
      <c r="AIU147" s="1251"/>
      <c r="AIV147" s="1251"/>
      <c r="AIW147" s="1251"/>
      <c r="AIX147" s="1251"/>
      <c r="AIY147" s="1251"/>
      <c r="AIZ147" s="1251"/>
      <c r="AJA147" s="1251"/>
      <c r="AJB147" s="1251"/>
      <c r="AJC147" s="1251"/>
      <c r="AJD147" s="1251"/>
      <c r="AJE147" s="1251"/>
      <c r="AJF147" s="1251"/>
      <c r="AJG147" s="1251"/>
      <c r="AJH147" s="1251"/>
      <c r="AJI147" s="1251"/>
      <c r="AJJ147" s="1251"/>
      <c r="AJK147" s="1251"/>
      <c r="AJL147" s="1251"/>
      <c r="AJM147" s="1251"/>
      <c r="AJN147" s="1251"/>
      <c r="AJO147" s="1251"/>
      <c r="AJP147" s="1251"/>
      <c r="AJQ147" s="1251"/>
      <c r="AJR147" s="1251"/>
      <c r="AJS147" s="1251"/>
      <c r="AJT147" s="1251"/>
      <c r="AJU147" s="1251"/>
      <c r="AJV147" s="1251"/>
      <c r="AJW147" s="1251"/>
      <c r="AJX147" s="1251"/>
      <c r="AJY147" s="1251"/>
      <c r="AJZ147" s="1251"/>
      <c r="AKA147" s="1251"/>
      <c r="AKB147" s="1251"/>
      <c r="AKC147" s="1251"/>
      <c r="AKD147" s="1251"/>
      <c r="AKE147" s="1251"/>
      <c r="AKF147" s="1251"/>
      <c r="AKG147" s="1251"/>
      <c r="AKH147" s="1251"/>
      <c r="AKI147" s="1251"/>
      <c r="AKJ147" s="1251"/>
      <c r="AKK147" s="1251"/>
      <c r="AKL147" s="1251"/>
      <c r="AKM147" s="1251"/>
      <c r="AKN147" s="1251"/>
      <c r="AKO147" s="1251"/>
      <c r="AKP147" s="1251"/>
      <c r="AKQ147" s="1251"/>
      <c r="AKR147" s="1251"/>
      <c r="AKS147" s="1251"/>
      <c r="AKT147" s="1251"/>
      <c r="AKU147" s="1251"/>
      <c r="AKV147" s="1251"/>
      <c r="AKW147" s="1251"/>
      <c r="AKX147" s="1251"/>
      <c r="AKY147" s="1251"/>
      <c r="AKZ147" s="1251"/>
      <c r="ALA147" s="1251"/>
      <c r="ALB147" s="1251"/>
      <c r="ALC147" s="1251"/>
      <c r="ALD147" s="1251"/>
      <c r="ALE147" s="1251"/>
      <c r="ALF147" s="1251"/>
      <c r="ALG147" s="1251"/>
      <c r="ALH147" s="1251"/>
      <c r="ALI147" s="1251"/>
      <c r="ALJ147" s="1251"/>
      <c r="ALK147" s="1251"/>
      <c r="ALL147" s="1251"/>
      <c r="ALM147" s="1251"/>
      <c r="ALN147" s="1251"/>
      <c r="ALO147" s="1251"/>
      <c r="ALP147" s="1251"/>
      <c r="ALQ147" s="1251"/>
      <c r="ALR147" s="1251"/>
      <c r="ALS147" s="1251"/>
      <c r="ALT147" s="1251"/>
      <c r="ALU147" s="1251"/>
      <c r="ALV147" s="1251"/>
      <c r="ALW147" s="1251"/>
      <c r="ALX147" s="1251"/>
      <c r="ALY147" s="1251"/>
      <c r="ALZ147" s="1251"/>
      <c r="AMA147" s="1251"/>
      <c r="AMB147" s="1251"/>
      <c r="AMC147" s="1251"/>
      <c r="AMD147" s="1251"/>
      <c r="AME147" s="1251"/>
      <c r="AMF147" s="1251"/>
      <c r="AMG147" s="1251"/>
      <c r="AMH147" s="1251"/>
      <c r="AMI147" s="1251"/>
      <c r="AMJ147" s="1251"/>
      <c r="AMK147" s="1251"/>
      <c r="AML147" s="1251"/>
      <c r="AMM147" s="1251"/>
      <c r="AMN147" s="1251"/>
      <c r="AMO147" s="1251"/>
      <c r="AMP147" s="1251"/>
      <c r="AMQ147" s="1251"/>
      <c r="AMR147" s="1251"/>
      <c r="AMS147" s="1251"/>
      <c r="AMT147" s="1251"/>
      <c r="AMU147" s="1251"/>
      <c r="AMV147" s="1251"/>
      <c r="AMW147" s="1251"/>
      <c r="AMX147" s="1251"/>
      <c r="AMY147" s="1251"/>
      <c r="AMZ147" s="1251"/>
      <c r="ANA147" s="1251"/>
      <c r="ANB147" s="1251"/>
      <c r="ANC147" s="1251"/>
      <c r="AND147" s="1251"/>
      <c r="ANE147" s="1251"/>
      <c r="ANF147" s="1251"/>
      <c r="ANG147" s="1251"/>
      <c r="ANH147" s="1251"/>
      <c r="ANI147" s="1251"/>
      <c r="ANJ147" s="1251"/>
      <c r="ANK147" s="1251"/>
      <c r="ANL147" s="1251"/>
      <c r="ANM147" s="1251"/>
      <c r="ANN147" s="1251"/>
      <c r="ANO147" s="1251"/>
      <c r="ANP147" s="1251"/>
      <c r="ANQ147" s="1251"/>
      <c r="ANR147" s="1251"/>
      <c r="ANS147" s="1251"/>
      <c r="ANT147" s="1251"/>
      <c r="ANU147" s="1251"/>
      <c r="ANV147" s="1251"/>
      <c r="ANW147" s="1251"/>
      <c r="ANX147" s="1251"/>
      <c r="ANY147" s="1251"/>
      <c r="ANZ147" s="1251"/>
      <c r="AOA147" s="1251"/>
      <c r="AOB147" s="1251"/>
      <c r="AOC147" s="1251"/>
      <c r="AOD147" s="1251"/>
      <c r="AOE147" s="1251"/>
      <c r="AOF147" s="1251"/>
      <c r="AOG147" s="1251"/>
      <c r="AOH147" s="1251"/>
      <c r="AOI147" s="1251"/>
      <c r="AOJ147" s="1251"/>
      <c r="AOK147" s="1251"/>
      <c r="AOL147" s="1251"/>
      <c r="AOM147" s="1251"/>
      <c r="AON147" s="1251"/>
      <c r="AOO147" s="1251"/>
      <c r="AOP147" s="1251"/>
      <c r="AOQ147" s="1251"/>
      <c r="AOR147" s="1251"/>
      <c r="AOS147" s="1251"/>
      <c r="AOT147" s="1251"/>
      <c r="AOU147" s="1251"/>
      <c r="AOV147" s="1251"/>
      <c r="AOW147" s="1251"/>
      <c r="AOX147" s="1251"/>
      <c r="AOY147" s="1251"/>
      <c r="AOZ147" s="1251"/>
      <c r="APA147" s="1251"/>
      <c r="APB147" s="1251"/>
      <c r="APC147" s="1251"/>
      <c r="APD147" s="1251"/>
      <c r="APE147" s="1251"/>
      <c r="APF147" s="1251"/>
      <c r="APG147" s="1251"/>
      <c r="APH147" s="1251"/>
      <c r="API147" s="1251"/>
      <c r="APJ147" s="1251"/>
      <c r="APK147" s="1251"/>
      <c r="APL147" s="1251"/>
      <c r="APM147" s="1251"/>
      <c r="APN147" s="1251"/>
      <c r="APO147" s="1251"/>
      <c r="APP147" s="1251"/>
      <c r="APQ147" s="1251"/>
      <c r="APR147" s="1251"/>
      <c r="APS147" s="1251"/>
      <c r="APT147" s="1251"/>
      <c r="APU147" s="1251"/>
      <c r="APV147" s="1251"/>
      <c r="APW147" s="1251"/>
      <c r="APX147" s="1251"/>
      <c r="APY147" s="1251"/>
      <c r="APZ147" s="1251"/>
      <c r="AQA147" s="1251"/>
      <c r="AQB147" s="1251"/>
      <c r="AQC147" s="1251"/>
      <c r="AQD147" s="1251"/>
      <c r="AQE147" s="1251"/>
      <c r="AQF147" s="1251"/>
      <c r="AQG147" s="1251"/>
      <c r="AQH147" s="1251"/>
      <c r="AQI147" s="1251"/>
      <c r="AQJ147" s="1251"/>
      <c r="AQK147" s="1251"/>
      <c r="AQL147" s="1251"/>
      <c r="AQM147" s="1251"/>
      <c r="AQN147" s="1251"/>
      <c r="AQO147" s="1251"/>
      <c r="AQP147" s="1251"/>
      <c r="AQQ147" s="1251"/>
      <c r="AQR147" s="1251"/>
      <c r="AQS147" s="1251"/>
      <c r="AQT147" s="1251"/>
      <c r="AQU147" s="1251"/>
      <c r="AQV147" s="1251"/>
      <c r="AQW147" s="1251"/>
      <c r="AQX147" s="1251"/>
      <c r="AQY147" s="1251"/>
      <c r="AQZ147" s="1251"/>
      <c r="ARA147" s="1251"/>
      <c r="ARB147" s="1251"/>
      <c r="ARC147" s="1251"/>
      <c r="ARD147" s="1251"/>
      <c r="ARE147" s="1251"/>
      <c r="ARF147" s="1251"/>
      <c r="ARG147" s="1251"/>
      <c r="ARH147" s="1251"/>
      <c r="ARI147" s="1251"/>
      <c r="ARJ147" s="1251"/>
      <c r="ARK147" s="1251"/>
      <c r="ARL147" s="1251"/>
      <c r="ARM147" s="1251"/>
      <c r="ARN147" s="1251"/>
      <c r="ARO147" s="1251"/>
      <c r="ARP147" s="1251"/>
      <c r="ARQ147" s="1251"/>
      <c r="ARR147" s="1251"/>
      <c r="ARS147" s="1251"/>
      <c r="ART147" s="1251"/>
      <c r="ARU147" s="1251"/>
      <c r="ARV147" s="1251"/>
      <c r="ARW147" s="1251"/>
      <c r="ARX147" s="1251"/>
      <c r="ARY147" s="1251"/>
      <c r="ARZ147" s="1251"/>
      <c r="ASA147" s="1251"/>
      <c r="ASB147" s="1251"/>
      <c r="ASC147" s="1251"/>
      <c r="ASD147" s="1251"/>
      <c r="ASE147" s="1251"/>
      <c r="ASF147" s="1251"/>
      <c r="ASG147" s="1251"/>
      <c r="ASH147" s="1251"/>
      <c r="ASI147" s="1251"/>
      <c r="ASJ147" s="1251"/>
      <c r="ASK147" s="1251"/>
      <c r="ASL147" s="1251"/>
      <c r="ASM147" s="1251"/>
      <c r="ASN147" s="1251"/>
      <c r="ASO147" s="1251"/>
      <c r="ASP147" s="1251"/>
      <c r="ASQ147" s="1251"/>
      <c r="ASR147" s="1251"/>
      <c r="ASS147" s="1251"/>
      <c r="AST147" s="1251"/>
      <c r="ASU147" s="1251"/>
      <c r="ASV147" s="1251"/>
      <c r="ASW147" s="1251"/>
      <c r="ASX147" s="1251"/>
      <c r="ASY147" s="1251"/>
      <c r="ASZ147" s="1251"/>
      <c r="ATA147" s="1251"/>
      <c r="ATB147" s="1251"/>
      <c r="ATC147" s="1251"/>
      <c r="ATD147" s="1251"/>
      <c r="ATE147" s="1251"/>
      <c r="ATF147" s="1251"/>
      <c r="ATG147" s="1251"/>
      <c r="ATH147" s="1251"/>
      <c r="ATI147" s="1251"/>
      <c r="ATJ147" s="1251"/>
      <c r="ATK147" s="1251"/>
      <c r="ATL147" s="1251"/>
      <c r="ATM147" s="1251"/>
      <c r="ATN147" s="1251"/>
      <c r="ATO147" s="1251"/>
      <c r="ATP147" s="1251"/>
      <c r="ATQ147" s="1251"/>
      <c r="ATR147" s="1251"/>
      <c r="ATS147" s="1251"/>
      <c r="ATT147" s="1251"/>
      <c r="ATU147" s="1251"/>
      <c r="ATV147" s="1251"/>
      <c r="ATW147" s="1251"/>
      <c r="ATX147" s="1251"/>
      <c r="ATY147" s="1251"/>
      <c r="ATZ147" s="1251"/>
      <c r="AUA147" s="1251"/>
      <c r="AUB147" s="1251"/>
      <c r="AUC147" s="1251"/>
      <c r="AUD147" s="1251"/>
      <c r="AUE147" s="1251"/>
      <c r="AUF147" s="1251"/>
      <c r="AUG147" s="1251"/>
      <c r="AUH147" s="1251"/>
      <c r="AUI147" s="1251"/>
      <c r="AUJ147" s="1251"/>
      <c r="AUK147" s="1251"/>
      <c r="AUL147" s="1251"/>
      <c r="AUM147" s="1251"/>
      <c r="AUN147" s="1251"/>
      <c r="AUO147" s="1251"/>
      <c r="AUP147" s="1251"/>
      <c r="AUQ147" s="1251"/>
      <c r="AUR147" s="1251"/>
      <c r="AUS147" s="1251"/>
      <c r="AUT147" s="1251"/>
      <c r="AUU147" s="1251"/>
      <c r="AUV147" s="1251"/>
      <c r="AUW147" s="1251"/>
      <c r="AUX147" s="1251"/>
      <c r="AUY147" s="1251"/>
      <c r="AUZ147" s="1251"/>
      <c r="AVA147" s="1251"/>
      <c r="AVB147" s="1251"/>
      <c r="AVC147" s="1251"/>
      <c r="AVD147" s="1251"/>
      <c r="AVE147" s="1251"/>
      <c r="AVF147" s="1251"/>
      <c r="AVG147" s="1251"/>
      <c r="AVH147" s="1251"/>
      <c r="AVI147" s="1251"/>
      <c r="AVJ147" s="1251"/>
      <c r="AVK147" s="1251"/>
      <c r="AVL147" s="1251"/>
      <c r="AVM147" s="1251"/>
      <c r="AVN147" s="1251"/>
      <c r="AVO147" s="1251"/>
      <c r="AVP147" s="1251"/>
      <c r="AVQ147" s="1251"/>
      <c r="AVR147" s="1251"/>
      <c r="AVS147" s="1251"/>
      <c r="AVT147" s="1251"/>
      <c r="AVU147" s="1251"/>
      <c r="AVV147" s="1251"/>
      <c r="AVW147" s="1251"/>
      <c r="AVX147" s="1251"/>
      <c r="AVY147" s="1251"/>
      <c r="AVZ147" s="1251"/>
      <c r="AWA147" s="1251"/>
      <c r="AWB147" s="1251"/>
      <c r="AWC147" s="1251"/>
      <c r="AWD147" s="1251"/>
      <c r="AWE147" s="1251"/>
      <c r="AWF147" s="1251"/>
      <c r="AWG147" s="1251"/>
      <c r="AWH147" s="1251"/>
      <c r="AWI147" s="1251"/>
      <c r="AWJ147" s="1251"/>
      <c r="AWK147" s="1251"/>
      <c r="AWL147" s="1251"/>
      <c r="AWM147" s="1251"/>
      <c r="AWN147" s="1251"/>
      <c r="AWO147" s="1251"/>
      <c r="AWP147" s="1251"/>
      <c r="AWQ147" s="1251"/>
      <c r="AWR147" s="1251"/>
      <c r="AWS147" s="1251"/>
      <c r="AWT147" s="1251"/>
      <c r="AWU147" s="1251"/>
      <c r="AWV147" s="1251"/>
      <c r="AWW147" s="1251"/>
      <c r="AWX147" s="1251"/>
      <c r="AWY147" s="1251"/>
      <c r="AWZ147" s="1251"/>
      <c r="AXA147" s="1251"/>
      <c r="AXB147" s="1251"/>
      <c r="AXC147" s="1251"/>
      <c r="AXD147" s="1251"/>
      <c r="AXE147" s="1251"/>
      <c r="AXF147" s="1251"/>
      <c r="AXG147" s="1251"/>
      <c r="AXH147" s="1251"/>
      <c r="AXI147" s="1251"/>
      <c r="AXJ147" s="1251"/>
      <c r="AXK147" s="1251"/>
      <c r="AXL147" s="1251"/>
      <c r="AXM147" s="1251"/>
      <c r="AXN147" s="1251"/>
      <c r="AXO147" s="1251"/>
      <c r="AXP147" s="1251"/>
      <c r="AXQ147" s="1251"/>
      <c r="AXR147" s="1251"/>
      <c r="AXS147" s="1251"/>
      <c r="AXT147" s="1251"/>
      <c r="AXU147" s="1251"/>
      <c r="AXV147" s="1251"/>
      <c r="AXW147" s="1251"/>
      <c r="AXX147" s="1251"/>
      <c r="AXY147" s="1251"/>
      <c r="AXZ147" s="1251"/>
      <c r="AYA147" s="1251"/>
      <c r="AYB147" s="1251"/>
      <c r="AYC147" s="1251"/>
      <c r="AYD147" s="1251"/>
      <c r="AYE147" s="1251"/>
      <c r="AYF147" s="1251"/>
      <c r="AYG147" s="1251"/>
      <c r="AYH147" s="1251"/>
      <c r="AYI147" s="1251"/>
      <c r="AYJ147" s="1251"/>
      <c r="AYK147" s="1251"/>
      <c r="AYL147" s="1251"/>
      <c r="AYM147" s="1251"/>
      <c r="AYN147" s="1251"/>
      <c r="AYO147" s="1251"/>
      <c r="AYP147" s="1251"/>
      <c r="AYQ147" s="1251"/>
      <c r="AYR147" s="1251"/>
      <c r="AYS147" s="1251"/>
      <c r="AYT147" s="1251"/>
      <c r="AYU147" s="1251"/>
      <c r="AYV147" s="1251"/>
      <c r="AYW147" s="1251"/>
      <c r="AYX147" s="1251"/>
      <c r="AYY147" s="1251"/>
      <c r="AYZ147" s="1251"/>
      <c r="AZA147" s="1251"/>
      <c r="AZB147" s="1251"/>
      <c r="AZC147" s="1251"/>
      <c r="AZD147" s="1251"/>
      <c r="AZE147" s="1251"/>
      <c r="AZF147" s="1251"/>
      <c r="AZG147" s="1251"/>
      <c r="AZH147" s="1251"/>
      <c r="AZI147" s="1251"/>
      <c r="AZJ147" s="1251"/>
      <c r="AZK147" s="1251"/>
      <c r="AZL147" s="1251"/>
      <c r="AZM147" s="1251"/>
      <c r="AZN147" s="1251"/>
      <c r="AZO147" s="1251"/>
      <c r="AZP147" s="1251"/>
      <c r="AZQ147" s="1251"/>
      <c r="AZR147" s="1251"/>
      <c r="AZS147" s="1251"/>
      <c r="AZT147" s="1251"/>
      <c r="AZU147" s="1251"/>
      <c r="AZV147" s="1251"/>
      <c r="AZW147" s="1251"/>
      <c r="AZX147" s="1251"/>
      <c r="AZY147" s="1251"/>
      <c r="AZZ147" s="1251"/>
      <c r="BAA147" s="1251"/>
      <c r="BAB147" s="1251"/>
      <c r="BAC147" s="1251"/>
      <c r="BAD147" s="1251"/>
      <c r="BAE147" s="1251"/>
      <c r="BAF147" s="1251"/>
      <c r="BAG147" s="1251"/>
      <c r="BAH147" s="1251"/>
      <c r="BAI147" s="1251"/>
      <c r="BAJ147" s="1251"/>
      <c r="BAK147" s="1251"/>
      <c r="BAL147" s="1251"/>
      <c r="BAM147" s="1251"/>
      <c r="BAN147" s="1251"/>
      <c r="BAO147" s="1251"/>
      <c r="BAP147" s="1251"/>
      <c r="BAQ147" s="1251"/>
      <c r="BAR147" s="1251"/>
      <c r="BAS147" s="1251"/>
      <c r="BAT147" s="1251"/>
      <c r="BAU147" s="1251"/>
      <c r="BAV147" s="1251"/>
      <c r="BAW147" s="1251"/>
      <c r="BAX147" s="1251"/>
      <c r="BAY147" s="1251"/>
      <c r="BAZ147" s="1251"/>
      <c r="BBA147" s="1251"/>
      <c r="BBB147" s="1251"/>
      <c r="BBC147" s="1251"/>
      <c r="BBD147" s="1251"/>
      <c r="BBE147" s="1251"/>
      <c r="BBF147" s="1251"/>
      <c r="BBG147" s="1251"/>
      <c r="BBH147" s="1251"/>
      <c r="BBI147" s="1251"/>
      <c r="BBJ147" s="1251"/>
      <c r="BBK147" s="1251"/>
      <c r="BBL147" s="1251"/>
      <c r="BBM147" s="1251"/>
      <c r="BBN147" s="1251"/>
      <c r="BBO147" s="1251"/>
      <c r="BBP147" s="1251"/>
      <c r="BBQ147" s="1251"/>
      <c r="BBR147" s="1251"/>
      <c r="BBS147" s="1251"/>
      <c r="BBT147" s="1251"/>
      <c r="BBU147" s="1251"/>
      <c r="BBV147" s="1251"/>
      <c r="BBW147" s="1251"/>
      <c r="BBX147" s="1251"/>
      <c r="BBY147" s="1251"/>
      <c r="BBZ147" s="1251"/>
      <c r="BCA147" s="1251"/>
      <c r="BCB147" s="1251"/>
      <c r="BCC147" s="1251"/>
      <c r="BCD147" s="1251"/>
      <c r="BCE147" s="1251"/>
      <c r="BCF147" s="1251"/>
      <c r="BCG147" s="1251"/>
      <c r="BCH147" s="1251"/>
      <c r="BCI147" s="1251"/>
      <c r="BCJ147" s="1251"/>
      <c r="BCK147" s="1251"/>
      <c r="BCL147" s="1251"/>
      <c r="BCM147" s="1251"/>
      <c r="BCN147" s="1251"/>
      <c r="BCO147" s="1251"/>
      <c r="BCP147" s="1251"/>
      <c r="BCQ147" s="1251"/>
      <c r="BCR147" s="1251"/>
      <c r="BCS147" s="1251"/>
      <c r="BCT147" s="1251"/>
      <c r="BCU147" s="1251"/>
      <c r="BCV147" s="1251"/>
      <c r="BCW147" s="1251"/>
      <c r="BCX147" s="1251"/>
      <c r="BCY147" s="1251"/>
      <c r="BCZ147" s="1251"/>
      <c r="BDA147" s="1251"/>
      <c r="BDB147" s="1251"/>
      <c r="BDC147" s="1251"/>
      <c r="BDD147" s="1251"/>
      <c r="BDE147" s="1251"/>
      <c r="BDF147" s="1251"/>
      <c r="BDG147" s="1251"/>
      <c r="BDH147" s="1251"/>
      <c r="BDI147" s="1251"/>
      <c r="BDJ147" s="1251"/>
      <c r="BDK147" s="1251"/>
      <c r="BDL147" s="1251"/>
      <c r="BDM147" s="1251"/>
      <c r="BDN147" s="1251"/>
      <c r="BDO147" s="1251"/>
      <c r="BDP147" s="1251"/>
      <c r="BDQ147" s="1251"/>
      <c r="BDR147" s="1251"/>
      <c r="BDS147" s="1251"/>
      <c r="BDT147" s="1251"/>
      <c r="BDU147" s="1251"/>
      <c r="BDV147" s="1251"/>
      <c r="BDW147" s="1251"/>
      <c r="BDX147" s="1251"/>
      <c r="BDY147" s="1251"/>
      <c r="BDZ147" s="1251"/>
      <c r="BEA147" s="1251"/>
      <c r="BEB147" s="1251"/>
      <c r="BEC147" s="1251"/>
      <c r="BED147" s="1251"/>
      <c r="BEE147" s="1251"/>
      <c r="BEF147" s="1251"/>
      <c r="BEG147" s="1251"/>
      <c r="BEH147" s="1251"/>
      <c r="BEI147" s="1251"/>
      <c r="BEJ147" s="1251"/>
      <c r="BEK147" s="1251"/>
      <c r="BEL147" s="1251"/>
      <c r="BEM147" s="1251"/>
      <c r="BEN147" s="1251"/>
      <c r="BEO147" s="1251"/>
      <c r="BEP147" s="1251"/>
      <c r="BEQ147" s="1251"/>
      <c r="BER147" s="1251"/>
      <c r="BES147" s="1251"/>
      <c r="BET147" s="1251"/>
      <c r="BEU147" s="1251"/>
      <c r="BEV147" s="1251"/>
      <c r="BEW147" s="1251"/>
      <c r="BEX147" s="1251"/>
      <c r="BEY147" s="1251"/>
      <c r="BEZ147" s="1251"/>
      <c r="BFA147" s="1251"/>
      <c r="BFB147" s="1251"/>
      <c r="BFC147" s="1251"/>
      <c r="BFD147" s="1251"/>
      <c r="BFE147" s="1251"/>
      <c r="BFF147" s="1251"/>
      <c r="BFG147" s="1251"/>
      <c r="BFH147" s="1251"/>
      <c r="BFI147" s="1251"/>
      <c r="BFJ147" s="1251"/>
      <c r="BFK147" s="1251"/>
      <c r="BFL147" s="1251"/>
      <c r="BFM147" s="1251"/>
      <c r="BFN147" s="1251"/>
      <c r="BFO147" s="1251"/>
      <c r="BFP147" s="1251"/>
      <c r="BFQ147" s="1251"/>
      <c r="BFR147" s="1251"/>
      <c r="BFS147" s="1251"/>
      <c r="BFT147" s="1251"/>
      <c r="BFU147" s="1251"/>
      <c r="BFV147" s="1251"/>
      <c r="BFW147" s="1251"/>
      <c r="BFX147" s="1251"/>
      <c r="BFY147" s="1251"/>
      <c r="BFZ147" s="1251"/>
      <c r="BGA147" s="1251"/>
      <c r="BGB147" s="1251"/>
      <c r="BGC147" s="1251"/>
      <c r="BGD147" s="1251"/>
      <c r="BGE147" s="1251"/>
      <c r="BGF147" s="1251"/>
      <c r="BGG147" s="1251"/>
      <c r="BGH147" s="1251"/>
      <c r="BGI147" s="1251"/>
      <c r="BGJ147" s="1251"/>
      <c r="BGK147" s="1251"/>
      <c r="BGL147" s="1251"/>
      <c r="BGM147" s="1251"/>
      <c r="BGN147" s="1251"/>
      <c r="BGO147" s="1251"/>
      <c r="BGP147" s="1251"/>
      <c r="BGQ147" s="1251"/>
      <c r="BGR147" s="1251"/>
      <c r="BGS147" s="1251"/>
      <c r="BGT147" s="1251"/>
      <c r="BGU147" s="1251"/>
      <c r="BGV147" s="1251"/>
      <c r="BGW147" s="1251"/>
      <c r="BGX147" s="1251"/>
      <c r="BGY147" s="1251"/>
      <c r="BGZ147" s="1251"/>
      <c r="BHA147" s="1251"/>
      <c r="BHB147" s="1251"/>
      <c r="BHC147" s="1251"/>
      <c r="BHD147" s="1251"/>
      <c r="BHE147" s="1251"/>
      <c r="BHF147" s="1251"/>
      <c r="BHG147" s="1251"/>
      <c r="BHH147" s="1251"/>
      <c r="BHI147" s="1251"/>
      <c r="BHJ147" s="1251"/>
      <c r="BHK147" s="1251"/>
      <c r="BHL147" s="1251"/>
      <c r="BHM147" s="1251"/>
      <c r="BHN147" s="1251"/>
      <c r="BHO147" s="1251"/>
      <c r="BHP147" s="1251"/>
      <c r="BHQ147" s="1251"/>
      <c r="BHR147" s="1251"/>
      <c r="BHS147" s="1251"/>
      <c r="BHT147" s="1251"/>
      <c r="BHU147" s="1251"/>
      <c r="BHV147" s="1251"/>
      <c r="BHW147" s="1251"/>
      <c r="BHX147" s="1251"/>
      <c r="BHY147" s="1251"/>
      <c r="BHZ147" s="1251"/>
      <c r="BIA147" s="1251"/>
      <c r="BIB147" s="1251"/>
      <c r="BIC147" s="1251"/>
      <c r="BID147" s="1251"/>
      <c r="BIE147" s="1251"/>
      <c r="BIF147" s="1251"/>
      <c r="BIG147" s="1251"/>
      <c r="BIH147" s="1251"/>
      <c r="BII147" s="1251"/>
      <c r="BIJ147" s="1251"/>
      <c r="BIK147" s="1251"/>
      <c r="BIL147" s="1251"/>
      <c r="BIM147" s="1251"/>
      <c r="BIN147" s="1251"/>
      <c r="BIO147" s="1251"/>
      <c r="BIP147" s="1251"/>
      <c r="BIQ147" s="1251"/>
      <c r="BIR147" s="1251"/>
      <c r="BIS147" s="1251"/>
      <c r="BIT147" s="1251"/>
      <c r="BIU147" s="1251"/>
      <c r="BIV147" s="1251"/>
      <c r="BIW147" s="1251"/>
      <c r="BIX147" s="1251"/>
      <c r="BIY147" s="1251"/>
      <c r="BIZ147" s="1251"/>
      <c r="BJA147" s="1251"/>
      <c r="BJB147" s="1251"/>
      <c r="BJC147" s="1251"/>
      <c r="BJD147" s="1251"/>
      <c r="BJE147" s="1251"/>
      <c r="BJF147" s="1251"/>
      <c r="BJG147" s="1251"/>
      <c r="BJH147" s="1251"/>
      <c r="BJI147" s="1251"/>
      <c r="BJJ147" s="1251"/>
      <c r="BJK147" s="1251"/>
      <c r="BJL147" s="1251"/>
      <c r="BJM147" s="1251"/>
      <c r="BJN147" s="1251"/>
      <c r="BJO147" s="1251"/>
      <c r="BJP147" s="1251"/>
      <c r="BJQ147" s="1251"/>
      <c r="BJR147" s="1251"/>
      <c r="BJS147" s="1251"/>
      <c r="BJT147" s="1251"/>
      <c r="BJU147" s="1251"/>
      <c r="BJV147" s="1251"/>
      <c r="BJW147" s="1251"/>
      <c r="BJX147" s="1251"/>
      <c r="BJY147" s="1251"/>
      <c r="BJZ147" s="1251"/>
      <c r="BKA147" s="1251"/>
      <c r="BKB147" s="1251"/>
      <c r="BKC147" s="1251"/>
      <c r="BKD147" s="1251"/>
      <c r="BKE147" s="1251"/>
      <c r="BKF147" s="1251"/>
      <c r="BKG147" s="1251"/>
      <c r="BKH147" s="1251"/>
      <c r="BKI147" s="1251"/>
      <c r="BKJ147" s="1251"/>
      <c r="BKK147" s="1251"/>
      <c r="BKL147" s="1251"/>
      <c r="BKM147" s="1251"/>
      <c r="BKN147" s="1251"/>
      <c r="BKO147" s="1251"/>
      <c r="BKP147" s="1251"/>
      <c r="BKQ147" s="1251"/>
      <c r="BKR147" s="1251"/>
      <c r="BKS147" s="1251"/>
      <c r="BKT147" s="1251"/>
      <c r="BKU147" s="1251"/>
      <c r="BKV147" s="1251"/>
      <c r="BKW147" s="1251"/>
      <c r="BKX147" s="1251"/>
      <c r="BKY147" s="1251"/>
      <c r="BKZ147" s="1251"/>
      <c r="BLA147" s="1251"/>
      <c r="BLB147" s="1251"/>
      <c r="BLC147" s="1251"/>
      <c r="BLD147" s="1251"/>
      <c r="BLE147" s="1251"/>
      <c r="BLF147" s="1251"/>
      <c r="BLG147" s="1251"/>
      <c r="BLH147" s="1251"/>
      <c r="BLI147" s="1251"/>
      <c r="BLJ147" s="1251"/>
      <c r="BLK147" s="1251"/>
      <c r="BLL147" s="1251"/>
      <c r="BLM147" s="1251"/>
      <c r="BLN147" s="1251"/>
      <c r="BLO147" s="1251"/>
      <c r="BLP147" s="1251"/>
      <c r="BLQ147" s="1251"/>
      <c r="BLR147" s="1251"/>
      <c r="BLS147" s="1251"/>
      <c r="BLT147" s="1251"/>
      <c r="BLU147" s="1251"/>
      <c r="BLV147" s="1251"/>
      <c r="BLW147" s="1251"/>
      <c r="BLX147" s="1251"/>
      <c r="BLY147" s="1251"/>
      <c r="BLZ147" s="1251"/>
      <c r="BMA147" s="1251"/>
      <c r="BMB147" s="1251"/>
      <c r="BMC147" s="1251"/>
      <c r="BMD147" s="1251"/>
      <c r="BME147" s="1251"/>
      <c r="BMF147" s="1251"/>
      <c r="BMG147" s="1251"/>
      <c r="BMH147" s="1251"/>
      <c r="BMI147" s="1251"/>
      <c r="BMJ147" s="1251"/>
      <c r="BMK147" s="1251"/>
      <c r="BML147" s="1251"/>
      <c r="BMM147" s="1251"/>
      <c r="BMN147" s="1251"/>
      <c r="BMO147" s="1251"/>
      <c r="BMP147" s="1251"/>
      <c r="BMQ147" s="1251"/>
      <c r="BMR147" s="1251"/>
      <c r="BMS147" s="1251"/>
      <c r="BMT147" s="1251"/>
      <c r="BMU147" s="1251"/>
      <c r="BMV147" s="1251"/>
      <c r="BMW147" s="1251"/>
      <c r="BMX147" s="1251"/>
      <c r="BMY147" s="1251"/>
      <c r="BMZ147" s="1251"/>
      <c r="BNA147" s="1251"/>
      <c r="BNB147" s="1251"/>
      <c r="BNC147" s="1251"/>
      <c r="BND147" s="1251"/>
      <c r="BNE147" s="1251"/>
      <c r="BNF147" s="1251"/>
      <c r="BNG147" s="1251"/>
      <c r="BNH147" s="1251"/>
      <c r="BNI147" s="1251"/>
      <c r="BNJ147" s="1251"/>
      <c r="BNK147" s="1251"/>
      <c r="BNL147" s="1251"/>
      <c r="BNM147" s="1251"/>
      <c r="BNN147" s="1251"/>
      <c r="BNO147" s="1251"/>
      <c r="BNP147" s="1251"/>
      <c r="BNQ147" s="1251"/>
      <c r="BNR147" s="1251"/>
      <c r="BNS147" s="1251"/>
      <c r="BNT147" s="1251"/>
      <c r="BNU147" s="1251"/>
      <c r="BNV147" s="1251"/>
      <c r="BNW147" s="1251"/>
      <c r="BNX147" s="1251"/>
      <c r="BNY147" s="1251"/>
      <c r="BNZ147" s="1251"/>
      <c r="BOA147" s="1251"/>
      <c r="BOB147" s="1251"/>
      <c r="BOC147" s="1251"/>
      <c r="BOD147" s="1251"/>
      <c r="BOE147" s="1251"/>
      <c r="BOF147" s="1251"/>
      <c r="BOG147" s="1251"/>
      <c r="BOH147" s="1251"/>
      <c r="BOI147" s="1251"/>
      <c r="BOJ147" s="1251"/>
      <c r="BOK147" s="1251"/>
      <c r="BOL147" s="1251"/>
      <c r="BOM147" s="1251"/>
      <c r="BON147" s="1251"/>
      <c r="BOO147" s="1251"/>
      <c r="BOP147" s="1251"/>
      <c r="BOQ147" s="1251"/>
      <c r="BOR147" s="1251"/>
      <c r="BOS147" s="1251"/>
      <c r="BOT147" s="1251"/>
      <c r="BOU147" s="1251"/>
      <c r="BOV147" s="1251"/>
      <c r="BOW147" s="1251"/>
      <c r="BOX147" s="1251"/>
      <c r="BOY147" s="1251"/>
      <c r="BOZ147" s="1251"/>
      <c r="BPA147" s="1251"/>
      <c r="BPB147" s="1251"/>
      <c r="BPC147" s="1251"/>
      <c r="BPD147" s="1251"/>
      <c r="BPE147" s="1251"/>
      <c r="BPF147" s="1251"/>
      <c r="BPG147" s="1251"/>
      <c r="BPH147" s="1251"/>
      <c r="BPI147" s="1251"/>
      <c r="BPJ147" s="1251"/>
      <c r="BPK147" s="1251"/>
      <c r="BPL147" s="1251"/>
      <c r="BPM147" s="1251"/>
      <c r="BPN147" s="1251"/>
      <c r="BPO147" s="1251"/>
      <c r="BPP147" s="1251"/>
      <c r="BPQ147" s="1251"/>
      <c r="BPR147" s="1251"/>
      <c r="BPS147" s="1251"/>
      <c r="BPT147" s="1251"/>
      <c r="BPU147" s="1251"/>
      <c r="BPV147" s="1251"/>
      <c r="BPW147" s="1251"/>
      <c r="BPX147" s="1251"/>
      <c r="BPY147" s="1251"/>
      <c r="BPZ147" s="1251"/>
      <c r="BQA147" s="1251"/>
      <c r="BQB147" s="1251"/>
      <c r="BQC147" s="1251"/>
      <c r="BQD147" s="1251"/>
      <c r="BQE147" s="1251"/>
      <c r="BQF147" s="1251"/>
      <c r="BQG147" s="1251"/>
      <c r="BQH147" s="1251"/>
      <c r="BQI147" s="1251"/>
      <c r="BQJ147" s="1251"/>
      <c r="BQK147" s="1251"/>
      <c r="BQL147" s="1251"/>
      <c r="BQM147" s="1251"/>
      <c r="BQN147" s="1251"/>
      <c r="BQO147" s="1251"/>
      <c r="BQP147" s="1251"/>
      <c r="BQQ147" s="1251"/>
      <c r="BQR147" s="1251"/>
      <c r="BQS147" s="1251"/>
      <c r="BQT147" s="1251"/>
      <c r="BQU147" s="1251"/>
      <c r="BQV147" s="1251"/>
      <c r="BQW147" s="1251"/>
      <c r="BQX147" s="1251"/>
      <c r="BQY147" s="1251"/>
      <c r="BQZ147" s="1251"/>
      <c r="BRA147" s="1251"/>
      <c r="BRB147" s="1251"/>
      <c r="BRC147" s="1251"/>
      <c r="BRD147" s="1251"/>
      <c r="BRE147" s="1251"/>
      <c r="BRF147" s="1251"/>
      <c r="BRG147" s="1251"/>
      <c r="BRH147" s="1251"/>
      <c r="BRI147" s="1251"/>
      <c r="BRJ147" s="1251"/>
      <c r="BRK147" s="1251"/>
      <c r="BRL147" s="1251"/>
      <c r="BRM147" s="1251"/>
      <c r="BRN147" s="1251"/>
      <c r="BRO147" s="1251"/>
      <c r="BRP147" s="1251"/>
      <c r="BRQ147" s="1251"/>
      <c r="BRR147" s="1251"/>
      <c r="BRS147" s="1251"/>
      <c r="BRT147" s="1251"/>
      <c r="BRU147" s="1251"/>
      <c r="BRV147" s="1251"/>
      <c r="BRW147" s="1251"/>
      <c r="BRX147" s="1251"/>
      <c r="BRY147" s="1251"/>
      <c r="BRZ147" s="1251"/>
      <c r="BSA147" s="1251"/>
      <c r="BSB147" s="1251"/>
      <c r="BSC147" s="1251"/>
      <c r="BSD147" s="1251"/>
      <c r="BSE147" s="1251"/>
      <c r="BSF147" s="1251"/>
      <c r="BSG147" s="1251"/>
      <c r="BSH147" s="1251"/>
      <c r="BSI147" s="1251"/>
      <c r="BSJ147" s="1251"/>
      <c r="BSK147" s="1251"/>
      <c r="BSL147" s="1251"/>
      <c r="BSM147" s="1251"/>
      <c r="BSN147" s="1251"/>
      <c r="BSO147" s="1251"/>
      <c r="BSP147" s="1251"/>
      <c r="BSQ147" s="1251"/>
      <c r="BSR147" s="1251"/>
      <c r="BSS147" s="1251"/>
      <c r="BST147" s="1251"/>
      <c r="BSU147" s="1251"/>
      <c r="BSV147" s="1251"/>
      <c r="BSW147" s="1251"/>
      <c r="BSX147" s="1251"/>
      <c r="BSY147" s="1251"/>
      <c r="BSZ147" s="1251"/>
      <c r="BTA147" s="1251"/>
      <c r="BTB147" s="1251"/>
      <c r="BTC147" s="1251"/>
      <c r="BTD147" s="1251"/>
      <c r="BTE147" s="1251"/>
      <c r="BTF147" s="1251"/>
      <c r="BTG147" s="1251"/>
      <c r="BTH147" s="1251"/>
      <c r="BTI147" s="1251"/>
    </row>
    <row r="148" spans="1:1881" s="1261" customFormat="1" ht="105" hidden="1" customHeight="1" x14ac:dyDescent="0.3">
      <c r="A148" s="1248">
        <v>375</v>
      </c>
      <c r="B148" s="659" t="s">
        <v>62</v>
      </c>
      <c r="C148" s="659" t="s">
        <v>1385</v>
      </c>
      <c r="D148" s="24" t="s">
        <v>1391</v>
      </c>
      <c r="E148" s="1249" t="e">
        <f>HLOOKUP($D$2,'2020 Data(H)'!$C$1:$CZ$426,134,FALSE)</f>
        <v>#N/A</v>
      </c>
      <c r="F148" s="1263">
        <v>0</v>
      </c>
      <c r="G148" s="736"/>
      <c r="H148" s="17"/>
      <c r="I148" s="760"/>
      <c r="J148" s="1251"/>
      <c r="K148" s="1251"/>
      <c r="L148" s="1251"/>
      <c r="M148" s="1251"/>
      <c r="N148" s="1253"/>
      <c r="O148" s="1251"/>
      <c r="P148" s="1251"/>
      <c r="Q148" s="1251"/>
      <c r="R148" s="1251"/>
      <c r="S148" s="1251"/>
      <c r="T148" s="1251"/>
      <c r="U148" s="1251"/>
      <c r="V148" s="1251"/>
      <c r="W148" s="1251"/>
      <c r="X148" s="1251"/>
      <c r="Y148" s="1251"/>
      <c r="Z148" s="1248"/>
      <c r="AA148" s="1248"/>
      <c r="AB148" s="1248"/>
      <c r="AC148" s="1248"/>
      <c r="AD148" s="1248"/>
      <c r="AE148" s="1248"/>
      <c r="AF148" s="1248"/>
      <c r="AG148" s="1248"/>
      <c r="AH148" s="1248"/>
      <c r="AI148" s="1248"/>
      <c r="AJ148" s="1248"/>
      <c r="AK148" s="1248"/>
      <c r="AL148" s="1248"/>
      <c r="AM148" s="1248"/>
      <c r="AN148" s="1248"/>
      <c r="AO148" s="1248"/>
      <c r="AP148" s="1248"/>
      <c r="AQ148" s="1248"/>
      <c r="AR148" s="1248"/>
      <c r="AS148" s="1251"/>
      <c r="AT148" s="1251"/>
      <c r="AU148" s="1251"/>
      <c r="AV148" s="1251"/>
      <c r="AW148" s="1251"/>
      <c r="AX148" s="1251"/>
      <c r="AY148" s="1251"/>
      <c r="AZ148" s="1251"/>
      <c r="BA148" s="1251"/>
      <c r="BB148" s="1251"/>
      <c r="BC148" s="1251"/>
      <c r="BD148" s="1251"/>
      <c r="BE148" s="1251"/>
      <c r="BF148" s="1251"/>
      <c r="BG148" s="1251"/>
      <c r="BH148" s="1251"/>
      <c r="BI148" s="1251"/>
      <c r="BJ148" s="1251"/>
      <c r="BK148" s="1251"/>
      <c r="BL148" s="1251"/>
      <c r="BM148" s="1251"/>
      <c r="BN148" s="1251"/>
      <c r="BO148" s="1251"/>
      <c r="BP148" s="1251"/>
      <c r="BQ148" s="1251"/>
      <c r="BR148" s="1251"/>
      <c r="BS148" s="1251"/>
      <c r="BT148" s="1251"/>
      <c r="BU148" s="1251"/>
      <c r="BV148" s="1251"/>
      <c r="BW148" s="1251"/>
      <c r="BX148" s="1251"/>
      <c r="BY148" s="1251"/>
      <c r="BZ148" s="1251"/>
      <c r="CA148" s="1251"/>
      <c r="CB148" s="1251"/>
      <c r="CC148" s="1251"/>
      <c r="CD148" s="1251"/>
      <c r="CE148" s="1251"/>
      <c r="CF148" s="1251"/>
      <c r="CG148" s="1251"/>
      <c r="CH148" s="1251"/>
      <c r="CI148" s="1251"/>
      <c r="CJ148" s="1251"/>
      <c r="CK148" s="1251"/>
      <c r="CL148" s="1251"/>
      <c r="CM148" s="1251"/>
      <c r="CN148" s="1251"/>
      <c r="CO148" s="1251"/>
      <c r="CP148" s="1251"/>
      <c r="CQ148" s="1251"/>
      <c r="CR148" s="1251"/>
      <c r="CS148" s="1251"/>
      <c r="CT148" s="1251"/>
      <c r="CU148" s="1251"/>
      <c r="CV148" s="1251"/>
      <c r="CW148" s="1251"/>
      <c r="CX148" s="1251"/>
      <c r="CY148" s="1251"/>
      <c r="CZ148" s="1251"/>
      <c r="DA148" s="1251"/>
      <c r="DB148" s="1251"/>
      <c r="DC148" s="1251"/>
      <c r="DD148" s="1251"/>
      <c r="DE148" s="1251"/>
      <c r="DF148" s="1251"/>
      <c r="DG148" s="1251"/>
      <c r="DH148" s="1251"/>
      <c r="DI148" s="1251"/>
      <c r="DJ148" s="1251"/>
      <c r="DK148" s="1251"/>
      <c r="DL148" s="1251"/>
      <c r="DM148" s="1251"/>
      <c r="DN148" s="1251"/>
      <c r="DO148" s="1251"/>
      <c r="DP148" s="1251"/>
      <c r="DQ148" s="1251"/>
      <c r="DR148" s="1251"/>
      <c r="DS148" s="1251"/>
      <c r="DT148" s="1251"/>
      <c r="DU148" s="1251"/>
      <c r="DV148" s="1251"/>
      <c r="DW148" s="1251"/>
      <c r="DX148" s="1251"/>
      <c r="DY148" s="1251"/>
      <c r="DZ148" s="1251"/>
      <c r="EA148" s="1251"/>
      <c r="EB148" s="1251"/>
      <c r="EC148" s="1251"/>
      <c r="ED148" s="1251"/>
      <c r="EE148" s="1251"/>
      <c r="EF148" s="1251"/>
      <c r="EG148" s="1251"/>
      <c r="EH148" s="1251"/>
      <c r="EI148" s="1251"/>
      <c r="EJ148" s="1251"/>
      <c r="EK148" s="1251"/>
      <c r="EL148" s="1251"/>
      <c r="EM148" s="1251"/>
      <c r="EN148" s="1251"/>
      <c r="EO148" s="1251"/>
      <c r="EP148" s="1251"/>
      <c r="EQ148" s="1251"/>
      <c r="ER148" s="1251"/>
      <c r="ES148" s="1251"/>
      <c r="ET148" s="1251"/>
      <c r="EU148" s="1251"/>
      <c r="EV148" s="1251"/>
      <c r="EW148" s="1251"/>
      <c r="EX148" s="1251"/>
      <c r="EY148" s="1251"/>
      <c r="EZ148" s="1251"/>
      <c r="FA148" s="1251"/>
      <c r="FB148" s="1251"/>
      <c r="FC148" s="1251"/>
      <c r="FD148" s="1251"/>
      <c r="FE148" s="1251"/>
      <c r="FF148" s="1251"/>
      <c r="FG148" s="1251"/>
      <c r="FH148" s="1251"/>
      <c r="FI148" s="1251"/>
      <c r="FJ148" s="1251"/>
      <c r="FK148" s="1251"/>
      <c r="FL148" s="1251"/>
      <c r="FM148" s="1251"/>
      <c r="FN148" s="1251"/>
      <c r="FO148" s="1251"/>
      <c r="FP148" s="1251"/>
      <c r="FQ148" s="1251"/>
      <c r="FR148" s="1251"/>
      <c r="FS148" s="1251"/>
      <c r="FT148" s="1251"/>
      <c r="FU148" s="1251"/>
      <c r="FV148" s="1251"/>
      <c r="FW148" s="1251"/>
      <c r="FX148" s="1251"/>
      <c r="FY148" s="1251"/>
      <c r="FZ148" s="1251"/>
      <c r="GA148" s="1251"/>
      <c r="GB148" s="1251"/>
      <c r="GC148" s="1251"/>
      <c r="GD148" s="1251"/>
      <c r="GE148" s="1251"/>
      <c r="GF148" s="1251"/>
      <c r="GG148" s="1251"/>
      <c r="GH148" s="1251"/>
      <c r="GI148" s="1251"/>
      <c r="GJ148" s="1251"/>
      <c r="GK148" s="1251"/>
      <c r="GL148" s="1251"/>
      <c r="GM148" s="1251"/>
      <c r="GN148" s="1251"/>
      <c r="GO148" s="1251"/>
      <c r="GP148" s="1251"/>
      <c r="GQ148" s="1251"/>
      <c r="GR148" s="1251"/>
      <c r="GS148" s="1251"/>
      <c r="GT148" s="1251"/>
      <c r="GU148" s="1251"/>
      <c r="GV148" s="1251"/>
      <c r="GW148" s="1251"/>
      <c r="GX148" s="1251"/>
      <c r="GY148" s="1251"/>
      <c r="GZ148" s="1251"/>
      <c r="HA148" s="1251"/>
      <c r="HB148" s="1251"/>
      <c r="HC148" s="1251"/>
      <c r="HD148" s="1251"/>
      <c r="HE148" s="1251"/>
      <c r="HF148" s="1251"/>
      <c r="HG148" s="1251"/>
      <c r="HH148" s="1251"/>
      <c r="HI148" s="1251"/>
      <c r="HJ148" s="1251"/>
      <c r="HK148" s="1251"/>
      <c r="HL148" s="1251"/>
      <c r="HM148" s="1251"/>
      <c r="HN148" s="1251"/>
      <c r="HO148" s="1251"/>
      <c r="HP148" s="1251"/>
      <c r="HQ148" s="1251"/>
      <c r="HR148" s="1251"/>
      <c r="HS148" s="1251"/>
      <c r="HT148" s="1251"/>
      <c r="HU148" s="1251"/>
      <c r="HV148" s="1251"/>
      <c r="HW148" s="1251"/>
      <c r="HX148" s="1251"/>
      <c r="HY148" s="1251"/>
      <c r="HZ148" s="1251"/>
      <c r="IA148" s="1251"/>
      <c r="IB148" s="1251"/>
      <c r="IC148" s="1251"/>
      <c r="ID148" s="1251"/>
      <c r="IE148" s="1251"/>
      <c r="IF148" s="1251"/>
      <c r="IG148" s="1251"/>
      <c r="IH148" s="1251"/>
      <c r="II148" s="1251"/>
      <c r="IJ148" s="1251"/>
      <c r="IK148" s="1251"/>
      <c r="IL148" s="1251"/>
      <c r="IM148" s="1251"/>
      <c r="IN148" s="1251"/>
      <c r="IO148" s="1251"/>
      <c r="IP148" s="1251"/>
      <c r="IQ148" s="1251"/>
      <c r="IR148" s="1251"/>
      <c r="IS148" s="1251"/>
      <c r="IT148" s="1251"/>
      <c r="IU148" s="1251"/>
      <c r="IV148" s="1251"/>
      <c r="IW148" s="1251"/>
      <c r="IX148" s="1251"/>
      <c r="IY148" s="1251"/>
      <c r="IZ148" s="1251"/>
      <c r="JA148" s="1251"/>
      <c r="JB148" s="1251"/>
      <c r="JC148" s="1251"/>
      <c r="JD148" s="1251"/>
      <c r="JE148" s="1251"/>
      <c r="JF148" s="1251"/>
      <c r="JG148" s="1251"/>
      <c r="JH148" s="1251"/>
      <c r="JI148" s="1251"/>
      <c r="JJ148" s="1251"/>
      <c r="JK148" s="1251"/>
      <c r="JL148" s="1251"/>
      <c r="JM148" s="1251"/>
      <c r="JN148" s="1251"/>
      <c r="JO148" s="1251"/>
      <c r="JP148" s="1251"/>
      <c r="JQ148" s="1251"/>
      <c r="JR148" s="1251"/>
      <c r="JS148" s="1251"/>
      <c r="JT148" s="1251"/>
      <c r="JU148" s="1251"/>
      <c r="JV148" s="1251"/>
      <c r="JW148" s="1251"/>
      <c r="JX148" s="1251"/>
      <c r="JY148" s="1251"/>
      <c r="JZ148" s="1251"/>
      <c r="KA148" s="1251"/>
      <c r="KB148" s="1251"/>
      <c r="KC148" s="1251"/>
      <c r="KD148" s="1251"/>
      <c r="KE148" s="1251"/>
      <c r="KF148" s="1251"/>
      <c r="KG148" s="1251"/>
      <c r="KH148" s="1251"/>
      <c r="KI148" s="1251"/>
      <c r="KJ148" s="1251"/>
      <c r="KK148" s="1251"/>
      <c r="KL148" s="1251"/>
      <c r="KM148" s="1251"/>
      <c r="KN148" s="1251"/>
      <c r="KO148" s="1251"/>
      <c r="KP148" s="1251"/>
      <c r="KQ148" s="1251"/>
      <c r="KR148" s="1251"/>
      <c r="KS148" s="1251"/>
      <c r="KT148" s="1251"/>
      <c r="KU148" s="1251"/>
      <c r="KV148" s="1251"/>
      <c r="KW148" s="1251"/>
      <c r="KX148" s="1251"/>
      <c r="KY148" s="1251"/>
      <c r="KZ148" s="1251"/>
      <c r="LA148" s="1251"/>
      <c r="LB148" s="1251"/>
      <c r="LC148" s="1251"/>
      <c r="LD148" s="1251"/>
      <c r="LE148" s="1251"/>
      <c r="LF148" s="1251"/>
      <c r="LG148" s="1251"/>
      <c r="LH148" s="1251"/>
      <c r="LI148" s="1251"/>
      <c r="LJ148" s="1251"/>
      <c r="LK148" s="1251"/>
      <c r="LL148" s="1251"/>
      <c r="LM148" s="1251"/>
      <c r="LN148" s="1251"/>
      <c r="LO148" s="1251"/>
      <c r="LP148" s="1251"/>
      <c r="LQ148" s="1251"/>
      <c r="LR148" s="1251"/>
      <c r="LS148" s="1251"/>
      <c r="LT148" s="1251"/>
      <c r="LU148" s="1251"/>
      <c r="LV148" s="1251"/>
      <c r="LW148" s="1251"/>
      <c r="LX148" s="1251"/>
      <c r="LY148" s="1251"/>
      <c r="LZ148" s="1251"/>
      <c r="MA148" s="1251"/>
      <c r="MB148" s="1251"/>
      <c r="MC148" s="1251"/>
      <c r="MD148" s="1251"/>
      <c r="ME148" s="1251"/>
      <c r="MF148" s="1251"/>
      <c r="MG148" s="1251"/>
      <c r="MH148" s="1251"/>
      <c r="MI148" s="1251"/>
      <c r="MJ148" s="1251"/>
      <c r="MK148" s="1251"/>
      <c r="ML148" s="1251"/>
      <c r="MM148" s="1251"/>
      <c r="MN148" s="1251"/>
      <c r="MO148" s="1251"/>
      <c r="MP148" s="1251"/>
      <c r="MQ148" s="1251"/>
      <c r="MR148" s="1251"/>
      <c r="MS148" s="1251"/>
      <c r="MT148" s="1251"/>
      <c r="MU148" s="1251"/>
      <c r="MV148" s="1251"/>
      <c r="MW148" s="1251"/>
      <c r="MX148" s="1251"/>
      <c r="MY148" s="1251"/>
      <c r="MZ148" s="1251"/>
      <c r="NA148" s="1251"/>
      <c r="NB148" s="1251"/>
      <c r="NC148" s="1251"/>
      <c r="ND148" s="1251"/>
      <c r="NE148" s="1251"/>
      <c r="NF148" s="1251"/>
      <c r="NG148" s="1251"/>
      <c r="NH148" s="1251"/>
      <c r="NI148" s="1251"/>
      <c r="NJ148" s="1251"/>
      <c r="NK148" s="1251"/>
      <c r="NL148" s="1251"/>
      <c r="NM148" s="1251"/>
      <c r="NN148" s="1251"/>
      <c r="NO148" s="1251"/>
      <c r="NP148" s="1251"/>
      <c r="NQ148" s="1251"/>
      <c r="NR148" s="1251"/>
      <c r="NS148" s="1251"/>
      <c r="NT148" s="1251"/>
      <c r="NU148" s="1251"/>
      <c r="NV148" s="1251"/>
      <c r="NW148" s="1251"/>
      <c r="NX148" s="1251"/>
      <c r="NY148" s="1251"/>
      <c r="NZ148" s="1251"/>
      <c r="OA148" s="1251"/>
      <c r="OB148" s="1251"/>
      <c r="OC148" s="1251"/>
      <c r="OD148" s="1251"/>
      <c r="OE148" s="1251"/>
      <c r="OF148" s="1251"/>
      <c r="OG148" s="1251"/>
      <c r="OH148" s="1251"/>
      <c r="OI148" s="1251"/>
      <c r="OJ148" s="1251"/>
      <c r="OK148" s="1251"/>
      <c r="OL148" s="1251"/>
      <c r="OM148" s="1251"/>
      <c r="ON148" s="1251"/>
      <c r="OO148" s="1251"/>
      <c r="OP148" s="1251"/>
      <c r="OQ148" s="1251"/>
      <c r="OR148" s="1251"/>
      <c r="OS148" s="1251"/>
      <c r="OT148" s="1251"/>
      <c r="OU148" s="1251"/>
      <c r="OV148" s="1251"/>
      <c r="OW148" s="1251"/>
      <c r="OX148" s="1251"/>
      <c r="OY148" s="1251"/>
      <c r="OZ148" s="1251"/>
      <c r="PA148" s="1251"/>
      <c r="PB148" s="1251"/>
      <c r="PC148" s="1251"/>
      <c r="PD148" s="1251"/>
      <c r="PE148" s="1251"/>
      <c r="PF148" s="1251"/>
      <c r="PG148" s="1251"/>
      <c r="PH148" s="1251"/>
      <c r="PI148" s="1251"/>
      <c r="PJ148" s="1251"/>
      <c r="PK148" s="1251"/>
      <c r="PL148" s="1251"/>
      <c r="PM148" s="1251"/>
      <c r="PN148" s="1251"/>
      <c r="PO148" s="1251"/>
      <c r="PP148" s="1251"/>
      <c r="PQ148" s="1251"/>
      <c r="PR148" s="1251"/>
      <c r="PS148" s="1251"/>
      <c r="PT148" s="1251"/>
      <c r="PU148" s="1251"/>
      <c r="PV148" s="1251"/>
      <c r="PW148" s="1251"/>
      <c r="PX148" s="1251"/>
      <c r="PY148" s="1251"/>
      <c r="PZ148" s="1251"/>
      <c r="QA148" s="1251"/>
      <c r="QB148" s="1251"/>
      <c r="QC148" s="1251"/>
      <c r="QD148" s="1251"/>
      <c r="QE148" s="1251"/>
      <c r="QF148" s="1251"/>
      <c r="QG148" s="1251"/>
      <c r="QH148" s="1251"/>
      <c r="QI148" s="1251"/>
      <c r="QJ148" s="1251"/>
      <c r="QK148" s="1251"/>
      <c r="QL148" s="1251"/>
      <c r="QM148" s="1251"/>
      <c r="QN148" s="1251"/>
      <c r="QO148" s="1251"/>
      <c r="QP148" s="1251"/>
      <c r="QQ148" s="1251"/>
      <c r="QR148" s="1251"/>
      <c r="QS148" s="1251"/>
      <c r="QT148" s="1251"/>
      <c r="QU148" s="1251"/>
      <c r="QV148" s="1251"/>
      <c r="QW148" s="1251"/>
      <c r="QX148" s="1251"/>
      <c r="QY148" s="1251"/>
      <c r="QZ148" s="1251"/>
      <c r="RA148" s="1251"/>
      <c r="RB148" s="1251"/>
      <c r="RC148" s="1251"/>
      <c r="RD148" s="1251"/>
      <c r="RE148" s="1251"/>
      <c r="RF148" s="1251"/>
      <c r="RG148" s="1251"/>
      <c r="RH148" s="1251"/>
      <c r="RI148" s="1251"/>
      <c r="RJ148" s="1251"/>
      <c r="RK148" s="1251"/>
      <c r="RL148" s="1251"/>
      <c r="RM148" s="1251"/>
      <c r="RN148" s="1251"/>
      <c r="RO148" s="1251"/>
      <c r="RP148" s="1251"/>
      <c r="RQ148" s="1251"/>
      <c r="RR148" s="1251"/>
      <c r="RS148" s="1251"/>
      <c r="RT148" s="1251"/>
      <c r="RU148" s="1251"/>
      <c r="RV148" s="1251"/>
      <c r="RW148" s="1251"/>
      <c r="RX148" s="1251"/>
      <c r="RY148" s="1251"/>
      <c r="RZ148" s="1251"/>
      <c r="SA148" s="1251"/>
      <c r="SB148" s="1251"/>
      <c r="SC148" s="1251"/>
      <c r="SD148" s="1251"/>
      <c r="SE148" s="1251"/>
      <c r="SF148" s="1251"/>
      <c r="SG148" s="1251"/>
      <c r="SH148" s="1251"/>
      <c r="SI148" s="1251"/>
      <c r="SJ148" s="1251"/>
      <c r="SK148" s="1251"/>
      <c r="SL148" s="1251"/>
      <c r="SM148" s="1251"/>
      <c r="SN148" s="1251"/>
      <c r="SO148" s="1251"/>
      <c r="SP148" s="1251"/>
      <c r="SQ148" s="1251"/>
      <c r="SR148" s="1251"/>
      <c r="SS148" s="1251"/>
      <c r="ST148" s="1251"/>
      <c r="SU148" s="1251"/>
      <c r="SV148" s="1251"/>
      <c r="SW148" s="1251"/>
      <c r="SX148" s="1251"/>
      <c r="SY148" s="1251"/>
      <c r="SZ148" s="1251"/>
      <c r="TA148" s="1251"/>
      <c r="TB148" s="1251"/>
      <c r="TC148" s="1251"/>
      <c r="TD148" s="1251"/>
      <c r="TE148" s="1251"/>
      <c r="TF148" s="1251"/>
      <c r="TG148" s="1251"/>
      <c r="TH148" s="1251"/>
      <c r="TI148" s="1251"/>
      <c r="TJ148" s="1251"/>
      <c r="TK148" s="1251"/>
      <c r="TL148" s="1251"/>
      <c r="TM148" s="1251"/>
      <c r="TN148" s="1251"/>
      <c r="TO148" s="1251"/>
      <c r="TP148" s="1251"/>
      <c r="TQ148" s="1251"/>
      <c r="TR148" s="1251"/>
      <c r="TS148" s="1251"/>
      <c r="TT148" s="1251"/>
      <c r="TU148" s="1251"/>
      <c r="TV148" s="1251"/>
      <c r="TW148" s="1251"/>
      <c r="TX148" s="1251"/>
      <c r="TY148" s="1251"/>
      <c r="TZ148" s="1251"/>
      <c r="UA148" s="1251"/>
      <c r="UB148" s="1251"/>
      <c r="UC148" s="1251"/>
      <c r="UD148" s="1251"/>
      <c r="UE148" s="1251"/>
      <c r="UF148" s="1251"/>
      <c r="UG148" s="1251"/>
      <c r="UH148" s="1251"/>
      <c r="UI148" s="1251"/>
      <c r="UJ148" s="1251"/>
      <c r="UK148" s="1251"/>
      <c r="UL148" s="1251"/>
      <c r="UM148" s="1251"/>
      <c r="UN148" s="1251"/>
      <c r="UO148" s="1251"/>
      <c r="UP148" s="1251"/>
      <c r="UQ148" s="1251"/>
      <c r="UR148" s="1251"/>
      <c r="US148" s="1251"/>
      <c r="UT148" s="1251"/>
      <c r="UU148" s="1251"/>
      <c r="UV148" s="1251"/>
      <c r="UW148" s="1251"/>
      <c r="UX148" s="1251"/>
      <c r="UY148" s="1251"/>
      <c r="UZ148" s="1251"/>
      <c r="VA148" s="1251"/>
      <c r="VB148" s="1251"/>
      <c r="VC148" s="1251"/>
      <c r="VD148" s="1251"/>
      <c r="VE148" s="1251"/>
      <c r="VF148" s="1251"/>
      <c r="VG148" s="1251"/>
      <c r="VH148" s="1251"/>
      <c r="VI148" s="1251"/>
      <c r="VJ148" s="1251"/>
      <c r="VK148" s="1251"/>
      <c r="VL148" s="1251"/>
      <c r="VM148" s="1251"/>
      <c r="VN148" s="1251"/>
      <c r="VO148" s="1251"/>
      <c r="VP148" s="1251"/>
      <c r="VQ148" s="1251"/>
      <c r="VR148" s="1251"/>
      <c r="VS148" s="1251"/>
      <c r="VT148" s="1251"/>
      <c r="VU148" s="1251"/>
      <c r="VV148" s="1251"/>
      <c r="VW148" s="1251"/>
      <c r="VX148" s="1251"/>
      <c r="VY148" s="1251"/>
      <c r="VZ148" s="1251"/>
      <c r="WA148" s="1251"/>
      <c r="WB148" s="1251"/>
      <c r="WC148" s="1251"/>
      <c r="WD148" s="1251"/>
      <c r="WE148" s="1251"/>
      <c r="WF148" s="1251"/>
      <c r="WG148" s="1251"/>
      <c r="WH148" s="1251"/>
      <c r="WI148" s="1251"/>
      <c r="WJ148" s="1251"/>
      <c r="WK148" s="1251"/>
      <c r="WL148" s="1251"/>
      <c r="WM148" s="1251"/>
      <c r="WN148" s="1251"/>
      <c r="WO148" s="1251"/>
      <c r="WP148" s="1251"/>
      <c r="WQ148" s="1251"/>
      <c r="WR148" s="1251"/>
      <c r="WS148" s="1251"/>
      <c r="WT148" s="1251"/>
      <c r="WU148" s="1251"/>
      <c r="WV148" s="1251"/>
      <c r="WW148" s="1251"/>
      <c r="WX148" s="1251"/>
      <c r="WY148" s="1251"/>
      <c r="WZ148" s="1251"/>
      <c r="XA148" s="1251"/>
      <c r="XB148" s="1251"/>
      <c r="XC148" s="1251"/>
      <c r="XD148" s="1251"/>
      <c r="XE148" s="1251"/>
      <c r="XF148" s="1251"/>
      <c r="XG148" s="1251"/>
      <c r="XH148" s="1251"/>
      <c r="XI148" s="1251"/>
      <c r="XJ148" s="1251"/>
      <c r="XK148" s="1251"/>
      <c r="XL148" s="1251"/>
      <c r="XM148" s="1251"/>
      <c r="XN148" s="1251"/>
      <c r="XO148" s="1251"/>
      <c r="XP148" s="1251"/>
      <c r="XQ148" s="1251"/>
      <c r="XR148" s="1251"/>
      <c r="XS148" s="1251"/>
      <c r="XT148" s="1251"/>
      <c r="XU148" s="1251"/>
      <c r="XV148" s="1251"/>
      <c r="XW148" s="1251"/>
      <c r="XX148" s="1251"/>
      <c r="XY148" s="1251"/>
      <c r="XZ148" s="1251"/>
      <c r="YA148" s="1251"/>
      <c r="YB148" s="1251"/>
      <c r="YC148" s="1251"/>
      <c r="YD148" s="1251"/>
      <c r="YE148" s="1251"/>
      <c r="YF148" s="1251"/>
      <c r="YG148" s="1251"/>
      <c r="YH148" s="1251"/>
      <c r="YI148" s="1251"/>
      <c r="YJ148" s="1251"/>
      <c r="YK148" s="1251"/>
      <c r="YL148" s="1251"/>
      <c r="YM148" s="1251"/>
      <c r="YN148" s="1251"/>
      <c r="YO148" s="1251"/>
      <c r="YP148" s="1251"/>
      <c r="YQ148" s="1251"/>
      <c r="YR148" s="1251"/>
      <c r="YS148" s="1251"/>
      <c r="YT148" s="1251"/>
      <c r="YU148" s="1251"/>
      <c r="YV148" s="1251"/>
      <c r="YW148" s="1251"/>
      <c r="YX148" s="1251"/>
      <c r="YY148" s="1251"/>
      <c r="YZ148" s="1251"/>
      <c r="ZA148" s="1251"/>
      <c r="ZB148" s="1251"/>
      <c r="ZC148" s="1251"/>
      <c r="ZD148" s="1251"/>
      <c r="ZE148" s="1251"/>
      <c r="ZF148" s="1251"/>
      <c r="ZG148" s="1251"/>
      <c r="ZH148" s="1251"/>
      <c r="ZI148" s="1251"/>
      <c r="ZJ148" s="1251"/>
      <c r="ZK148" s="1251"/>
      <c r="ZL148" s="1251"/>
      <c r="ZM148" s="1251"/>
      <c r="ZN148" s="1251"/>
      <c r="ZO148" s="1251"/>
      <c r="ZP148" s="1251"/>
      <c r="ZQ148" s="1251"/>
      <c r="ZR148" s="1251"/>
      <c r="ZS148" s="1251"/>
      <c r="ZT148" s="1251"/>
      <c r="ZU148" s="1251"/>
      <c r="ZV148" s="1251"/>
      <c r="ZW148" s="1251"/>
      <c r="ZX148" s="1251"/>
      <c r="ZY148" s="1251"/>
      <c r="ZZ148" s="1251"/>
      <c r="AAA148" s="1251"/>
      <c r="AAB148" s="1251"/>
      <c r="AAC148" s="1251"/>
      <c r="AAD148" s="1251"/>
      <c r="AAE148" s="1251"/>
      <c r="AAF148" s="1251"/>
      <c r="AAG148" s="1251"/>
      <c r="AAH148" s="1251"/>
      <c r="AAI148" s="1251"/>
      <c r="AAJ148" s="1251"/>
      <c r="AAK148" s="1251"/>
      <c r="AAL148" s="1251"/>
      <c r="AAM148" s="1251"/>
      <c r="AAN148" s="1251"/>
      <c r="AAO148" s="1251"/>
      <c r="AAP148" s="1251"/>
      <c r="AAQ148" s="1251"/>
      <c r="AAR148" s="1251"/>
      <c r="AAS148" s="1251"/>
      <c r="AAT148" s="1251"/>
      <c r="AAU148" s="1251"/>
      <c r="AAV148" s="1251"/>
      <c r="AAW148" s="1251"/>
      <c r="AAX148" s="1251"/>
      <c r="AAY148" s="1251"/>
      <c r="AAZ148" s="1251"/>
      <c r="ABA148" s="1251"/>
      <c r="ABB148" s="1251"/>
      <c r="ABC148" s="1251"/>
      <c r="ABD148" s="1251"/>
      <c r="ABE148" s="1251"/>
      <c r="ABF148" s="1251"/>
      <c r="ABG148" s="1251"/>
      <c r="ABH148" s="1251"/>
      <c r="ABI148" s="1251"/>
      <c r="ABJ148" s="1251"/>
      <c r="ABK148" s="1251"/>
      <c r="ABL148" s="1251"/>
      <c r="ABM148" s="1251"/>
      <c r="ABN148" s="1251"/>
      <c r="ABO148" s="1251"/>
      <c r="ABP148" s="1251"/>
      <c r="ABQ148" s="1251"/>
      <c r="ABR148" s="1251"/>
      <c r="ABS148" s="1251"/>
      <c r="ABT148" s="1251"/>
      <c r="ABU148" s="1251"/>
      <c r="ABV148" s="1251"/>
      <c r="ABW148" s="1251"/>
      <c r="ABX148" s="1251"/>
      <c r="ABY148" s="1251"/>
      <c r="ABZ148" s="1251"/>
      <c r="ACA148" s="1251"/>
      <c r="ACB148" s="1251"/>
      <c r="ACC148" s="1251"/>
      <c r="ACD148" s="1251"/>
      <c r="ACE148" s="1251"/>
      <c r="ACF148" s="1251"/>
      <c r="ACG148" s="1251"/>
      <c r="ACH148" s="1251"/>
      <c r="ACI148" s="1251"/>
      <c r="ACJ148" s="1251"/>
      <c r="ACK148" s="1251"/>
      <c r="ACL148" s="1251"/>
      <c r="ACM148" s="1251"/>
      <c r="ACN148" s="1251"/>
      <c r="ACO148" s="1251"/>
      <c r="ACP148" s="1251"/>
      <c r="ACQ148" s="1251"/>
      <c r="ACR148" s="1251"/>
      <c r="ACS148" s="1251"/>
      <c r="ACT148" s="1251"/>
      <c r="ACU148" s="1251"/>
      <c r="ACV148" s="1251"/>
      <c r="ACW148" s="1251"/>
      <c r="ACX148" s="1251"/>
      <c r="ACY148" s="1251"/>
      <c r="ACZ148" s="1251"/>
      <c r="ADA148" s="1251"/>
      <c r="ADB148" s="1251"/>
      <c r="ADC148" s="1251"/>
      <c r="ADD148" s="1251"/>
      <c r="ADE148" s="1251"/>
      <c r="ADF148" s="1251"/>
      <c r="ADG148" s="1251"/>
      <c r="ADH148" s="1251"/>
      <c r="ADI148" s="1251"/>
      <c r="ADJ148" s="1251"/>
      <c r="ADK148" s="1251"/>
      <c r="ADL148" s="1251"/>
      <c r="ADM148" s="1251"/>
      <c r="ADN148" s="1251"/>
      <c r="ADO148" s="1251"/>
      <c r="ADP148" s="1251"/>
      <c r="ADQ148" s="1251"/>
      <c r="ADR148" s="1251"/>
      <c r="ADS148" s="1251"/>
      <c r="ADT148" s="1251"/>
      <c r="ADU148" s="1251"/>
      <c r="ADV148" s="1251"/>
      <c r="ADW148" s="1251"/>
      <c r="ADX148" s="1251"/>
      <c r="ADY148" s="1251"/>
      <c r="ADZ148" s="1251"/>
      <c r="AEA148" s="1251"/>
      <c r="AEB148" s="1251"/>
      <c r="AEC148" s="1251"/>
      <c r="AED148" s="1251"/>
      <c r="AEE148" s="1251"/>
      <c r="AEF148" s="1251"/>
      <c r="AEG148" s="1251"/>
      <c r="AEH148" s="1251"/>
      <c r="AEI148" s="1251"/>
      <c r="AEJ148" s="1251"/>
      <c r="AEK148" s="1251"/>
      <c r="AEL148" s="1251"/>
      <c r="AEM148" s="1251"/>
      <c r="AEN148" s="1251"/>
      <c r="AEO148" s="1251"/>
      <c r="AEP148" s="1251"/>
      <c r="AEQ148" s="1251"/>
      <c r="AER148" s="1251"/>
      <c r="AES148" s="1251"/>
      <c r="AET148" s="1251"/>
      <c r="AEU148" s="1251"/>
      <c r="AEV148" s="1251"/>
      <c r="AEW148" s="1251"/>
      <c r="AEX148" s="1251"/>
      <c r="AEY148" s="1251"/>
      <c r="AEZ148" s="1251"/>
      <c r="AFA148" s="1251"/>
      <c r="AFB148" s="1251"/>
      <c r="AFC148" s="1251"/>
      <c r="AFD148" s="1251"/>
      <c r="AFE148" s="1251"/>
      <c r="AFF148" s="1251"/>
      <c r="AFG148" s="1251"/>
      <c r="AFH148" s="1251"/>
      <c r="AFI148" s="1251"/>
      <c r="AFJ148" s="1251"/>
      <c r="AFK148" s="1251"/>
      <c r="AFL148" s="1251"/>
      <c r="AFM148" s="1251"/>
      <c r="AFN148" s="1251"/>
      <c r="AFO148" s="1251"/>
      <c r="AFP148" s="1251"/>
      <c r="AFQ148" s="1251"/>
      <c r="AFR148" s="1251"/>
      <c r="AFS148" s="1251"/>
      <c r="AFT148" s="1251"/>
      <c r="AFU148" s="1251"/>
      <c r="AFV148" s="1251"/>
      <c r="AFW148" s="1251"/>
      <c r="AFX148" s="1251"/>
      <c r="AFY148" s="1251"/>
      <c r="AFZ148" s="1251"/>
      <c r="AGA148" s="1251"/>
      <c r="AGB148" s="1251"/>
      <c r="AGC148" s="1251"/>
      <c r="AGD148" s="1251"/>
      <c r="AGE148" s="1251"/>
      <c r="AGF148" s="1251"/>
      <c r="AGG148" s="1251"/>
      <c r="AGH148" s="1251"/>
      <c r="AGI148" s="1251"/>
      <c r="AGJ148" s="1251"/>
      <c r="AGK148" s="1251"/>
      <c r="AGL148" s="1251"/>
      <c r="AGM148" s="1251"/>
      <c r="AGN148" s="1251"/>
      <c r="AGO148" s="1251"/>
      <c r="AGP148" s="1251"/>
      <c r="AGQ148" s="1251"/>
      <c r="AGR148" s="1251"/>
      <c r="AGS148" s="1251"/>
      <c r="AGT148" s="1251"/>
      <c r="AGU148" s="1251"/>
      <c r="AGV148" s="1251"/>
      <c r="AGW148" s="1251"/>
      <c r="AGX148" s="1251"/>
      <c r="AGY148" s="1251"/>
      <c r="AGZ148" s="1251"/>
      <c r="AHA148" s="1251"/>
      <c r="AHB148" s="1251"/>
      <c r="AHC148" s="1251"/>
      <c r="AHD148" s="1251"/>
      <c r="AHE148" s="1251"/>
      <c r="AHF148" s="1251"/>
      <c r="AHG148" s="1251"/>
      <c r="AHH148" s="1251"/>
      <c r="AHI148" s="1251"/>
      <c r="AHJ148" s="1251"/>
      <c r="AHK148" s="1251"/>
      <c r="AHL148" s="1251"/>
      <c r="AHM148" s="1251"/>
      <c r="AHN148" s="1251"/>
      <c r="AHO148" s="1251"/>
      <c r="AHP148" s="1251"/>
      <c r="AHQ148" s="1251"/>
      <c r="AHR148" s="1251"/>
      <c r="AHS148" s="1251"/>
      <c r="AHT148" s="1251"/>
      <c r="AHU148" s="1251"/>
      <c r="AHV148" s="1251"/>
      <c r="AHW148" s="1251"/>
      <c r="AHX148" s="1251"/>
      <c r="AHY148" s="1251"/>
      <c r="AHZ148" s="1251"/>
      <c r="AIA148" s="1251"/>
      <c r="AIB148" s="1251"/>
      <c r="AIC148" s="1251"/>
      <c r="AID148" s="1251"/>
      <c r="AIE148" s="1251"/>
      <c r="AIF148" s="1251"/>
      <c r="AIG148" s="1251"/>
      <c r="AIH148" s="1251"/>
      <c r="AII148" s="1251"/>
      <c r="AIJ148" s="1251"/>
      <c r="AIK148" s="1251"/>
      <c r="AIL148" s="1251"/>
      <c r="AIM148" s="1251"/>
      <c r="AIN148" s="1251"/>
      <c r="AIO148" s="1251"/>
      <c r="AIP148" s="1251"/>
      <c r="AIQ148" s="1251"/>
      <c r="AIR148" s="1251"/>
      <c r="AIS148" s="1251"/>
      <c r="AIT148" s="1251"/>
      <c r="AIU148" s="1251"/>
      <c r="AIV148" s="1251"/>
      <c r="AIW148" s="1251"/>
      <c r="AIX148" s="1251"/>
      <c r="AIY148" s="1251"/>
      <c r="AIZ148" s="1251"/>
      <c r="AJA148" s="1251"/>
      <c r="AJB148" s="1251"/>
      <c r="AJC148" s="1251"/>
      <c r="AJD148" s="1251"/>
      <c r="AJE148" s="1251"/>
      <c r="AJF148" s="1251"/>
      <c r="AJG148" s="1251"/>
      <c r="AJH148" s="1251"/>
      <c r="AJI148" s="1251"/>
      <c r="AJJ148" s="1251"/>
      <c r="AJK148" s="1251"/>
      <c r="AJL148" s="1251"/>
      <c r="AJM148" s="1251"/>
      <c r="AJN148" s="1251"/>
      <c r="AJO148" s="1251"/>
      <c r="AJP148" s="1251"/>
      <c r="AJQ148" s="1251"/>
      <c r="AJR148" s="1251"/>
      <c r="AJS148" s="1251"/>
      <c r="AJT148" s="1251"/>
      <c r="AJU148" s="1251"/>
      <c r="AJV148" s="1251"/>
      <c r="AJW148" s="1251"/>
      <c r="AJX148" s="1251"/>
      <c r="AJY148" s="1251"/>
      <c r="AJZ148" s="1251"/>
      <c r="AKA148" s="1251"/>
      <c r="AKB148" s="1251"/>
      <c r="AKC148" s="1251"/>
      <c r="AKD148" s="1251"/>
      <c r="AKE148" s="1251"/>
      <c r="AKF148" s="1251"/>
      <c r="AKG148" s="1251"/>
      <c r="AKH148" s="1251"/>
      <c r="AKI148" s="1251"/>
      <c r="AKJ148" s="1251"/>
      <c r="AKK148" s="1251"/>
      <c r="AKL148" s="1251"/>
      <c r="AKM148" s="1251"/>
      <c r="AKN148" s="1251"/>
      <c r="AKO148" s="1251"/>
      <c r="AKP148" s="1251"/>
      <c r="AKQ148" s="1251"/>
      <c r="AKR148" s="1251"/>
      <c r="AKS148" s="1251"/>
      <c r="AKT148" s="1251"/>
      <c r="AKU148" s="1251"/>
      <c r="AKV148" s="1251"/>
      <c r="AKW148" s="1251"/>
      <c r="AKX148" s="1251"/>
      <c r="AKY148" s="1251"/>
      <c r="AKZ148" s="1251"/>
      <c r="ALA148" s="1251"/>
      <c r="ALB148" s="1251"/>
      <c r="ALC148" s="1251"/>
      <c r="ALD148" s="1251"/>
      <c r="ALE148" s="1251"/>
      <c r="ALF148" s="1251"/>
      <c r="ALG148" s="1251"/>
      <c r="ALH148" s="1251"/>
      <c r="ALI148" s="1251"/>
      <c r="ALJ148" s="1251"/>
      <c r="ALK148" s="1251"/>
      <c r="ALL148" s="1251"/>
      <c r="ALM148" s="1251"/>
      <c r="ALN148" s="1251"/>
      <c r="ALO148" s="1251"/>
      <c r="ALP148" s="1251"/>
      <c r="ALQ148" s="1251"/>
      <c r="ALR148" s="1251"/>
      <c r="ALS148" s="1251"/>
      <c r="ALT148" s="1251"/>
      <c r="ALU148" s="1251"/>
      <c r="ALV148" s="1251"/>
      <c r="ALW148" s="1251"/>
      <c r="ALX148" s="1251"/>
      <c r="ALY148" s="1251"/>
      <c r="ALZ148" s="1251"/>
      <c r="AMA148" s="1251"/>
      <c r="AMB148" s="1251"/>
      <c r="AMC148" s="1251"/>
      <c r="AMD148" s="1251"/>
      <c r="AME148" s="1251"/>
      <c r="AMF148" s="1251"/>
      <c r="AMG148" s="1251"/>
      <c r="AMH148" s="1251"/>
      <c r="AMI148" s="1251"/>
      <c r="AMJ148" s="1251"/>
      <c r="AMK148" s="1251"/>
      <c r="AML148" s="1251"/>
      <c r="AMM148" s="1251"/>
      <c r="AMN148" s="1251"/>
      <c r="AMO148" s="1251"/>
      <c r="AMP148" s="1251"/>
      <c r="AMQ148" s="1251"/>
      <c r="AMR148" s="1251"/>
      <c r="AMS148" s="1251"/>
      <c r="AMT148" s="1251"/>
      <c r="AMU148" s="1251"/>
      <c r="AMV148" s="1251"/>
      <c r="AMW148" s="1251"/>
      <c r="AMX148" s="1251"/>
      <c r="AMY148" s="1251"/>
      <c r="AMZ148" s="1251"/>
      <c r="ANA148" s="1251"/>
      <c r="ANB148" s="1251"/>
      <c r="ANC148" s="1251"/>
      <c r="AND148" s="1251"/>
      <c r="ANE148" s="1251"/>
      <c r="ANF148" s="1251"/>
      <c r="ANG148" s="1251"/>
      <c r="ANH148" s="1251"/>
      <c r="ANI148" s="1251"/>
      <c r="ANJ148" s="1251"/>
      <c r="ANK148" s="1251"/>
      <c r="ANL148" s="1251"/>
      <c r="ANM148" s="1251"/>
      <c r="ANN148" s="1251"/>
      <c r="ANO148" s="1251"/>
      <c r="ANP148" s="1251"/>
      <c r="ANQ148" s="1251"/>
      <c r="ANR148" s="1251"/>
      <c r="ANS148" s="1251"/>
      <c r="ANT148" s="1251"/>
      <c r="ANU148" s="1251"/>
      <c r="ANV148" s="1251"/>
      <c r="ANW148" s="1251"/>
      <c r="ANX148" s="1251"/>
      <c r="ANY148" s="1251"/>
      <c r="ANZ148" s="1251"/>
      <c r="AOA148" s="1251"/>
      <c r="AOB148" s="1251"/>
      <c r="AOC148" s="1251"/>
      <c r="AOD148" s="1251"/>
      <c r="AOE148" s="1251"/>
      <c r="AOF148" s="1251"/>
      <c r="AOG148" s="1251"/>
      <c r="AOH148" s="1251"/>
      <c r="AOI148" s="1251"/>
      <c r="AOJ148" s="1251"/>
      <c r="AOK148" s="1251"/>
      <c r="AOL148" s="1251"/>
      <c r="AOM148" s="1251"/>
      <c r="AON148" s="1251"/>
      <c r="AOO148" s="1251"/>
      <c r="AOP148" s="1251"/>
      <c r="AOQ148" s="1251"/>
      <c r="AOR148" s="1251"/>
      <c r="AOS148" s="1251"/>
      <c r="AOT148" s="1251"/>
      <c r="AOU148" s="1251"/>
      <c r="AOV148" s="1251"/>
      <c r="AOW148" s="1251"/>
      <c r="AOX148" s="1251"/>
      <c r="AOY148" s="1251"/>
      <c r="AOZ148" s="1251"/>
      <c r="APA148" s="1251"/>
      <c r="APB148" s="1251"/>
      <c r="APC148" s="1251"/>
      <c r="APD148" s="1251"/>
      <c r="APE148" s="1251"/>
      <c r="APF148" s="1251"/>
      <c r="APG148" s="1251"/>
      <c r="APH148" s="1251"/>
      <c r="API148" s="1251"/>
      <c r="APJ148" s="1251"/>
      <c r="APK148" s="1251"/>
      <c r="APL148" s="1251"/>
      <c r="APM148" s="1251"/>
      <c r="APN148" s="1251"/>
      <c r="APO148" s="1251"/>
      <c r="APP148" s="1251"/>
      <c r="APQ148" s="1251"/>
      <c r="APR148" s="1251"/>
      <c r="APS148" s="1251"/>
      <c r="APT148" s="1251"/>
      <c r="APU148" s="1251"/>
      <c r="APV148" s="1251"/>
      <c r="APW148" s="1251"/>
      <c r="APX148" s="1251"/>
      <c r="APY148" s="1251"/>
      <c r="APZ148" s="1251"/>
      <c r="AQA148" s="1251"/>
      <c r="AQB148" s="1251"/>
      <c r="AQC148" s="1251"/>
      <c r="AQD148" s="1251"/>
      <c r="AQE148" s="1251"/>
      <c r="AQF148" s="1251"/>
      <c r="AQG148" s="1251"/>
      <c r="AQH148" s="1251"/>
      <c r="AQI148" s="1251"/>
      <c r="AQJ148" s="1251"/>
      <c r="AQK148" s="1251"/>
      <c r="AQL148" s="1251"/>
      <c r="AQM148" s="1251"/>
      <c r="AQN148" s="1251"/>
      <c r="AQO148" s="1251"/>
      <c r="AQP148" s="1251"/>
      <c r="AQQ148" s="1251"/>
      <c r="AQR148" s="1251"/>
      <c r="AQS148" s="1251"/>
      <c r="AQT148" s="1251"/>
      <c r="AQU148" s="1251"/>
      <c r="AQV148" s="1251"/>
      <c r="AQW148" s="1251"/>
      <c r="AQX148" s="1251"/>
      <c r="AQY148" s="1251"/>
      <c r="AQZ148" s="1251"/>
      <c r="ARA148" s="1251"/>
      <c r="ARB148" s="1251"/>
      <c r="ARC148" s="1251"/>
      <c r="ARD148" s="1251"/>
      <c r="ARE148" s="1251"/>
      <c r="ARF148" s="1251"/>
      <c r="ARG148" s="1251"/>
      <c r="ARH148" s="1251"/>
      <c r="ARI148" s="1251"/>
      <c r="ARJ148" s="1251"/>
      <c r="ARK148" s="1251"/>
      <c r="ARL148" s="1251"/>
      <c r="ARM148" s="1251"/>
      <c r="ARN148" s="1251"/>
      <c r="ARO148" s="1251"/>
      <c r="ARP148" s="1251"/>
      <c r="ARQ148" s="1251"/>
      <c r="ARR148" s="1251"/>
      <c r="ARS148" s="1251"/>
      <c r="ART148" s="1251"/>
      <c r="ARU148" s="1251"/>
      <c r="ARV148" s="1251"/>
      <c r="ARW148" s="1251"/>
      <c r="ARX148" s="1251"/>
      <c r="ARY148" s="1251"/>
      <c r="ARZ148" s="1251"/>
      <c r="ASA148" s="1251"/>
      <c r="ASB148" s="1251"/>
      <c r="ASC148" s="1251"/>
      <c r="ASD148" s="1251"/>
      <c r="ASE148" s="1251"/>
      <c r="ASF148" s="1251"/>
      <c r="ASG148" s="1251"/>
      <c r="ASH148" s="1251"/>
      <c r="ASI148" s="1251"/>
      <c r="ASJ148" s="1251"/>
      <c r="ASK148" s="1251"/>
      <c r="ASL148" s="1251"/>
      <c r="ASM148" s="1251"/>
      <c r="ASN148" s="1251"/>
      <c r="ASO148" s="1251"/>
      <c r="ASP148" s="1251"/>
      <c r="ASQ148" s="1251"/>
      <c r="ASR148" s="1251"/>
      <c r="ASS148" s="1251"/>
      <c r="AST148" s="1251"/>
      <c r="ASU148" s="1251"/>
      <c r="ASV148" s="1251"/>
      <c r="ASW148" s="1251"/>
      <c r="ASX148" s="1251"/>
      <c r="ASY148" s="1251"/>
      <c r="ASZ148" s="1251"/>
      <c r="ATA148" s="1251"/>
      <c r="ATB148" s="1251"/>
      <c r="ATC148" s="1251"/>
      <c r="ATD148" s="1251"/>
      <c r="ATE148" s="1251"/>
      <c r="ATF148" s="1251"/>
      <c r="ATG148" s="1251"/>
      <c r="ATH148" s="1251"/>
      <c r="ATI148" s="1251"/>
      <c r="ATJ148" s="1251"/>
      <c r="ATK148" s="1251"/>
      <c r="ATL148" s="1251"/>
      <c r="ATM148" s="1251"/>
      <c r="ATN148" s="1251"/>
      <c r="ATO148" s="1251"/>
      <c r="ATP148" s="1251"/>
      <c r="ATQ148" s="1251"/>
      <c r="ATR148" s="1251"/>
      <c r="ATS148" s="1251"/>
      <c r="ATT148" s="1251"/>
      <c r="ATU148" s="1251"/>
      <c r="ATV148" s="1251"/>
      <c r="ATW148" s="1251"/>
      <c r="ATX148" s="1251"/>
      <c r="ATY148" s="1251"/>
      <c r="ATZ148" s="1251"/>
      <c r="AUA148" s="1251"/>
      <c r="AUB148" s="1251"/>
      <c r="AUC148" s="1251"/>
      <c r="AUD148" s="1251"/>
      <c r="AUE148" s="1251"/>
      <c r="AUF148" s="1251"/>
      <c r="AUG148" s="1251"/>
      <c r="AUH148" s="1251"/>
      <c r="AUI148" s="1251"/>
      <c r="AUJ148" s="1251"/>
      <c r="AUK148" s="1251"/>
      <c r="AUL148" s="1251"/>
      <c r="AUM148" s="1251"/>
      <c r="AUN148" s="1251"/>
      <c r="AUO148" s="1251"/>
      <c r="AUP148" s="1251"/>
      <c r="AUQ148" s="1251"/>
      <c r="AUR148" s="1251"/>
      <c r="AUS148" s="1251"/>
      <c r="AUT148" s="1251"/>
      <c r="AUU148" s="1251"/>
      <c r="AUV148" s="1251"/>
      <c r="AUW148" s="1251"/>
      <c r="AUX148" s="1251"/>
      <c r="AUY148" s="1251"/>
      <c r="AUZ148" s="1251"/>
      <c r="AVA148" s="1251"/>
      <c r="AVB148" s="1251"/>
      <c r="AVC148" s="1251"/>
      <c r="AVD148" s="1251"/>
      <c r="AVE148" s="1251"/>
      <c r="AVF148" s="1251"/>
      <c r="AVG148" s="1251"/>
      <c r="AVH148" s="1251"/>
      <c r="AVI148" s="1251"/>
      <c r="AVJ148" s="1251"/>
      <c r="AVK148" s="1251"/>
      <c r="AVL148" s="1251"/>
      <c r="AVM148" s="1251"/>
      <c r="AVN148" s="1251"/>
      <c r="AVO148" s="1251"/>
      <c r="AVP148" s="1251"/>
      <c r="AVQ148" s="1251"/>
      <c r="AVR148" s="1251"/>
      <c r="AVS148" s="1251"/>
      <c r="AVT148" s="1251"/>
      <c r="AVU148" s="1251"/>
      <c r="AVV148" s="1251"/>
      <c r="AVW148" s="1251"/>
      <c r="AVX148" s="1251"/>
      <c r="AVY148" s="1251"/>
      <c r="AVZ148" s="1251"/>
      <c r="AWA148" s="1251"/>
      <c r="AWB148" s="1251"/>
      <c r="AWC148" s="1251"/>
      <c r="AWD148" s="1251"/>
      <c r="AWE148" s="1251"/>
      <c r="AWF148" s="1251"/>
      <c r="AWG148" s="1251"/>
      <c r="AWH148" s="1251"/>
      <c r="AWI148" s="1251"/>
      <c r="AWJ148" s="1251"/>
      <c r="AWK148" s="1251"/>
      <c r="AWL148" s="1251"/>
      <c r="AWM148" s="1251"/>
      <c r="AWN148" s="1251"/>
      <c r="AWO148" s="1251"/>
      <c r="AWP148" s="1251"/>
      <c r="AWQ148" s="1251"/>
      <c r="AWR148" s="1251"/>
      <c r="AWS148" s="1251"/>
      <c r="AWT148" s="1251"/>
      <c r="AWU148" s="1251"/>
      <c r="AWV148" s="1251"/>
      <c r="AWW148" s="1251"/>
      <c r="AWX148" s="1251"/>
      <c r="AWY148" s="1251"/>
      <c r="AWZ148" s="1251"/>
      <c r="AXA148" s="1251"/>
      <c r="AXB148" s="1251"/>
      <c r="AXC148" s="1251"/>
      <c r="AXD148" s="1251"/>
      <c r="AXE148" s="1251"/>
      <c r="AXF148" s="1251"/>
      <c r="AXG148" s="1251"/>
      <c r="AXH148" s="1251"/>
      <c r="AXI148" s="1251"/>
      <c r="AXJ148" s="1251"/>
      <c r="AXK148" s="1251"/>
      <c r="AXL148" s="1251"/>
      <c r="AXM148" s="1251"/>
      <c r="AXN148" s="1251"/>
      <c r="AXO148" s="1251"/>
      <c r="AXP148" s="1251"/>
      <c r="AXQ148" s="1251"/>
      <c r="AXR148" s="1251"/>
      <c r="AXS148" s="1251"/>
      <c r="AXT148" s="1251"/>
      <c r="AXU148" s="1251"/>
      <c r="AXV148" s="1251"/>
      <c r="AXW148" s="1251"/>
      <c r="AXX148" s="1251"/>
      <c r="AXY148" s="1251"/>
      <c r="AXZ148" s="1251"/>
      <c r="AYA148" s="1251"/>
      <c r="AYB148" s="1251"/>
      <c r="AYC148" s="1251"/>
      <c r="AYD148" s="1251"/>
      <c r="AYE148" s="1251"/>
      <c r="AYF148" s="1251"/>
      <c r="AYG148" s="1251"/>
      <c r="AYH148" s="1251"/>
      <c r="AYI148" s="1251"/>
      <c r="AYJ148" s="1251"/>
      <c r="AYK148" s="1251"/>
      <c r="AYL148" s="1251"/>
      <c r="AYM148" s="1251"/>
      <c r="AYN148" s="1251"/>
      <c r="AYO148" s="1251"/>
      <c r="AYP148" s="1251"/>
      <c r="AYQ148" s="1251"/>
      <c r="AYR148" s="1251"/>
      <c r="AYS148" s="1251"/>
      <c r="AYT148" s="1251"/>
      <c r="AYU148" s="1251"/>
      <c r="AYV148" s="1251"/>
      <c r="AYW148" s="1251"/>
      <c r="AYX148" s="1251"/>
      <c r="AYY148" s="1251"/>
      <c r="AYZ148" s="1251"/>
      <c r="AZA148" s="1251"/>
      <c r="AZB148" s="1251"/>
      <c r="AZC148" s="1251"/>
      <c r="AZD148" s="1251"/>
      <c r="AZE148" s="1251"/>
      <c r="AZF148" s="1251"/>
      <c r="AZG148" s="1251"/>
      <c r="AZH148" s="1251"/>
      <c r="AZI148" s="1251"/>
      <c r="AZJ148" s="1251"/>
      <c r="AZK148" s="1251"/>
      <c r="AZL148" s="1251"/>
      <c r="AZM148" s="1251"/>
      <c r="AZN148" s="1251"/>
      <c r="AZO148" s="1251"/>
      <c r="AZP148" s="1251"/>
      <c r="AZQ148" s="1251"/>
      <c r="AZR148" s="1251"/>
      <c r="AZS148" s="1251"/>
      <c r="AZT148" s="1251"/>
      <c r="AZU148" s="1251"/>
      <c r="AZV148" s="1251"/>
      <c r="AZW148" s="1251"/>
      <c r="AZX148" s="1251"/>
      <c r="AZY148" s="1251"/>
      <c r="AZZ148" s="1251"/>
      <c r="BAA148" s="1251"/>
      <c r="BAB148" s="1251"/>
      <c r="BAC148" s="1251"/>
      <c r="BAD148" s="1251"/>
      <c r="BAE148" s="1251"/>
      <c r="BAF148" s="1251"/>
      <c r="BAG148" s="1251"/>
      <c r="BAH148" s="1251"/>
      <c r="BAI148" s="1251"/>
      <c r="BAJ148" s="1251"/>
      <c r="BAK148" s="1251"/>
      <c r="BAL148" s="1251"/>
      <c r="BAM148" s="1251"/>
      <c r="BAN148" s="1251"/>
      <c r="BAO148" s="1251"/>
      <c r="BAP148" s="1251"/>
      <c r="BAQ148" s="1251"/>
      <c r="BAR148" s="1251"/>
      <c r="BAS148" s="1251"/>
      <c r="BAT148" s="1251"/>
      <c r="BAU148" s="1251"/>
      <c r="BAV148" s="1251"/>
      <c r="BAW148" s="1251"/>
      <c r="BAX148" s="1251"/>
      <c r="BAY148" s="1251"/>
      <c r="BAZ148" s="1251"/>
      <c r="BBA148" s="1251"/>
      <c r="BBB148" s="1251"/>
      <c r="BBC148" s="1251"/>
      <c r="BBD148" s="1251"/>
      <c r="BBE148" s="1251"/>
      <c r="BBF148" s="1251"/>
      <c r="BBG148" s="1251"/>
      <c r="BBH148" s="1251"/>
      <c r="BBI148" s="1251"/>
      <c r="BBJ148" s="1251"/>
      <c r="BBK148" s="1251"/>
      <c r="BBL148" s="1251"/>
      <c r="BBM148" s="1251"/>
      <c r="BBN148" s="1251"/>
      <c r="BBO148" s="1251"/>
      <c r="BBP148" s="1251"/>
      <c r="BBQ148" s="1251"/>
      <c r="BBR148" s="1251"/>
      <c r="BBS148" s="1251"/>
      <c r="BBT148" s="1251"/>
      <c r="BBU148" s="1251"/>
      <c r="BBV148" s="1251"/>
      <c r="BBW148" s="1251"/>
      <c r="BBX148" s="1251"/>
      <c r="BBY148" s="1251"/>
      <c r="BBZ148" s="1251"/>
      <c r="BCA148" s="1251"/>
      <c r="BCB148" s="1251"/>
      <c r="BCC148" s="1251"/>
      <c r="BCD148" s="1251"/>
      <c r="BCE148" s="1251"/>
      <c r="BCF148" s="1251"/>
      <c r="BCG148" s="1251"/>
      <c r="BCH148" s="1251"/>
      <c r="BCI148" s="1251"/>
      <c r="BCJ148" s="1251"/>
      <c r="BCK148" s="1251"/>
      <c r="BCL148" s="1251"/>
      <c r="BCM148" s="1251"/>
      <c r="BCN148" s="1251"/>
      <c r="BCO148" s="1251"/>
      <c r="BCP148" s="1251"/>
      <c r="BCQ148" s="1251"/>
      <c r="BCR148" s="1251"/>
      <c r="BCS148" s="1251"/>
      <c r="BCT148" s="1251"/>
      <c r="BCU148" s="1251"/>
      <c r="BCV148" s="1251"/>
      <c r="BCW148" s="1251"/>
      <c r="BCX148" s="1251"/>
      <c r="BCY148" s="1251"/>
      <c r="BCZ148" s="1251"/>
      <c r="BDA148" s="1251"/>
      <c r="BDB148" s="1251"/>
      <c r="BDC148" s="1251"/>
      <c r="BDD148" s="1251"/>
      <c r="BDE148" s="1251"/>
      <c r="BDF148" s="1251"/>
      <c r="BDG148" s="1251"/>
      <c r="BDH148" s="1251"/>
      <c r="BDI148" s="1251"/>
      <c r="BDJ148" s="1251"/>
      <c r="BDK148" s="1251"/>
      <c r="BDL148" s="1251"/>
      <c r="BDM148" s="1251"/>
      <c r="BDN148" s="1251"/>
      <c r="BDO148" s="1251"/>
      <c r="BDP148" s="1251"/>
      <c r="BDQ148" s="1251"/>
      <c r="BDR148" s="1251"/>
      <c r="BDS148" s="1251"/>
      <c r="BDT148" s="1251"/>
      <c r="BDU148" s="1251"/>
      <c r="BDV148" s="1251"/>
      <c r="BDW148" s="1251"/>
      <c r="BDX148" s="1251"/>
      <c r="BDY148" s="1251"/>
      <c r="BDZ148" s="1251"/>
      <c r="BEA148" s="1251"/>
      <c r="BEB148" s="1251"/>
      <c r="BEC148" s="1251"/>
      <c r="BED148" s="1251"/>
      <c r="BEE148" s="1251"/>
      <c r="BEF148" s="1251"/>
      <c r="BEG148" s="1251"/>
      <c r="BEH148" s="1251"/>
      <c r="BEI148" s="1251"/>
      <c r="BEJ148" s="1251"/>
      <c r="BEK148" s="1251"/>
      <c r="BEL148" s="1251"/>
      <c r="BEM148" s="1251"/>
      <c r="BEN148" s="1251"/>
      <c r="BEO148" s="1251"/>
      <c r="BEP148" s="1251"/>
      <c r="BEQ148" s="1251"/>
      <c r="BER148" s="1251"/>
      <c r="BES148" s="1251"/>
      <c r="BET148" s="1251"/>
      <c r="BEU148" s="1251"/>
      <c r="BEV148" s="1251"/>
      <c r="BEW148" s="1251"/>
      <c r="BEX148" s="1251"/>
      <c r="BEY148" s="1251"/>
      <c r="BEZ148" s="1251"/>
      <c r="BFA148" s="1251"/>
      <c r="BFB148" s="1251"/>
      <c r="BFC148" s="1251"/>
      <c r="BFD148" s="1251"/>
      <c r="BFE148" s="1251"/>
      <c r="BFF148" s="1251"/>
      <c r="BFG148" s="1251"/>
      <c r="BFH148" s="1251"/>
      <c r="BFI148" s="1251"/>
      <c r="BFJ148" s="1251"/>
      <c r="BFK148" s="1251"/>
      <c r="BFL148" s="1251"/>
      <c r="BFM148" s="1251"/>
      <c r="BFN148" s="1251"/>
      <c r="BFO148" s="1251"/>
      <c r="BFP148" s="1251"/>
      <c r="BFQ148" s="1251"/>
      <c r="BFR148" s="1251"/>
      <c r="BFS148" s="1251"/>
      <c r="BFT148" s="1251"/>
      <c r="BFU148" s="1251"/>
      <c r="BFV148" s="1251"/>
      <c r="BFW148" s="1251"/>
      <c r="BFX148" s="1251"/>
      <c r="BFY148" s="1251"/>
      <c r="BFZ148" s="1251"/>
      <c r="BGA148" s="1251"/>
      <c r="BGB148" s="1251"/>
      <c r="BGC148" s="1251"/>
      <c r="BGD148" s="1251"/>
      <c r="BGE148" s="1251"/>
      <c r="BGF148" s="1251"/>
      <c r="BGG148" s="1251"/>
      <c r="BGH148" s="1251"/>
      <c r="BGI148" s="1251"/>
      <c r="BGJ148" s="1251"/>
      <c r="BGK148" s="1251"/>
      <c r="BGL148" s="1251"/>
      <c r="BGM148" s="1251"/>
      <c r="BGN148" s="1251"/>
      <c r="BGO148" s="1251"/>
      <c r="BGP148" s="1251"/>
      <c r="BGQ148" s="1251"/>
      <c r="BGR148" s="1251"/>
      <c r="BGS148" s="1251"/>
      <c r="BGT148" s="1251"/>
      <c r="BGU148" s="1251"/>
      <c r="BGV148" s="1251"/>
      <c r="BGW148" s="1251"/>
      <c r="BGX148" s="1251"/>
      <c r="BGY148" s="1251"/>
      <c r="BGZ148" s="1251"/>
      <c r="BHA148" s="1251"/>
      <c r="BHB148" s="1251"/>
      <c r="BHC148" s="1251"/>
      <c r="BHD148" s="1251"/>
      <c r="BHE148" s="1251"/>
      <c r="BHF148" s="1251"/>
      <c r="BHG148" s="1251"/>
      <c r="BHH148" s="1251"/>
      <c r="BHI148" s="1251"/>
      <c r="BHJ148" s="1251"/>
      <c r="BHK148" s="1251"/>
      <c r="BHL148" s="1251"/>
      <c r="BHM148" s="1251"/>
      <c r="BHN148" s="1251"/>
      <c r="BHO148" s="1251"/>
      <c r="BHP148" s="1251"/>
      <c r="BHQ148" s="1251"/>
      <c r="BHR148" s="1251"/>
      <c r="BHS148" s="1251"/>
      <c r="BHT148" s="1251"/>
      <c r="BHU148" s="1251"/>
      <c r="BHV148" s="1251"/>
      <c r="BHW148" s="1251"/>
      <c r="BHX148" s="1251"/>
      <c r="BHY148" s="1251"/>
      <c r="BHZ148" s="1251"/>
      <c r="BIA148" s="1251"/>
      <c r="BIB148" s="1251"/>
      <c r="BIC148" s="1251"/>
      <c r="BID148" s="1251"/>
      <c r="BIE148" s="1251"/>
      <c r="BIF148" s="1251"/>
      <c r="BIG148" s="1251"/>
      <c r="BIH148" s="1251"/>
      <c r="BII148" s="1251"/>
      <c r="BIJ148" s="1251"/>
      <c r="BIK148" s="1251"/>
      <c r="BIL148" s="1251"/>
      <c r="BIM148" s="1251"/>
      <c r="BIN148" s="1251"/>
      <c r="BIO148" s="1251"/>
      <c r="BIP148" s="1251"/>
      <c r="BIQ148" s="1251"/>
      <c r="BIR148" s="1251"/>
      <c r="BIS148" s="1251"/>
      <c r="BIT148" s="1251"/>
      <c r="BIU148" s="1251"/>
      <c r="BIV148" s="1251"/>
      <c r="BIW148" s="1251"/>
      <c r="BIX148" s="1251"/>
      <c r="BIY148" s="1251"/>
      <c r="BIZ148" s="1251"/>
      <c r="BJA148" s="1251"/>
      <c r="BJB148" s="1251"/>
      <c r="BJC148" s="1251"/>
      <c r="BJD148" s="1251"/>
      <c r="BJE148" s="1251"/>
      <c r="BJF148" s="1251"/>
      <c r="BJG148" s="1251"/>
      <c r="BJH148" s="1251"/>
      <c r="BJI148" s="1251"/>
      <c r="BJJ148" s="1251"/>
      <c r="BJK148" s="1251"/>
      <c r="BJL148" s="1251"/>
      <c r="BJM148" s="1251"/>
      <c r="BJN148" s="1251"/>
      <c r="BJO148" s="1251"/>
      <c r="BJP148" s="1251"/>
      <c r="BJQ148" s="1251"/>
      <c r="BJR148" s="1251"/>
      <c r="BJS148" s="1251"/>
      <c r="BJT148" s="1251"/>
      <c r="BJU148" s="1251"/>
      <c r="BJV148" s="1251"/>
      <c r="BJW148" s="1251"/>
      <c r="BJX148" s="1251"/>
      <c r="BJY148" s="1251"/>
      <c r="BJZ148" s="1251"/>
      <c r="BKA148" s="1251"/>
      <c r="BKB148" s="1251"/>
      <c r="BKC148" s="1251"/>
      <c r="BKD148" s="1251"/>
      <c r="BKE148" s="1251"/>
      <c r="BKF148" s="1251"/>
      <c r="BKG148" s="1251"/>
      <c r="BKH148" s="1251"/>
      <c r="BKI148" s="1251"/>
      <c r="BKJ148" s="1251"/>
      <c r="BKK148" s="1251"/>
      <c r="BKL148" s="1251"/>
      <c r="BKM148" s="1251"/>
      <c r="BKN148" s="1251"/>
      <c r="BKO148" s="1251"/>
      <c r="BKP148" s="1251"/>
      <c r="BKQ148" s="1251"/>
      <c r="BKR148" s="1251"/>
      <c r="BKS148" s="1251"/>
      <c r="BKT148" s="1251"/>
      <c r="BKU148" s="1251"/>
      <c r="BKV148" s="1251"/>
      <c r="BKW148" s="1251"/>
      <c r="BKX148" s="1251"/>
      <c r="BKY148" s="1251"/>
      <c r="BKZ148" s="1251"/>
      <c r="BLA148" s="1251"/>
      <c r="BLB148" s="1251"/>
      <c r="BLC148" s="1251"/>
      <c r="BLD148" s="1251"/>
      <c r="BLE148" s="1251"/>
      <c r="BLF148" s="1251"/>
      <c r="BLG148" s="1251"/>
      <c r="BLH148" s="1251"/>
      <c r="BLI148" s="1251"/>
      <c r="BLJ148" s="1251"/>
      <c r="BLK148" s="1251"/>
      <c r="BLL148" s="1251"/>
      <c r="BLM148" s="1251"/>
      <c r="BLN148" s="1251"/>
      <c r="BLO148" s="1251"/>
      <c r="BLP148" s="1251"/>
      <c r="BLQ148" s="1251"/>
      <c r="BLR148" s="1251"/>
      <c r="BLS148" s="1251"/>
      <c r="BLT148" s="1251"/>
      <c r="BLU148" s="1251"/>
      <c r="BLV148" s="1251"/>
      <c r="BLW148" s="1251"/>
      <c r="BLX148" s="1251"/>
      <c r="BLY148" s="1251"/>
      <c r="BLZ148" s="1251"/>
      <c r="BMA148" s="1251"/>
      <c r="BMB148" s="1251"/>
      <c r="BMC148" s="1251"/>
      <c r="BMD148" s="1251"/>
      <c r="BME148" s="1251"/>
      <c r="BMF148" s="1251"/>
      <c r="BMG148" s="1251"/>
      <c r="BMH148" s="1251"/>
      <c r="BMI148" s="1251"/>
      <c r="BMJ148" s="1251"/>
      <c r="BMK148" s="1251"/>
      <c r="BML148" s="1251"/>
      <c r="BMM148" s="1251"/>
      <c r="BMN148" s="1251"/>
      <c r="BMO148" s="1251"/>
      <c r="BMP148" s="1251"/>
      <c r="BMQ148" s="1251"/>
      <c r="BMR148" s="1251"/>
      <c r="BMS148" s="1251"/>
      <c r="BMT148" s="1251"/>
      <c r="BMU148" s="1251"/>
      <c r="BMV148" s="1251"/>
      <c r="BMW148" s="1251"/>
      <c r="BMX148" s="1251"/>
      <c r="BMY148" s="1251"/>
      <c r="BMZ148" s="1251"/>
      <c r="BNA148" s="1251"/>
      <c r="BNB148" s="1251"/>
      <c r="BNC148" s="1251"/>
      <c r="BND148" s="1251"/>
      <c r="BNE148" s="1251"/>
      <c r="BNF148" s="1251"/>
      <c r="BNG148" s="1251"/>
      <c r="BNH148" s="1251"/>
      <c r="BNI148" s="1251"/>
      <c r="BNJ148" s="1251"/>
      <c r="BNK148" s="1251"/>
      <c r="BNL148" s="1251"/>
      <c r="BNM148" s="1251"/>
      <c r="BNN148" s="1251"/>
      <c r="BNO148" s="1251"/>
      <c r="BNP148" s="1251"/>
      <c r="BNQ148" s="1251"/>
      <c r="BNR148" s="1251"/>
      <c r="BNS148" s="1251"/>
      <c r="BNT148" s="1251"/>
      <c r="BNU148" s="1251"/>
      <c r="BNV148" s="1251"/>
      <c r="BNW148" s="1251"/>
      <c r="BNX148" s="1251"/>
      <c r="BNY148" s="1251"/>
      <c r="BNZ148" s="1251"/>
      <c r="BOA148" s="1251"/>
      <c r="BOB148" s="1251"/>
      <c r="BOC148" s="1251"/>
      <c r="BOD148" s="1251"/>
      <c r="BOE148" s="1251"/>
      <c r="BOF148" s="1251"/>
      <c r="BOG148" s="1251"/>
      <c r="BOH148" s="1251"/>
      <c r="BOI148" s="1251"/>
      <c r="BOJ148" s="1251"/>
      <c r="BOK148" s="1251"/>
      <c r="BOL148" s="1251"/>
      <c r="BOM148" s="1251"/>
      <c r="BON148" s="1251"/>
      <c r="BOO148" s="1251"/>
      <c r="BOP148" s="1251"/>
      <c r="BOQ148" s="1251"/>
      <c r="BOR148" s="1251"/>
      <c r="BOS148" s="1251"/>
      <c r="BOT148" s="1251"/>
      <c r="BOU148" s="1251"/>
      <c r="BOV148" s="1251"/>
      <c r="BOW148" s="1251"/>
      <c r="BOX148" s="1251"/>
      <c r="BOY148" s="1251"/>
      <c r="BOZ148" s="1251"/>
      <c r="BPA148" s="1251"/>
      <c r="BPB148" s="1251"/>
      <c r="BPC148" s="1251"/>
      <c r="BPD148" s="1251"/>
      <c r="BPE148" s="1251"/>
      <c r="BPF148" s="1251"/>
      <c r="BPG148" s="1251"/>
      <c r="BPH148" s="1251"/>
      <c r="BPI148" s="1251"/>
      <c r="BPJ148" s="1251"/>
      <c r="BPK148" s="1251"/>
      <c r="BPL148" s="1251"/>
      <c r="BPM148" s="1251"/>
      <c r="BPN148" s="1251"/>
      <c r="BPO148" s="1251"/>
      <c r="BPP148" s="1251"/>
      <c r="BPQ148" s="1251"/>
      <c r="BPR148" s="1251"/>
      <c r="BPS148" s="1251"/>
      <c r="BPT148" s="1251"/>
      <c r="BPU148" s="1251"/>
      <c r="BPV148" s="1251"/>
      <c r="BPW148" s="1251"/>
      <c r="BPX148" s="1251"/>
      <c r="BPY148" s="1251"/>
      <c r="BPZ148" s="1251"/>
      <c r="BQA148" s="1251"/>
      <c r="BQB148" s="1251"/>
      <c r="BQC148" s="1251"/>
      <c r="BQD148" s="1251"/>
      <c r="BQE148" s="1251"/>
      <c r="BQF148" s="1251"/>
      <c r="BQG148" s="1251"/>
      <c r="BQH148" s="1251"/>
      <c r="BQI148" s="1251"/>
      <c r="BQJ148" s="1251"/>
      <c r="BQK148" s="1251"/>
      <c r="BQL148" s="1251"/>
      <c r="BQM148" s="1251"/>
      <c r="BQN148" s="1251"/>
      <c r="BQO148" s="1251"/>
      <c r="BQP148" s="1251"/>
      <c r="BQQ148" s="1251"/>
      <c r="BQR148" s="1251"/>
      <c r="BQS148" s="1251"/>
      <c r="BQT148" s="1251"/>
      <c r="BQU148" s="1251"/>
      <c r="BQV148" s="1251"/>
      <c r="BQW148" s="1251"/>
      <c r="BQX148" s="1251"/>
      <c r="BQY148" s="1251"/>
      <c r="BQZ148" s="1251"/>
      <c r="BRA148" s="1251"/>
      <c r="BRB148" s="1251"/>
      <c r="BRC148" s="1251"/>
      <c r="BRD148" s="1251"/>
      <c r="BRE148" s="1251"/>
      <c r="BRF148" s="1251"/>
      <c r="BRG148" s="1251"/>
      <c r="BRH148" s="1251"/>
      <c r="BRI148" s="1251"/>
      <c r="BRJ148" s="1251"/>
      <c r="BRK148" s="1251"/>
      <c r="BRL148" s="1251"/>
      <c r="BRM148" s="1251"/>
      <c r="BRN148" s="1251"/>
      <c r="BRO148" s="1251"/>
      <c r="BRP148" s="1251"/>
      <c r="BRQ148" s="1251"/>
      <c r="BRR148" s="1251"/>
      <c r="BRS148" s="1251"/>
      <c r="BRT148" s="1251"/>
      <c r="BRU148" s="1251"/>
      <c r="BRV148" s="1251"/>
      <c r="BRW148" s="1251"/>
      <c r="BRX148" s="1251"/>
      <c r="BRY148" s="1251"/>
      <c r="BRZ148" s="1251"/>
      <c r="BSA148" s="1251"/>
      <c r="BSB148" s="1251"/>
      <c r="BSC148" s="1251"/>
      <c r="BSD148" s="1251"/>
      <c r="BSE148" s="1251"/>
      <c r="BSF148" s="1251"/>
      <c r="BSG148" s="1251"/>
      <c r="BSH148" s="1251"/>
      <c r="BSI148" s="1251"/>
      <c r="BSJ148" s="1251"/>
      <c r="BSK148" s="1251"/>
      <c r="BSL148" s="1251"/>
      <c r="BSM148" s="1251"/>
      <c r="BSN148" s="1251"/>
      <c r="BSO148" s="1251"/>
      <c r="BSP148" s="1251"/>
      <c r="BSQ148" s="1251"/>
      <c r="BSR148" s="1251"/>
      <c r="BSS148" s="1251"/>
      <c r="BST148" s="1251"/>
      <c r="BSU148" s="1251"/>
      <c r="BSV148" s="1251"/>
      <c r="BSW148" s="1251"/>
      <c r="BSX148" s="1251"/>
      <c r="BSY148" s="1251"/>
      <c r="BSZ148" s="1251"/>
      <c r="BTA148" s="1251"/>
      <c r="BTB148" s="1251"/>
      <c r="BTC148" s="1251"/>
      <c r="BTD148" s="1251"/>
      <c r="BTE148" s="1251"/>
      <c r="BTF148" s="1251"/>
      <c r="BTG148" s="1251"/>
      <c r="BTH148" s="1251"/>
      <c r="BTI148" s="1251"/>
    </row>
    <row r="149" spans="1:1881" s="1261" customFormat="1" ht="67.5" hidden="1" customHeight="1" x14ac:dyDescent="0.3">
      <c r="A149" s="1248">
        <v>83</v>
      </c>
      <c r="B149" s="659" t="s">
        <v>61</v>
      </c>
      <c r="C149" s="659" t="s">
        <v>1385</v>
      </c>
      <c r="D149" s="29" t="s">
        <v>154</v>
      </c>
      <c r="E149" s="1249" t="e">
        <f>HLOOKUP($D$2,'2020 Data(H)'!$C$1:$CZ$426,47,FALSE)</f>
        <v>#N/A</v>
      </c>
      <c r="F149" s="1263">
        <v>0</v>
      </c>
      <c r="G149" s="727">
        <f>IF(F138-F147-F149=0,,"Error: Total assets less total liabilities do not equal total net assets.  Account numbers 381-349-83=0  The amount of the formula is in the cell to the right")</f>
        <v>0</v>
      </c>
      <c r="H149" s="730">
        <f>F138-F147-F149</f>
        <v>0</v>
      </c>
      <c r="I149" s="760"/>
      <c r="J149" s="1251"/>
      <c r="K149" s="1251"/>
      <c r="L149" s="1251"/>
      <c r="M149" s="1251"/>
      <c r="N149" s="1253"/>
      <c r="O149" s="1251"/>
      <c r="P149" s="1251"/>
      <c r="Q149" s="1251"/>
      <c r="R149" s="1251"/>
      <c r="S149" s="1251"/>
      <c r="T149" s="1251"/>
      <c r="U149" s="1251"/>
      <c r="V149" s="1251"/>
      <c r="W149" s="1251"/>
      <c r="X149" s="1251"/>
      <c r="Y149" s="1251"/>
      <c r="Z149" s="1248"/>
      <c r="AA149" s="1248"/>
      <c r="AB149" s="1248"/>
      <c r="AC149" s="1248"/>
      <c r="AD149" s="1248"/>
      <c r="AE149" s="1248"/>
      <c r="AF149" s="1248"/>
      <c r="AG149" s="1248"/>
      <c r="AH149" s="1248"/>
      <c r="AI149" s="1248"/>
      <c r="AJ149" s="1248"/>
      <c r="AK149" s="1248"/>
      <c r="AL149" s="1248"/>
      <c r="AM149" s="1248"/>
      <c r="AN149" s="1248"/>
      <c r="AO149" s="1248"/>
      <c r="AP149" s="1248"/>
      <c r="AQ149" s="1248"/>
      <c r="AR149" s="1248"/>
      <c r="AS149" s="1251"/>
      <c r="AT149" s="1251"/>
      <c r="AU149" s="1251"/>
      <c r="AV149" s="1251"/>
      <c r="AW149" s="1251"/>
      <c r="AX149" s="1251"/>
      <c r="AY149" s="1251"/>
      <c r="AZ149" s="1251"/>
      <c r="BA149" s="1251"/>
      <c r="BB149" s="1251"/>
      <c r="BC149" s="1251"/>
      <c r="BD149" s="1251"/>
      <c r="BE149" s="1251"/>
      <c r="BF149" s="1251"/>
      <c r="BG149" s="1251"/>
      <c r="BH149" s="1251"/>
      <c r="BI149" s="1251"/>
      <c r="BJ149" s="1251"/>
      <c r="BK149" s="1251"/>
      <c r="BL149" s="1251"/>
      <c r="BM149" s="1251"/>
      <c r="BN149" s="1251"/>
      <c r="BO149" s="1251"/>
      <c r="BP149" s="1251"/>
      <c r="BQ149" s="1251"/>
      <c r="BR149" s="1251"/>
      <c r="BS149" s="1251"/>
      <c r="BT149" s="1251"/>
      <c r="BU149" s="1251"/>
      <c r="BV149" s="1251"/>
      <c r="BW149" s="1251"/>
      <c r="BX149" s="1251"/>
      <c r="BY149" s="1251"/>
      <c r="BZ149" s="1251"/>
      <c r="CA149" s="1251"/>
      <c r="CB149" s="1251"/>
      <c r="CC149" s="1251"/>
      <c r="CD149" s="1251"/>
      <c r="CE149" s="1251"/>
      <c r="CF149" s="1251"/>
      <c r="CG149" s="1251"/>
      <c r="CH149" s="1251"/>
      <c r="CI149" s="1251"/>
      <c r="CJ149" s="1251"/>
      <c r="CK149" s="1251"/>
      <c r="CL149" s="1251"/>
      <c r="CM149" s="1251"/>
      <c r="CN149" s="1251"/>
      <c r="CO149" s="1251"/>
      <c r="CP149" s="1251"/>
      <c r="CQ149" s="1251"/>
      <c r="CR149" s="1251"/>
      <c r="CS149" s="1251"/>
      <c r="CT149" s="1251"/>
      <c r="CU149" s="1251"/>
      <c r="CV149" s="1251"/>
      <c r="CW149" s="1251"/>
      <c r="CX149" s="1251"/>
      <c r="CY149" s="1251"/>
      <c r="CZ149" s="1251"/>
      <c r="DA149" s="1251"/>
      <c r="DB149" s="1251"/>
      <c r="DC149" s="1251"/>
      <c r="DD149" s="1251"/>
      <c r="DE149" s="1251"/>
      <c r="DF149" s="1251"/>
      <c r="DG149" s="1251"/>
      <c r="DH149" s="1251"/>
      <c r="DI149" s="1251"/>
      <c r="DJ149" s="1251"/>
      <c r="DK149" s="1251"/>
      <c r="DL149" s="1251"/>
      <c r="DM149" s="1251"/>
      <c r="DN149" s="1251"/>
      <c r="DO149" s="1251"/>
      <c r="DP149" s="1251"/>
      <c r="DQ149" s="1251"/>
      <c r="DR149" s="1251"/>
      <c r="DS149" s="1251"/>
      <c r="DT149" s="1251"/>
      <c r="DU149" s="1251"/>
      <c r="DV149" s="1251"/>
      <c r="DW149" s="1251"/>
      <c r="DX149" s="1251"/>
      <c r="DY149" s="1251"/>
      <c r="DZ149" s="1251"/>
      <c r="EA149" s="1251"/>
      <c r="EB149" s="1251"/>
      <c r="EC149" s="1251"/>
      <c r="ED149" s="1251"/>
      <c r="EE149" s="1251"/>
      <c r="EF149" s="1251"/>
      <c r="EG149" s="1251"/>
      <c r="EH149" s="1251"/>
      <c r="EI149" s="1251"/>
      <c r="EJ149" s="1251"/>
      <c r="EK149" s="1251"/>
      <c r="EL149" s="1251"/>
      <c r="EM149" s="1251"/>
      <c r="EN149" s="1251"/>
      <c r="EO149" s="1251"/>
      <c r="EP149" s="1251"/>
      <c r="EQ149" s="1251"/>
      <c r="ER149" s="1251"/>
      <c r="ES149" s="1251"/>
      <c r="ET149" s="1251"/>
      <c r="EU149" s="1251"/>
      <c r="EV149" s="1251"/>
      <c r="EW149" s="1251"/>
      <c r="EX149" s="1251"/>
      <c r="EY149" s="1251"/>
      <c r="EZ149" s="1251"/>
      <c r="FA149" s="1251"/>
      <c r="FB149" s="1251"/>
      <c r="FC149" s="1251"/>
      <c r="FD149" s="1251"/>
      <c r="FE149" s="1251"/>
      <c r="FF149" s="1251"/>
      <c r="FG149" s="1251"/>
      <c r="FH149" s="1251"/>
      <c r="FI149" s="1251"/>
      <c r="FJ149" s="1251"/>
      <c r="FK149" s="1251"/>
      <c r="FL149" s="1251"/>
      <c r="FM149" s="1251"/>
      <c r="FN149" s="1251"/>
      <c r="FO149" s="1251"/>
      <c r="FP149" s="1251"/>
      <c r="FQ149" s="1251"/>
      <c r="FR149" s="1251"/>
      <c r="FS149" s="1251"/>
      <c r="FT149" s="1251"/>
      <c r="FU149" s="1251"/>
      <c r="FV149" s="1251"/>
      <c r="FW149" s="1251"/>
      <c r="FX149" s="1251"/>
      <c r="FY149" s="1251"/>
      <c r="FZ149" s="1251"/>
      <c r="GA149" s="1251"/>
      <c r="GB149" s="1251"/>
      <c r="GC149" s="1251"/>
      <c r="GD149" s="1251"/>
      <c r="GE149" s="1251"/>
      <c r="GF149" s="1251"/>
      <c r="GG149" s="1251"/>
      <c r="GH149" s="1251"/>
      <c r="GI149" s="1251"/>
      <c r="GJ149" s="1251"/>
      <c r="GK149" s="1251"/>
      <c r="GL149" s="1251"/>
      <c r="GM149" s="1251"/>
      <c r="GN149" s="1251"/>
      <c r="GO149" s="1251"/>
      <c r="GP149" s="1251"/>
      <c r="GQ149" s="1251"/>
      <c r="GR149" s="1251"/>
      <c r="GS149" s="1251"/>
      <c r="GT149" s="1251"/>
      <c r="GU149" s="1251"/>
      <c r="GV149" s="1251"/>
      <c r="GW149" s="1251"/>
      <c r="GX149" s="1251"/>
      <c r="GY149" s="1251"/>
      <c r="GZ149" s="1251"/>
      <c r="HA149" s="1251"/>
      <c r="HB149" s="1251"/>
      <c r="HC149" s="1251"/>
      <c r="HD149" s="1251"/>
      <c r="HE149" s="1251"/>
      <c r="HF149" s="1251"/>
      <c r="HG149" s="1251"/>
      <c r="HH149" s="1251"/>
      <c r="HI149" s="1251"/>
      <c r="HJ149" s="1251"/>
      <c r="HK149" s="1251"/>
      <c r="HL149" s="1251"/>
      <c r="HM149" s="1251"/>
      <c r="HN149" s="1251"/>
      <c r="HO149" s="1251"/>
      <c r="HP149" s="1251"/>
      <c r="HQ149" s="1251"/>
      <c r="HR149" s="1251"/>
      <c r="HS149" s="1251"/>
      <c r="HT149" s="1251"/>
      <c r="HU149" s="1251"/>
      <c r="HV149" s="1251"/>
      <c r="HW149" s="1251"/>
      <c r="HX149" s="1251"/>
      <c r="HY149" s="1251"/>
      <c r="HZ149" s="1251"/>
      <c r="IA149" s="1251"/>
      <c r="IB149" s="1251"/>
      <c r="IC149" s="1251"/>
      <c r="ID149" s="1251"/>
      <c r="IE149" s="1251"/>
      <c r="IF149" s="1251"/>
      <c r="IG149" s="1251"/>
      <c r="IH149" s="1251"/>
      <c r="II149" s="1251"/>
      <c r="IJ149" s="1251"/>
      <c r="IK149" s="1251"/>
      <c r="IL149" s="1251"/>
      <c r="IM149" s="1251"/>
      <c r="IN149" s="1251"/>
      <c r="IO149" s="1251"/>
      <c r="IP149" s="1251"/>
      <c r="IQ149" s="1251"/>
      <c r="IR149" s="1251"/>
      <c r="IS149" s="1251"/>
      <c r="IT149" s="1251"/>
      <c r="IU149" s="1251"/>
      <c r="IV149" s="1251"/>
      <c r="IW149" s="1251"/>
      <c r="IX149" s="1251"/>
      <c r="IY149" s="1251"/>
      <c r="IZ149" s="1251"/>
      <c r="JA149" s="1251"/>
      <c r="JB149" s="1251"/>
      <c r="JC149" s="1251"/>
      <c r="JD149" s="1251"/>
      <c r="JE149" s="1251"/>
      <c r="JF149" s="1251"/>
      <c r="JG149" s="1251"/>
      <c r="JH149" s="1251"/>
      <c r="JI149" s="1251"/>
      <c r="JJ149" s="1251"/>
      <c r="JK149" s="1251"/>
      <c r="JL149" s="1251"/>
      <c r="JM149" s="1251"/>
      <c r="JN149" s="1251"/>
      <c r="JO149" s="1251"/>
      <c r="JP149" s="1251"/>
      <c r="JQ149" s="1251"/>
      <c r="JR149" s="1251"/>
      <c r="JS149" s="1251"/>
      <c r="JT149" s="1251"/>
      <c r="JU149" s="1251"/>
      <c r="JV149" s="1251"/>
      <c r="JW149" s="1251"/>
      <c r="JX149" s="1251"/>
      <c r="JY149" s="1251"/>
      <c r="JZ149" s="1251"/>
      <c r="KA149" s="1251"/>
      <c r="KB149" s="1251"/>
      <c r="KC149" s="1251"/>
      <c r="KD149" s="1251"/>
      <c r="KE149" s="1251"/>
      <c r="KF149" s="1251"/>
      <c r="KG149" s="1251"/>
      <c r="KH149" s="1251"/>
      <c r="KI149" s="1251"/>
      <c r="KJ149" s="1251"/>
      <c r="KK149" s="1251"/>
      <c r="KL149" s="1251"/>
      <c r="KM149" s="1251"/>
      <c r="KN149" s="1251"/>
      <c r="KO149" s="1251"/>
      <c r="KP149" s="1251"/>
      <c r="KQ149" s="1251"/>
      <c r="KR149" s="1251"/>
      <c r="KS149" s="1251"/>
      <c r="KT149" s="1251"/>
      <c r="KU149" s="1251"/>
      <c r="KV149" s="1251"/>
      <c r="KW149" s="1251"/>
      <c r="KX149" s="1251"/>
      <c r="KY149" s="1251"/>
      <c r="KZ149" s="1251"/>
      <c r="LA149" s="1251"/>
      <c r="LB149" s="1251"/>
      <c r="LC149" s="1251"/>
      <c r="LD149" s="1251"/>
      <c r="LE149" s="1251"/>
      <c r="LF149" s="1251"/>
      <c r="LG149" s="1251"/>
      <c r="LH149" s="1251"/>
      <c r="LI149" s="1251"/>
      <c r="LJ149" s="1251"/>
      <c r="LK149" s="1251"/>
      <c r="LL149" s="1251"/>
      <c r="LM149" s="1251"/>
      <c r="LN149" s="1251"/>
      <c r="LO149" s="1251"/>
      <c r="LP149" s="1251"/>
      <c r="LQ149" s="1251"/>
      <c r="LR149" s="1251"/>
      <c r="LS149" s="1251"/>
      <c r="LT149" s="1251"/>
      <c r="LU149" s="1251"/>
      <c r="LV149" s="1251"/>
      <c r="LW149" s="1251"/>
      <c r="LX149" s="1251"/>
      <c r="LY149" s="1251"/>
      <c r="LZ149" s="1251"/>
      <c r="MA149" s="1251"/>
      <c r="MB149" s="1251"/>
      <c r="MC149" s="1251"/>
      <c r="MD149" s="1251"/>
      <c r="ME149" s="1251"/>
      <c r="MF149" s="1251"/>
      <c r="MG149" s="1251"/>
      <c r="MH149" s="1251"/>
      <c r="MI149" s="1251"/>
      <c r="MJ149" s="1251"/>
      <c r="MK149" s="1251"/>
      <c r="ML149" s="1251"/>
      <c r="MM149" s="1251"/>
      <c r="MN149" s="1251"/>
      <c r="MO149" s="1251"/>
      <c r="MP149" s="1251"/>
      <c r="MQ149" s="1251"/>
      <c r="MR149" s="1251"/>
      <c r="MS149" s="1251"/>
      <c r="MT149" s="1251"/>
      <c r="MU149" s="1251"/>
      <c r="MV149" s="1251"/>
      <c r="MW149" s="1251"/>
      <c r="MX149" s="1251"/>
      <c r="MY149" s="1251"/>
      <c r="MZ149" s="1251"/>
      <c r="NA149" s="1251"/>
      <c r="NB149" s="1251"/>
      <c r="NC149" s="1251"/>
      <c r="ND149" s="1251"/>
      <c r="NE149" s="1251"/>
      <c r="NF149" s="1251"/>
      <c r="NG149" s="1251"/>
      <c r="NH149" s="1251"/>
      <c r="NI149" s="1251"/>
      <c r="NJ149" s="1251"/>
      <c r="NK149" s="1251"/>
      <c r="NL149" s="1251"/>
      <c r="NM149" s="1251"/>
      <c r="NN149" s="1251"/>
      <c r="NO149" s="1251"/>
      <c r="NP149" s="1251"/>
      <c r="NQ149" s="1251"/>
      <c r="NR149" s="1251"/>
      <c r="NS149" s="1251"/>
      <c r="NT149" s="1251"/>
      <c r="NU149" s="1251"/>
      <c r="NV149" s="1251"/>
      <c r="NW149" s="1251"/>
      <c r="NX149" s="1251"/>
      <c r="NY149" s="1251"/>
      <c r="NZ149" s="1251"/>
      <c r="OA149" s="1251"/>
      <c r="OB149" s="1251"/>
      <c r="OC149" s="1251"/>
      <c r="OD149" s="1251"/>
      <c r="OE149" s="1251"/>
      <c r="OF149" s="1251"/>
      <c r="OG149" s="1251"/>
      <c r="OH149" s="1251"/>
      <c r="OI149" s="1251"/>
      <c r="OJ149" s="1251"/>
      <c r="OK149" s="1251"/>
      <c r="OL149" s="1251"/>
      <c r="OM149" s="1251"/>
      <c r="ON149" s="1251"/>
      <c r="OO149" s="1251"/>
      <c r="OP149" s="1251"/>
      <c r="OQ149" s="1251"/>
      <c r="OR149" s="1251"/>
      <c r="OS149" s="1251"/>
      <c r="OT149" s="1251"/>
      <c r="OU149" s="1251"/>
      <c r="OV149" s="1251"/>
      <c r="OW149" s="1251"/>
      <c r="OX149" s="1251"/>
      <c r="OY149" s="1251"/>
      <c r="OZ149" s="1251"/>
      <c r="PA149" s="1251"/>
      <c r="PB149" s="1251"/>
      <c r="PC149" s="1251"/>
      <c r="PD149" s="1251"/>
      <c r="PE149" s="1251"/>
      <c r="PF149" s="1251"/>
      <c r="PG149" s="1251"/>
      <c r="PH149" s="1251"/>
      <c r="PI149" s="1251"/>
      <c r="PJ149" s="1251"/>
      <c r="PK149" s="1251"/>
      <c r="PL149" s="1251"/>
      <c r="PM149" s="1251"/>
      <c r="PN149" s="1251"/>
      <c r="PO149" s="1251"/>
      <c r="PP149" s="1251"/>
      <c r="PQ149" s="1251"/>
      <c r="PR149" s="1251"/>
      <c r="PS149" s="1251"/>
      <c r="PT149" s="1251"/>
      <c r="PU149" s="1251"/>
      <c r="PV149" s="1251"/>
      <c r="PW149" s="1251"/>
      <c r="PX149" s="1251"/>
      <c r="PY149" s="1251"/>
      <c r="PZ149" s="1251"/>
      <c r="QA149" s="1251"/>
      <c r="QB149" s="1251"/>
      <c r="QC149" s="1251"/>
      <c r="QD149" s="1251"/>
      <c r="QE149" s="1251"/>
      <c r="QF149" s="1251"/>
      <c r="QG149" s="1251"/>
      <c r="QH149" s="1251"/>
      <c r="QI149" s="1251"/>
      <c r="QJ149" s="1251"/>
      <c r="QK149" s="1251"/>
      <c r="QL149" s="1251"/>
      <c r="QM149" s="1251"/>
      <c r="QN149" s="1251"/>
      <c r="QO149" s="1251"/>
      <c r="QP149" s="1251"/>
      <c r="QQ149" s="1251"/>
      <c r="QR149" s="1251"/>
      <c r="QS149" s="1251"/>
      <c r="QT149" s="1251"/>
      <c r="QU149" s="1251"/>
      <c r="QV149" s="1251"/>
      <c r="QW149" s="1251"/>
      <c r="QX149" s="1251"/>
      <c r="QY149" s="1251"/>
      <c r="QZ149" s="1251"/>
      <c r="RA149" s="1251"/>
      <c r="RB149" s="1251"/>
      <c r="RC149" s="1251"/>
      <c r="RD149" s="1251"/>
      <c r="RE149" s="1251"/>
      <c r="RF149" s="1251"/>
      <c r="RG149" s="1251"/>
      <c r="RH149" s="1251"/>
      <c r="RI149" s="1251"/>
      <c r="RJ149" s="1251"/>
      <c r="RK149" s="1251"/>
      <c r="RL149" s="1251"/>
      <c r="RM149" s="1251"/>
      <c r="RN149" s="1251"/>
      <c r="RO149" s="1251"/>
      <c r="RP149" s="1251"/>
      <c r="RQ149" s="1251"/>
      <c r="RR149" s="1251"/>
      <c r="RS149" s="1251"/>
      <c r="RT149" s="1251"/>
      <c r="RU149" s="1251"/>
      <c r="RV149" s="1251"/>
      <c r="RW149" s="1251"/>
      <c r="RX149" s="1251"/>
      <c r="RY149" s="1251"/>
      <c r="RZ149" s="1251"/>
      <c r="SA149" s="1251"/>
      <c r="SB149" s="1251"/>
      <c r="SC149" s="1251"/>
      <c r="SD149" s="1251"/>
      <c r="SE149" s="1251"/>
      <c r="SF149" s="1251"/>
      <c r="SG149" s="1251"/>
      <c r="SH149" s="1251"/>
      <c r="SI149" s="1251"/>
      <c r="SJ149" s="1251"/>
      <c r="SK149" s="1251"/>
      <c r="SL149" s="1251"/>
      <c r="SM149" s="1251"/>
      <c r="SN149" s="1251"/>
      <c r="SO149" s="1251"/>
      <c r="SP149" s="1251"/>
      <c r="SQ149" s="1251"/>
      <c r="SR149" s="1251"/>
      <c r="SS149" s="1251"/>
      <c r="ST149" s="1251"/>
      <c r="SU149" s="1251"/>
      <c r="SV149" s="1251"/>
      <c r="SW149" s="1251"/>
      <c r="SX149" s="1251"/>
      <c r="SY149" s="1251"/>
      <c r="SZ149" s="1251"/>
      <c r="TA149" s="1251"/>
      <c r="TB149" s="1251"/>
      <c r="TC149" s="1251"/>
      <c r="TD149" s="1251"/>
      <c r="TE149" s="1251"/>
      <c r="TF149" s="1251"/>
      <c r="TG149" s="1251"/>
      <c r="TH149" s="1251"/>
      <c r="TI149" s="1251"/>
      <c r="TJ149" s="1251"/>
      <c r="TK149" s="1251"/>
      <c r="TL149" s="1251"/>
      <c r="TM149" s="1251"/>
      <c r="TN149" s="1251"/>
      <c r="TO149" s="1251"/>
      <c r="TP149" s="1251"/>
      <c r="TQ149" s="1251"/>
      <c r="TR149" s="1251"/>
      <c r="TS149" s="1251"/>
      <c r="TT149" s="1251"/>
      <c r="TU149" s="1251"/>
      <c r="TV149" s="1251"/>
      <c r="TW149" s="1251"/>
      <c r="TX149" s="1251"/>
      <c r="TY149" s="1251"/>
      <c r="TZ149" s="1251"/>
      <c r="UA149" s="1251"/>
      <c r="UB149" s="1251"/>
      <c r="UC149" s="1251"/>
      <c r="UD149" s="1251"/>
      <c r="UE149" s="1251"/>
      <c r="UF149" s="1251"/>
      <c r="UG149" s="1251"/>
      <c r="UH149" s="1251"/>
      <c r="UI149" s="1251"/>
      <c r="UJ149" s="1251"/>
      <c r="UK149" s="1251"/>
      <c r="UL149" s="1251"/>
      <c r="UM149" s="1251"/>
      <c r="UN149" s="1251"/>
      <c r="UO149" s="1251"/>
      <c r="UP149" s="1251"/>
      <c r="UQ149" s="1251"/>
      <c r="UR149" s="1251"/>
      <c r="US149" s="1251"/>
      <c r="UT149" s="1251"/>
      <c r="UU149" s="1251"/>
      <c r="UV149" s="1251"/>
      <c r="UW149" s="1251"/>
      <c r="UX149" s="1251"/>
      <c r="UY149" s="1251"/>
      <c r="UZ149" s="1251"/>
      <c r="VA149" s="1251"/>
      <c r="VB149" s="1251"/>
      <c r="VC149" s="1251"/>
      <c r="VD149" s="1251"/>
      <c r="VE149" s="1251"/>
      <c r="VF149" s="1251"/>
      <c r="VG149" s="1251"/>
      <c r="VH149" s="1251"/>
      <c r="VI149" s="1251"/>
      <c r="VJ149" s="1251"/>
      <c r="VK149" s="1251"/>
      <c r="VL149" s="1251"/>
      <c r="VM149" s="1251"/>
      <c r="VN149" s="1251"/>
      <c r="VO149" s="1251"/>
      <c r="VP149" s="1251"/>
      <c r="VQ149" s="1251"/>
      <c r="VR149" s="1251"/>
      <c r="VS149" s="1251"/>
      <c r="VT149" s="1251"/>
      <c r="VU149" s="1251"/>
      <c r="VV149" s="1251"/>
      <c r="VW149" s="1251"/>
      <c r="VX149" s="1251"/>
      <c r="VY149" s="1251"/>
      <c r="VZ149" s="1251"/>
      <c r="WA149" s="1251"/>
      <c r="WB149" s="1251"/>
      <c r="WC149" s="1251"/>
      <c r="WD149" s="1251"/>
      <c r="WE149" s="1251"/>
      <c r="WF149" s="1251"/>
      <c r="WG149" s="1251"/>
      <c r="WH149" s="1251"/>
      <c r="WI149" s="1251"/>
      <c r="WJ149" s="1251"/>
      <c r="WK149" s="1251"/>
      <c r="WL149" s="1251"/>
      <c r="WM149" s="1251"/>
      <c r="WN149" s="1251"/>
      <c r="WO149" s="1251"/>
      <c r="WP149" s="1251"/>
      <c r="WQ149" s="1251"/>
      <c r="WR149" s="1251"/>
      <c r="WS149" s="1251"/>
      <c r="WT149" s="1251"/>
      <c r="WU149" s="1251"/>
      <c r="WV149" s="1251"/>
      <c r="WW149" s="1251"/>
      <c r="WX149" s="1251"/>
      <c r="WY149" s="1251"/>
      <c r="WZ149" s="1251"/>
      <c r="XA149" s="1251"/>
      <c r="XB149" s="1251"/>
      <c r="XC149" s="1251"/>
      <c r="XD149" s="1251"/>
      <c r="XE149" s="1251"/>
      <c r="XF149" s="1251"/>
      <c r="XG149" s="1251"/>
      <c r="XH149" s="1251"/>
      <c r="XI149" s="1251"/>
      <c r="XJ149" s="1251"/>
      <c r="XK149" s="1251"/>
      <c r="XL149" s="1251"/>
      <c r="XM149" s="1251"/>
      <c r="XN149" s="1251"/>
      <c r="XO149" s="1251"/>
      <c r="XP149" s="1251"/>
      <c r="XQ149" s="1251"/>
      <c r="XR149" s="1251"/>
      <c r="XS149" s="1251"/>
      <c r="XT149" s="1251"/>
      <c r="XU149" s="1251"/>
      <c r="XV149" s="1251"/>
      <c r="XW149" s="1251"/>
      <c r="XX149" s="1251"/>
      <c r="XY149" s="1251"/>
      <c r="XZ149" s="1251"/>
      <c r="YA149" s="1251"/>
      <c r="YB149" s="1251"/>
      <c r="YC149" s="1251"/>
      <c r="YD149" s="1251"/>
      <c r="YE149" s="1251"/>
      <c r="YF149" s="1251"/>
      <c r="YG149" s="1251"/>
      <c r="YH149" s="1251"/>
      <c r="YI149" s="1251"/>
      <c r="YJ149" s="1251"/>
      <c r="YK149" s="1251"/>
      <c r="YL149" s="1251"/>
      <c r="YM149" s="1251"/>
      <c r="YN149" s="1251"/>
      <c r="YO149" s="1251"/>
      <c r="YP149" s="1251"/>
      <c r="YQ149" s="1251"/>
      <c r="YR149" s="1251"/>
      <c r="YS149" s="1251"/>
      <c r="YT149" s="1251"/>
      <c r="YU149" s="1251"/>
      <c r="YV149" s="1251"/>
      <c r="YW149" s="1251"/>
      <c r="YX149" s="1251"/>
      <c r="YY149" s="1251"/>
      <c r="YZ149" s="1251"/>
      <c r="ZA149" s="1251"/>
      <c r="ZB149" s="1251"/>
      <c r="ZC149" s="1251"/>
      <c r="ZD149" s="1251"/>
      <c r="ZE149" s="1251"/>
      <c r="ZF149" s="1251"/>
      <c r="ZG149" s="1251"/>
      <c r="ZH149" s="1251"/>
      <c r="ZI149" s="1251"/>
      <c r="ZJ149" s="1251"/>
      <c r="ZK149" s="1251"/>
      <c r="ZL149" s="1251"/>
      <c r="ZM149" s="1251"/>
      <c r="ZN149" s="1251"/>
      <c r="ZO149" s="1251"/>
      <c r="ZP149" s="1251"/>
      <c r="ZQ149" s="1251"/>
      <c r="ZR149" s="1251"/>
      <c r="ZS149" s="1251"/>
      <c r="ZT149" s="1251"/>
      <c r="ZU149" s="1251"/>
      <c r="ZV149" s="1251"/>
      <c r="ZW149" s="1251"/>
      <c r="ZX149" s="1251"/>
      <c r="ZY149" s="1251"/>
      <c r="ZZ149" s="1251"/>
      <c r="AAA149" s="1251"/>
      <c r="AAB149" s="1251"/>
      <c r="AAC149" s="1251"/>
      <c r="AAD149" s="1251"/>
      <c r="AAE149" s="1251"/>
      <c r="AAF149" s="1251"/>
      <c r="AAG149" s="1251"/>
      <c r="AAH149" s="1251"/>
      <c r="AAI149" s="1251"/>
      <c r="AAJ149" s="1251"/>
      <c r="AAK149" s="1251"/>
      <c r="AAL149" s="1251"/>
      <c r="AAM149" s="1251"/>
      <c r="AAN149" s="1251"/>
      <c r="AAO149" s="1251"/>
      <c r="AAP149" s="1251"/>
      <c r="AAQ149" s="1251"/>
      <c r="AAR149" s="1251"/>
      <c r="AAS149" s="1251"/>
      <c r="AAT149" s="1251"/>
      <c r="AAU149" s="1251"/>
      <c r="AAV149" s="1251"/>
      <c r="AAW149" s="1251"/>
      <c r="AAX149" s="1251"/>
      <c r="AAY149" s="1251"/>
      <c r="AAZ149" s="1251"/>
      <c r="ABA149" s="1251"/>
      <c r="ABB149" s="1251"/>
      <c r="ABC149" s="1251"/>
      <c r="ABD149" s="1251"/>
      <c r="ABE149" s="1251"/>
      <c r="ABF149" s="1251"/>
      <c r="ABG149" s="1251"/>
      <c r="ABH149" s="1251"/>
      <c r="ABI149" s="1251"/>
      <c r="ABJ149" s="1251"/>
      <c r="ABK149" s="1251"/>
      <c r="ABL149" s="1251"/>
      <c r="ABM149" s="1251"/>
      <c r="ABN149" s="1251"/>
      <c r="ABO149" s="1251"/>
      <c r="ABP149" s="1251"/>
      <c r="ABQ149" s="1251"/>
      <c r="ABR149" s="1251"/>
      <c r="ABS149" s="1251"/>
      <c r="ABT149" s="1251"/>
      <c r="ABU149" s="1251"/>
      <c r="ABV149" s="1251"/>
      <c r="ABW149" s="1251"/>
      <c r="ABX149" s="1251"/>
      <c r="ABY149" s="1251"/>
      <c r="ABZ149" s="1251"/>
      <c r="ACA149" s="1251"/>
      <c r="ACB149" s="1251"/>
      <c r="ACC149" s="1251"/>
      <c r="ACD149" s="1251"/>
      <c r="ACE149" s="1251"/>
      <c r="ACF149" s="1251"/>
      <c r="ACG149" s="1251"/>
      <c r="ACH149" s="1251"/>
      <c r="ACI149" s="1251"/>
      <c r="ACJ149" s="1251"/>
      <c r="ACK149" s="1251"/>
      <c r="ACL149" s="1251"/>
      <c r="ACM149" s="1251"/>
      <c r="ACN149" s="1251"/>
      <c r="ACO149" s="1251"/>
      <c r="ACP149" s="1251"/>
      <c r="ACQ149" s="1251"/>
      <c r="ACR149" s="1251"/>
      <c r="ACS149" s="1251"/>
      <c r="ACT149" s="1251"/>
      <c r="ACU149" s="1251"/>
      <c r="ACV149" s="1251"/>
      <c r="ACW149" s="1251"/>
      <c r="ACX149" s="1251"/>
      <c r="ACY149" s="1251"/>
      <c r="ACZ149" s="1251"/>
      <c r="ADA149" s="1251"/>
      <c r="ADB149" s="1251"/>
      <c r="ADC149" s="1251"/>
      <c r="ADD149" s="1251"/>
      <c r="ADE149" s="1251"/>
      <c r="ADF149" s="1251"/>
      <c r="ADG149" s="1251"/>
      <c r="ADH149" s="1251"/>
      <c r="ADI149" s="1251"/>
      <c r="ADJ149" s="1251"/>
      <c r="ADK149" s="1251"/>
      <c r="ADL149" s="1251"/>
      <c r="ADM149" s="1251"/>
      <c r="ADN149" s="1251"/>
      <c r="ADO149" s="1251"/>
      <c r="ADP149" s="1251"/>
      <c r="ADQ149" s="1251"/>
      <c r="ADR149" s="1251"/>
      <c r="ADS149" s="1251"/>
      <c r="ADT149" s="1251"/>
      <c r="ADU149" s="1251"/>
      <c r="ADV149" s="1251"/>
      <c r="ADW149" s="1251"/>
      <c r="ADX149" s="1251"/>
      <c r="ADY149" s="1251"/>
      <c r="ADZ149" s="1251"/>
      <c r="AEA149" s="1251"/>
      <c r="AEB149" s="1251"/>
      <c r="AEC149" s="1251"/>
      <c r="AED149" s="1251"/>
      <c r="AEE149" s="1251"/>
      <c r="AEF149" s="1251"/>
      <c r="AEG149" s="1251"/>
      <c r="AEH149" s="1251"/>
      <c r="AEI149" s="1251"/>
      <c r="AEJ149" s="1251"/>
      <c r="AEK149" s="1251"/>
      <c r="AEL149" s="1251"/>
      <c r="AEM149" s="1251"/>
      <c r="AEN149" s="1251"/>
      <c r="AEO149" s="1251"/>
      <c r="AEP149" s="1251"/>
      <c r="AEQ149" s="1251"/>
      <c r="AER149" s="1251"/>
      <c r="AES149" s="1251"/>
      <c r="AET149" s="1251"/>
      <c r="AEU149" s="1251"/>
      <c r="AEV149" s="1251"/>
      <c r="AEW149" s="1251"/>
      <c r="AEX149" s="1251"/>
      <c r="AEY149" s="1251"/>
      <c r="AEZ149" s="1251"/>
      <c r="AFA149" s="1251"/>
      <c r="AFB149" s="1251"/>
      <c r="AFC149" s="1251"/>
      <c r="AFD149" s="1251"/>
      <c r="AFE149" s="1251"/>
      <c r="AFF149" s="1251"/>
      <c r="AFG149" s="1251"/>
      <c r="AFH149" s="1251"/>
      <c r="AFI149" s="1251"/>
      <c r="AFJ149" s="1251"/>
      <c r="AFK149" s="1251"/>
      <c r="AFL149" s="1251"/>
      <c r="AFM149" s="1251"/>
      <c r="AFN149" s="1251"/>
      <c r="AFO149" s="1251"/>
      <c r="AFP149" s="1251"/>
      <c r="AFQ149" s="1251"/>
      <c r="AFR149" s="1251"/>
      <c r="AFS149" s="1251"/>
      <c r="AFT149" s="1251"/>
      <c r="AFU149" s="1251"/>
      <c r="AFV149" s="1251"/>
      <c r="AFW149" s="1251"/>
      <c r="AFX149" s="1251"/>
      <c r="AFY149" s="1251"/>
      <c r="AFZ149" s="1251"/>
      <c r="AGA149" s="1251"/>
      <c r="AGB149" s="1251"/>
      <c r="AGC149" s="1251"/>
      <c r="AGD149" s="1251"/>
      <c r="AGE149" s="1251"/>
      <c r="AGF149" s="1251"/>
      <c r="AGG149" s="1251"/>
      <c r="AGH149" s="1251"/>
      <c r="AGI149" s="1251"/>
      <c r="AGJ149" s="1251"/>
      <c r="AGK149" s="1251"/>
      <c r="AGL149" s="1251"/>
      <c r="AGM149" s="1251"/>
      <c r="AGN149" s="1251"/>
      <c r="AGO149" s="1251"/>
      <c r="AGP149" s="1251"/>
      <c r="AGQ149" s="1251"/>
      <c r="AGR149" s="1251"/>
      <c r="AGS149" s="1251"/>
      <c r="AGT149" s="1251"/>
      <c r="AGU149" s="1251"/>
      <c r="AGV149" s="1251"/>
      <c r="AGW149" s="1251"/>
      <c r="AGX149" s="1251"/>
      <c r="AGY149" s="1251"/>
      <c r="AGZ149" s="1251"/>
      <c r="AHA149" s="1251"/>
      <c r="AHB149" s="1251"/>
      <c r="AHC149" s="1251"/>
      <c r="AHD149" s="1251"/>
      <c r="AHE149" s="1251"/>
      <c r="AHF149" s="1251"/>
      <c r="AHG149" s="1251"/>
      <c r="AHH149" s="1251"/>
      <c r="AHI149" s="1251"/>
      <c r="AHJ149" s="1251"/>
      <c r="AHK149" s="1251"/>
      <c r="AHL149" s="1251"/>
      <c r="AHM149" s="1251"/>
      <c r="AHN149" s="1251"/>
      <c r="AHO149" s="1251"/>
      <c r="AHP149" s="1251"/>
      <c r="AHQ149" s="1251"/>
      <c r="AHR149" s="1251"/>
      <c r="AHS149" s="1251"/>
      <c r="AHT149" s="1251"/>
      <c r="AHU149" s="1251"/>
      <c r="AHV149" s="1251"/>
      <c r="AHW149" s="1251"/>
      <c r="AHX149" s="1251"/>
      <c r="AHY149" s="1251"/>
      <c r="AHZ149" s="1251"/>
      <c r="AIA149" s="1251"/>
      <c r="AIB149" s="1251"/>
      <c r="AIC149" s="1251"/>
      <c r="AID149" s="1251"/>
      <c r="AIE149" s="1251"/>
      <c r="AIF149" s="1251"/>
      <c r="AIG149" s="1251"/>
      <c r="AIH149" s="1251"/>
      <c r="AII149" s="1251"/>
      <c r="AIJ149" s="1251"/>
      <c r="AIK149" s="1251"/>
      <c r="AIL149" s="1251"/>
      <c r="AIM149" s="1251"/>
      <c r="AIN149" s="1251"/>
      <c r="AIO149" s="1251"/>
      <c r="AIP149" s="1251"/>
      <c r="AIQ149" s="1251"/>
      <c r="AIR149" s="1251"/>
      <c r="AIS149" s="1251"/>
      <c r="AIT149" s="1251"/>
      <c r="AIU149" s="1251"/>
      <c r="AIV149" s="1251"/>
      <c r="AIW149" s="1251"/>
      <c r="AIX149" s="1251"/>
      <c r="AIY149" s="1251"/>
      <c r="AIZ149" s="1251"/>
      <c r="AJA149" s="1251"/>
      <c r="AJB149" s="1251"/>
      <c r="AJC149" s="1251"/>
      <c r="AJD149" s="1251"/>
      <c r="AJE149" s="1251"/>
      <c r="AJF149" s="1251"/>
      <c r="AJG149" s="1251"/>
      <c r="AJH149" s="1251"/>
      <c r="AJI149" s="1251"/>
      <c r="AJJ149" s="1251"/>
      <c r="AJK149" s="1251"/>
      <c r="AJL149" s="1251"/>
      <c r="AJM149" s="1251"/>
      <c r="AJN149" s="1251"/>
      <c r="AJO149" s="1251"/>
      <c r="AJP149" s="1251"/>
      <c r="AJQ149" s="1251"/>
      <c r="AJR149" s="1251"/>
      <c r="AJS149" s="1251"/>
      <c r="AJT149" s="1251"/>
      <c r="AJU149" s="1251"/>
      <c r="AJV149" s="1251"/>
      <c r="AJW149" s="1251"/>
      <c r="AJX149" s="1251"/>
      <c r="AJY149" s="1251"/>
      <c r="AJZ149" s="1251"/>
      <c r="AKA149" s="1251"/>
      <c r="AKB149" s="1251"/>
      <c r="AKC149" s="1251"/>
      <c r="AKD149" s="1251"/>
      <c r="AKE149" s="1251"/>
      <c r="AKF149" s="1251"/>
      <c r="AKG149" s="1251"/>
      <c r="AKH149" s="1251"/>
      <c r="AKI149" s="1251"/>
      <c r="AKJ149" s="1251"/>
      <c r="AKK149" s="1251"/>
      <c r="AKL149" s="1251"/>
      <c r="AKM149" s="1251"/>
      <c r="AKN149" s="1251"/>
      <c r="AKO149" s="1251"/>
      <c r="AKP149" s="1251"/>
      <c r="AKQ149" s="1251"/>
      <c r="AKR149" s="1251"/>
      <c r="AKS149" s="1251"/>
      <c r="AKT149" s="1251"/>
      <c r="AKU149" s="1251"/>
      <c r="AKV149" s="1251"/>
      <c r="AKW149" s="1251"/>
      <c r="AKX149" s="1251"/>
      <c r="AKY149" s="1251"/>
      <c r="AKZ149" s="1251"/>
      <c r="ALA149" s="1251"/>
      <c r="ALB149" s="1251"/>
      <c r="ALC149" s="1251"/>
      <c r="ALD149" s="1251"/>
      <c r="ALE149" s="1251"/>
      <c r="ALF149" s="1251"/>
      <c r="ALG149" s="1251"/>
      <c r="ALH149" s="1251"/>
      <c r="ALI149" s="1251"/>
      <c r="ALJ149" s="1251"/>
      <c r="ALK149" s="1251"/>
      <c r="ALL149" s="1251"/>
      <c r="ALM149" s="1251"/>
      <c r="ALN149" s="1251"/>
      <c r="ALO149" s="1251"/>
      <c r="ALP149" s="1251"/>
      <c r="ALQ149" s="1251"/>
      <c r="ALR149" s="1251"/>
      <c r="ALS149" s="1251"/>
      <c r="ALT149" s="1251"/>
      <c r="ALU149" s="1251"/>
      <c r="ALV149" s="1251"/>
      <c r="ALW149" s="1251"/>
      <c r="ALX149" s="1251"/>
      <c r="ALY149" s="1251"/>
      <c r="ALZ149" s="1251"/>
      <c r="AMA149" s="1251"/>
      <c r="AMB149" s="1251"/>
      <c r="AMC149" s="1251"/>
      <c r="AMD149" s="1251"/>
      <c r="AME149" s="1251"/>
      <c r="AMF149" s="1251"/>
      <c r="AMG149" s="1251"/>
      <c r="AMH149" s="1251"/>
      <c r="AMI149" s="1251"/>
      <c r="AMJ149" s="1251"/>
      <c r="AMK149" s="1251"/>
      <c r="AML149" s="1251"/>
      <c r="AMM149" s="1251"/>
      <c r="AMN149" s="1251"/>
      <c r="AMO149" s="1251"/>
      <c r="AMP149" s="1251"/>
      <c r="AMQ149" s="1251"/>
      <c r="AMR149" s="1251"/>
      <c r="AMS149" s="1251"/>
      <c r="AMT149" s="1251"/>
      <c r="AMU149" s="1251"/>
      <c r="AMV149" s="1251"/>
      <c r="AMW149" s="1251"/>
      <c r="AMX149" s="1251"/>
      <c r="AMY149" s="1251"/>
      <c r="AMZ149" s="1251"/>
      <c r="ANA149" s="1251"/>
      <c r="ANB149" s="1251"/>
      <c r="ANC149" s="1251"/>
      <c r="AND149" s="1251"/>
      <c r="ANE149" s="1251"/>
      <c r="ANF149" s="1251"/>
      <c r="ANG149" s="1251"/>
      <c r="ANH149" s="1251"/>
      <c r="ANI149" s="1251"/>
      <c r="ANJ149" s="1251"/>
      <c r="ANK149" s="1251"/>
      <c r="ANL149" s="1251"/>
      <c r="ANM149" s="1251"/>
      <c r="ANN149" s="1251"/>
      <c r="ANO149" s="1251"/>
      <c r="ANP149" s="1251"/>
      <c r="ANQ149" s="1251"/>
      <c r="ANR149" s="1251"/>
      <c r="ANS149" s="1251"/>
      <c r="ANT149" s="1251"/>
      <c r="ANU149" s="1251"/>
      <c r="ANV149" s="1251"/>
      <c r="ANW149" s="1251"/>
      <c r="ANX149" s="1251"/>
      <c r="ANY149" s="1251"/>
      <c r="ANZ149" s="1251"/>
      <c r="AOA149" s="1251"/>
      <c r="AOB149" s="1251"/>
      <c r="AOC149" s="1251"/>
      <c r="AOD149" s="1251"/>
      <c r="AOE149" s="1251"/>
      <c r="AOF149" s="1251"/>
      <c r="AOG149" s="1251"/>
      <c r="AOH149" s="1251"/>
      <c r="AOI149" s="1251"/>
      <c r="AOJ149" s="1251"/>
      <c r="AOK149" s="1251"/>
      <c r="AOL149" s="1251"/>
      <c r="AOM149" s="1251"/>
      <c r="AON149" s="1251"/>
      <c r="AOO149" s="1251"/>
      <c r="AOP149" s="1251"/>
      <c r="AOQ149" s="1251"/>
      <c r="AOR149" s="1251"/>
      <c r="AOS149" s="1251"/>
      <c r="AOT149" s="1251"/>
      <c r="AOU149" s="1251"/>
      <c r="AOV149" s="1251"/>
      <c r="AOW149" s="1251"/>
      <c r="AOX149" s="1251"/>
      <c r="AOY149" s="1251"/>
      <c r="AOZ149" s="1251"/>
      <c r="APA149" s="1251"/>
      <c r="APB149" s="1251"/>
      <c r="APC149" s="1251"/>
      <c r="APD149" s="1251"/>
      <c r="APE149" s="1251"/>
      <c r="APF149" s="1251"/>
      <c r="APG149" s="1251"/>
      <c r="APH149" s="1251"/>
      <c r="API149" s="1251"/>
      <c r="APJ149" s="1251"/>
      <c r="APK149" s="1251"/>
      <c r="APL149" s="1251"/>
      <c r="APM149" s="1251"/>
      <c r="APN149" s="1251"/>
      <c r="APO149" s="1251"/>
      <c r="APP149" s="1251"/>
      <c r="APQ149" s="1251"/>
      <c r="APR149" s="1251"/>
      <c r="APS149" s="1251"/>
      <c r="APT149" s="1251"/>
      <c r="APU149" s="1251"/>
      <c r="APV149" s="1251"/>
      <c r="APW149" s="1251"/>
      <c r="APX149" s="1251"/>
      <c r="APY149" s="1251"/>
      <c r="APZ149" s="1251"/>
      <c r="AQA149" s="1251"/>
      <c r="AQB149" s="1251"/>
      <c r="AQC149" s="1251"/>
      <c r="AQD149" s="1251"/>
      <c r="AQE149" s="1251"/>
      <c r="AQF149" s="1251"/>
      <c r="AQG149" s="1251"/>
      <c r="AQH149" s="1251"/>
      <c r="AQI149" s="1251"/>
      <c r="AQJ149" s="1251"/>
      <c r="AQK149" s="1251"/>
      <c r="AQL149" s="1251"/>
      <c r="AQM149" s="1251"/>
      <c r="AQN149" s="1251"/>
      <c r="AQO149" s="1251"/>
      <c r="AQP149" s="1251"/>
      <c r="AQQ149" s="1251"/>
      <c r="AQR149" s="1251"/>
      <c r="AQS149" s="1251"/>
      <c r="AQT149" s="1251"/>
      <c r="AQU149" s="1251"/>
      <c r="AQV149" s="1251"/>
      <c r="AQW149" s="1251"/>
      <c r="AQX149" s="1251"/>
      <c r="AQY149" s="1251"/>
      <c r="AQZ149" s="1251"/>
      <c r="ARA149" s="1251"/>
      <c r="ARB149" s="1251"/>
      <c r="ARC149" s="1251"/>
      <c r="ARD149" s="1251"/>
      <c r="ARE149" s="1251"/>
      <c r="ARF149" s="1251"/>
      <c r="ARG149" s="1251"/>
      <c r="ARH149" s="1251"/>
      <c r="ARI149" s="1251"/>
      <c r="ARJ149" s="1251"/>
      <c r="ARK149" s="1251"/>
      <c r="ARL149" s="1251"/>
      <c r="ARM149" s="1251"/>
      <c r="ARN149" s="1251"/>
      <c r="ARO149" s="1251"/>
      <c r="ARP149" s="1251"/>
      <c r="ARQ149" s="1251"/>
      <c r="ARR149" s="1251"/>
      <c r="ARS149" s="1251"/>
      <c r="ART149" s="1251"/>
      <c r="ARU149" s="1251"/>
      <c r="ARV149" s="1251"/>
      <c r="ARW149" s="1251"/>
      <c r="ARX149" s="1251"/>
      <c r="ARY149" s="1251"/>
      <c r="ARZ149" s="1251"/>
      <c r="ASA149" s="1251"/>
      <c r="ASB149" s="1251"/>
      <c r="ASC149" s="1251"/>
      <c r="ASD149" s="1251"/>
      <c r="ASE149" s="1251"/>
      <c r="ASF149" s="1251"/>
      <c r="ASG149" s="1251"/>
      <c r="ASH149" s="1251"/>
      <c r="ASI149" s="1251"/>
      <c r="ASJ149" s="1251"/>
      <c r="ASK149" s="1251"/>
      <c r="ASL149" s="1251"/>
      <c r="ASM149" s="1251"/>
      <c r="ASN149" s="1251"/>
      <c r="ASO149" s="1251"/>
      <c r="ASP149" s="1251"/>
      <c r="ASQ149" s="1251"/>
      <c r="ASR149" s="1251"/>
      <c r="ASS149" s="1251"/>
      <c r="AST149" s="1251"/>
      <c r="ASU149" s="1251"/>
      <c r="ASV149" s="1251"/>
      <c r="ASW149" s="1251"/>
      <c r="ASX149" s="1251"/>
      <c r="ASY149" s="1251"/>
      <c r="ASZ149" s="1251"/>
      <c r="ATA149" s="1251"/>
      <c r="ATB149" s="1251"/>
      <c r="ATC149" s="1251"/>
      <c r="ATD149" s="1251"/>
      <c r="ATE149" s="1251"/>
      <c r="ATF149" s="1251"/>
      <c r="ATG149" s="1251"/>
      <c r="ATH149" s="1251"/>
      <c r="ATI149" s="1251"/>
      <c r="ATJ149" s="1251"/>
      <c r="ATK149" s="1251"/>
      <c r="ATL149" s="1251"/>
      <c r="ATM149" s="1251"/>
      <c r="ATN149" s="1251"/>
      <c r="ATO149" s="1251"/>
      <c r="ATP149" s="1251"/>
      <c r="ATQ149" s="1251"/>
      <c r="ATR149" s="1251"/>
      <c r="ATS149" s="1251"/>
      <c r="ATT149" s="1251"/>
      <c r="ATU149" s="1251"/>
      <c r="ATV149" s="1251"/>
      <c r="ATW149" s="1251"/>
      <c r="ATX149" s="1251"/>
      <c r="ATY149" s="1251"/>
      <c r="ATZ149" s="1251"/>
      <c r="AUA149" s="1251"/>
      <c r="AUB149" s="1251"/>
      <c r="AUC149" s="1251"/>
      <c r="AUD149" s="1251"/>
      <c r="AUE149" s="1251"/>
      <c r="AUF149" s="1251"/>
      <c r="AUG149" s="1251"/>
      <c r="AUH149" s="1251"/>
      <c r="AUI149" s="1251"/>
      <c r="AUJ149" s="1251"/>
      <c r="AUK149" s="1251"/>
      <c r="AUL149" s="1251"/>
      <c r="AUM149" s="1251"/>
      <c r="AUN149" s="1251"/>
      <c r="AUO149" s="1251"/>
      <c r="AUP149" s="1251"/>
      <c r="AUQ149" s="1251"/>
      <c r="AUR149" s="1251"/>
      <c r="AUS149" s="1251"/>
      <c r="AUT149" s="1251"/>
      <c r="AUU149" s="1251"/>
      <c r="AUV149" s="1251"/>
      <c r="AUW149" s="1251"/>
      <c r="AUX149" s="1251"/>
      <c r="AUY149" s="1251"/>
      <c r="AUZ149" s="1251"/>
      <c r="AVA149" s="1251"/>
      <c r="AVB149" s="1251"/>
      <c r="AVC149" s="1251"/>
      <c r="AVD149" s="1251"/>
      <c r="AVE149" s="1251"/>
      <c r="AVF149" s="1251"/>
      <c r="AVG149" s="1251"/>
      <c r="AVH149" s="1251"/>
      <c r="AVI149" s="1251"/>
      <c r="AVJ149" s="1251"/>
      <c r="AVK149" s="1251"/>
      <c r="AVL149" s="1251"/>
      <c r="AVM149" s="1251"/>
      <c r="AVN149" s="1251"/>
      <c r="AVO149" s="1251"/>
      <c r="AVP149" s="1251"/>
      <c r="AVQ149" s="1251"/>
      <c r="AVR149" s="1251"/>
      <c r="AVS149" s="1251"/>
      <c r="AVT149" s="1251"/>
      <c r="AVU149" s="1251"/>
      <c r="AVV149" s="1251"/>
      <c r="AVW149" s="1251"/>
      <c r="AVX149" s="1251"/>
      <c r="AVY149" s="1251"/>
      <c r="AVZ149" s="1251"/>
      <c r="AWA149" s="1251"/>
      <c r="AWB149" s="1251"/>
      <c r="AWC149" s="1251"/>
      <c r="AWD149" s="1251"/>
      <c r="AWE149" s="1251"/>
      <c r="AWF149" s="1251"/>
      <c r="AWG149" s="1251"/>
      <c r="AWH149" s="1251"/>
      <c r="AWI149" s="1251"/>
      <c r="AWJ149" s="1251"/>
      <c r="AWK149" s="1251"/>
      <c r="AWL149" s="1251"/>
      <c r="AWM149" s="1251"/>
      <c r="AWN149" s="1251"/>
      <c r="AWO149" s="1251"/>
      <c r="AWP149" s="1251"/>
      <c r="AWQ149" s="1251"/>
      <c r="AWR149" s="1251"/>
      <c r="AWS149" s="1251"/>
      <c r="AWT149" s="1251"/>
      <c r="AWU149" s="1251"/>
      <c r="AWV149" s="1251"/>
      <c r="AWW149" s="1251"/>
      <c r="AWX149" s="1251"/>
      <c r="AWY149" s="1251"/>
      <c r="AWZ149" s="1251"/>
      <c r="AXA149" s="1251"/>
      <c r="AXB149" s="1251"/>
      <c r="AXC149" s="1251"/>
      <c r="AXD149" s="1251"/>
      <c r="AXE149" s="1251"/>
      <c r="AXF149" s="1251"/>
      <c r="AXG149" s="1251"/>
      <c r="AXH149" s="1251"/>
      <c r="AXI149" s="1251"/>
      <c r="AXJ149" s="1251"/>
      <c r="AXK149" s="1251"/>
      <c r="AXL149" s="1251"/>
      <c r="AXM149" s="1251"/>
      <c r="AXN149" s="1251"/>
      <c r="AXO149" s="1251"/>
      <c r="AXP149" s="1251"/>
      <c r="AXQ149" s="1251"/>
      <c r="AXR149" s="1251"/>
      <c r="AXS149" s="1251"/>
      <c r="AXT149" s="1251"/>
      <c r="AXU149" s="1251"/>
      <c r="AXV149" s="1251"/>
      <c r="AXW149" s="1251"/>
      <c r="AXX149" s="1251"/>
      <c r="AXY149" s="1251"/>
      <c r="AXZ149" s="1251"/>
      <c r="AYA149" s="1251"/>
      <c r="AYB149" s="1251"/>
      <c r="AYC149" s="1251"/>
      <c r="AYD149" s="1251"/>
      <c r="AYE149" s="1251"/>
      <c r="AYF149" s="1251"/>
      <c r="AYG149" s="1251"/>
      <c r="AYH149" s="1251"/>
      <c r="AYI149" s="1251"/>
      <c r="AYJ149" s="1251"/>
      <c r="AYK149" s="1251"/>
      <c r="AYL149" s="1251"/>
      <c r="AYM149" s="1251"/>
      <c r="AYN149" s="1251"/>
      <c r="AYO149" s="1251"/>
      <c r="AYP149" s="1251"/>
      <c r="AYQ149" s="1251"/>
      <c r="AYR149" s="1251"/>
      <c r="AYS149" s="1251"/>
      <c r="AYT149" s="1251"/>
      <c r="AYU149" s="1251"/>
      <c r="AYV149" s="1251"/>
      <c r="AYW149" s="1251"/>
      <c r="AYX149" s="1251"/>
      <c r="AYY149" s="1251"/>
      <c r="AYZ149" s="1251"/>
      <c r="AZA149" s="1251"/>
      <c r="AZB149" s="1251"/>
      <c r="AZC149" s="1251"/>
      <c r="AZD149" s="1251"/>
      <c r="AZE149" s="1251"/>
      <c r="AZF149" s="1251"/>
      <c r="AZG149" s="1251"/>
      <c r="AZH149" s="1251"/>
      <c r="AZI149" s="1251"/>
      <c r="AZJ149" s="1251"/>
      <c r="AZK149" s="1251"/>
      <c r="AZL149" s="1251"/>
      <c r="AZM149" s="1251"/>
      <c r="AZN149" s="1251"/>
      <c r="AZO149" s="1251"/>
      <c r="AZP149" s="1251"/>
      <c r="AZQ149" s="1251"/>
      <c r="AZR149" s="1251"/>
      <c r="AZS149" s="1251"/>
      <c r="AZT149" s="1251"/>
      <c r="AZU149" s="1251"/>
      <c r="AZV149" s="1251"/>
      <c r="AZW149" s="1251"/>
      <c r="AZX149" s="1251"/>
      <c r="AZY149" s="1251"/>
      <c r="AZZ149" s="1251"/>
      <c r="BAA149" s="1251"/>
      <c r="BAB149" s="1251"/>
      <c r="BAC149" s="1251"/>
      <c r="BAD149" s="1251"/>
      <c r="BAE149" s="1251"/>
      <c r="BAF149" s="1251"/>
      <c r="BAG149" s="1251"/>
      <c r="BAH149" s="1251"/>
      <c r="BAI149" s="1251"/>
      <c r="BAJ149" s="1251"/>
      <c r="BAK149" s="1251"/>
      <c r="BAL149" s="1251"/>
      <c r="BAM149" s="1251"/>
      <c r="BAN149" s="1251"/>
      <c r="BAO149" s="1251"/>
      <c r="BAP149" s="1251"/>
      <c r="BAQ149" s="1251"/>
      <c r="BAR149" s="1251"/>
      <c r="BAS149" s="1251"/>
      <c r="BAT149" s="1251"/>
      <c r="BAU149" s="1251"/>
      <c r="BAV149" s="1251"/>
      <c r="BAW149" s="1251"/>
      <c r="BAX149" s="1251"/>
      <c r="BAY149" s="1251"/>
      <c r="BAZ149" s="1251"/>
      <c r="BBA149" s="1251"/>
      <c r="BBB149" s="1251"/>
      <c r="BBC149" s="1251"/>
      <c r="BBD149" s="1251"/>
      <c r="BBE149" s="1251"/>
      <c r="BBF149" s="1251"/>
      <c r="BBG149" s="1251"/>
      <c r="BBH149" s="1251"/>
      <c r="BBI149" s="1251"/>
      <c r="BBJ149" s="1251"/>
      <c r="BBK149" s="1251"/>
      <c r="BBL149" s="1251"/>
      <c r="BBM149" s="1251"/>
      <c r="BBN149" s="1251"/>
      <c r="BBO149" s="1251"/>
      <c r="BBP149" s="1251"/>
      <c r="BBQ149" s="1251"/>
      <c r="BBR149" s="1251"/>
      <c r="BBS149" s="1251"/>
      <c r="BBT149" s="1251"/>
      <c r="BBU149" s="1251"/>
      <c r="BBV149" s="1251"/>
      <c r="BBW149" s="1251"/>
      <c r="BBX149" s="1251"/>
      <c r="BBY149" s="1251"/>
      <c r="BBZ149" s="1251"/>
      <c r="BCA149" s="1251"/>
      <c r="BCB149" s="1251"/>
      <c r="BCC149" s="1251"/>
      <c r="BCD149" s="1251"/>
      <c r="BCE149" s="1251"/>
      <c r="BCF149" s="1251"/>
      <c r="BCG149" s="1251"/>
      <c r="BCH149" s="1251"/>
      <c r="BCI149" s="1251"/>
      <c r="BCJ149" s="1251"/>
      <c r="BCK149" s="1251"/>
      <c r="BCL149" s="1251"/>
      <c r="BCM149" s="1251"/>
      <c r="BCN149" s="1251"/>
      <c r="BCO149" s="1251"/>
      <c r="BCP149" s="1251"/>
      <c r="BCQ149" s="1251"/>
      <c r="BCR149" s="1251"/>
      <c r="BCS149" s="1251"/>
      <c r="BCT149" s="1251"/>
      <c r="BCU149" s="1251"/>
      <c r="BCV149" s="1251"/>
      <c r="BCW149" s="1251"/>
      <c r="BCX149" s="1251"/>
      <c r="BCY149" s="1251"/>
      <c r="BCZ149" s="1251"/>
      <c r="BDA149" s="1251"/>
      <c r="BDB149" s="1251"/>
      <c r="BDC149" s="1251"/>
      <c r="BDD149" s="1251"/>
      <c r="BDE149" s="1251"/>
      <c r="BDF149" s="1251"/>
      <c r="BDG149" s="1251"/>
      <c r="BDH149" s="1251"/>
      <c r="BDI149" s="1251"/>
      <c r="BDJ149" s="1251"/>
      <c r="BDK149" s="1251"/>
      <c r="BDL149" s="1251"/>
      <c r="BDM149" s="1251"/>
      <c r="BDN149" s="1251"/>
      <c r="BDO149" s="1251"/>
      <c r="BDP149" s="1251"/>
      <c r="BDQ149" s="1251"/>
      <c r="BDR149" s="1251"/>
      <c r="BDS149" s="1251"/>
      <c r="BDT149" s="1251"/>
      <c r="BDU149" s="1251"/>
      <c r="BDV149" s="1251"/>
      <c r="BDW149" s="1251"/>
      <c r="BDX149" s="1251"/>
      <c r="BDY149" s="1251"/>
      <c r="BDZ149" s="1251"/>
      <c r="BEA149" s="1251"/>
      <c r="BEB149" s="1251"/>
      <c r="BEC149" s="1251"/>
      <c r="BED149" s="1251"/>
      <c r="BEE149" s="1251"/>
      <c r="BEF149" s="1251"/>
      <c r="BEG149" s="1251"/>
      <c r="BEH149" s="1251"/>
      <c r="BEI149" s="1251"/>
      <c r="BEJ149" s="1251"/>
      <c r="BEK149" s="1251"/>
      <c r="BEL149" s="1251"/>
      <c r="BEM149" s="1251"/>
      <c r="BEN149" s="1251"/>
      <c r="BEO149" s="1251"/>
      <c r="BEP149" s="1251"/>
      <c r="BEQ149" s="1251"/>
      <c r="BER149" s="1251"/>
      <c r="BES149" s="1251"/>
      <c r="BET149" s="1251"/>
      <c r="BEU149" s="1251"/>
      <c r="BEV149" s="1251"/>
      <c r="BEW149" s="1251"/>
      <c r="BEX149" s="1251"/>
      <c r="BEY149" s="1251"/>
      <c r="BEZ149" s="1251"/>
      <c r="BFA149" s="1251"/>
      <c r="BFB149" s="1251"/>
      <c r="BFC149" s="1251"/>
      <c r="BFD149" s="1251"/>
      <c r="BFE149" s="1251"/>
      <c r="BFF149" s="1251"/>
      <c r="BFG149" s="1251"/>
      <c r="BFH149" s="1251"/>
      <c r="BFI149" s="1251"/>
      <c r="BFJ149" s="1251"/>
      <c r="BFK149" s="1251"/>
      <c r="BFL149" s="1251"/>
      <c r="BFM149" s="1251"/>
      <c r="BFN149" s="1251"/>
      <c r="BFO149" s="1251"/>
      <c r="BFP149" s="1251"/>
      <c r="BFQ149" s="1251"/>
      <c r="BFR149" s="1251"/>
      <c r="BFS149" s="1251"/>
      <c r="BFT149" s="1251"/>
      <c r="BFU149" s="1251"/>
      <c r="BFV149" s="1251"/>
      <c r="BFW149" s="1251"/>
      <c r="BFX149" s="1251"/>
      <c r="BFY149" s="1251"/>
      <c r="BFZ149" s="1251"/>
      <c r="BGA149" s="1251"/>
      <c r="BGB149" s="1251"/>
      <c r="BGC149" s="1251"/>
      <c r="BGD149" s="1251"/>
      <c r="BGE149" s="1251"/>
      <c r="BGF149" s="1251"/>
      <c r="BGG149" s="1251"/>
      <c r="BGH149" s="1251"/>
      <c r="BGI149" s="1251"/>
      <c r="BGJ149" s="1251"/>
      <c r="BGK149" s="1251"/>
      <c r="BGL149" s="1251"/>
      <c r="BGM149" s="1251"/>
      <c r="BGN149" s="1251"/>
      <c r="BGO149" s="1251"/>
      <c r="BGP149" s="1251"/>
      <c r="BGQ149" s="1251"/>
      <c r="BGR149" s="1251"/>
      <c r="BGS149" s="1251"/>
      <c r="BGT149" s="1251"/>
      <c r="BGU149" s="1251"/>
      <c r="BGV149" s="1251"/>
      <c r="BGW149" s="1251"/>
      <c r="BGX149" s="1251"/>
      <c r="BGY149" s="1251"/>
      <c r="BGZ149" s="1251"/>
      <c r="BHA149" s="1251"/>
      <c r="BHB149" s="1251"/>
      <c r="BHC149" s="1251"/>
      <c r="BHD149" s="1251"/>
      <c r="BHE149" s="1251"/>
      <c r="BHF149" s="1251"/>
      <c r="BHG149" s="1251"/>
      <c r="BHH149" s="1251"/>
      <c r="BHI149" s="1251"/>
      <c r="BHJ149" s="1251"/>
      <c r="BHK149" s="1251"/>
      <c r="BHL149" s="1251"/>
      <c r="BHM149" s="1251"/>
      <c r="BHN149" s="1251"/>
      <c r="BHO149" s="1251"/>
      <c r="BHP149" s="1251"/>
      <c r="BHQ149" s="1251"/>
      <c r="BHR149" s="1251"/>
      <c r="BHS149" s="1251"/>
      <c r="BHT149" s="1251"/>
      <c r="BHU149" s="1251"/>
      <c r="BHV149" s="1251"/>
      <c r="BHW149" s="1251"/>
      <c r="BHX149" s="1251"/>
      <c r="BHY149" s="1251"/>
      <c r="BHZ149" s="1251"/>
      <c r="BIA149" s="1251"/>
      <c r="BIB149" s="1251"/>
      <c r="BIC149" s="1251"/>
      <c r="BID149" s="1251"/>
      <c r="BIE149" s="1251"/>
      <c r="BIF149" s="1251"/>
      <c r="BIG149" s="1251"/>
      <c r="BIH149" s="1251"/>
      <c r="BII149" s="1251"/>
      <c r="BIJ149" s="1251"/>
      <c r="BIK149" s="1251"/>
      <c r="BIL149" s="1251"/>
      <c r="BIM149" s="1251"/>
      <c r="BIN149" s="1251"/>
      <c r="BIO149" s="1251"/>
      <c r="BIP149" s="1251"/>
      <c r="BIQ149" s="1251"/>
      <c r="BIR149" s="1251"/>
      <c r="BIS149" s="1251"/>
      <c r="BIT149" s="1251"/>
      <c r="BIU149" s="1251"/>
      <c r="BIV149" s="1251"/>
      <c r="BIW149" s="1251"/>
      <c r="BIX149" s="1251"/>
      <c r="BIY149" s="1251"/>
      <c r="BIZ149" s="1251"/>
      <c r="BJA149" s="1251"/>
      <c r="BJB149" s="1251"/>
      <c r="BJC149" s="1251"/>
      <c r="BJD149" s="1251"/>
      <c r="BJE149" s="1251"/>
      <c r="BJF149" s="1251"/>
      <c r="BJG149" s="1251"/>
      <c r="BJH149" s="1251"/>
      <c r="BJI149" s="1251"/>
      <c r="BJJ149" s="1251"/>
      <c r="BJK149" s="1251"/>
      <c r="BJL149" s="1251"/>
      <c r="BJM149" s="1251"/>
      <c r="BJN149" s="1251"/>
      <c r="BJO149" s="1251"/>
      <c r="BJP149" s="1251"/>
      <c r="BJQ149" s="1251"/>
      <c r="BJR149" s="1251"/>
      <c r="BJS149" s="1251"/>
      <c r="BJT149" s="1251"/>
      <c r="BJU149" s="1251"/>
      <c r="BJV149" s="1251"/>
      <c r="BJW149" s="1251"/>
      <c r="BJX149" s="1251"/>
      <c r="BJY149" s="1251"/>
      <c r="BJZ149" s="1251"/>
      <c r="BKA149" s="1251"/>
      <c r="BKB149" s="1251"/>
      <c r="BKC149" s="1251"/>
      <c r="BKD149" s="1251"/>
      <c r="BKE149" s="1251"/>
      <c r="BKF149" s="1251"/>
      <c r="BKG149" s="1251"/>
      <c r="BKH149" s="1251"/>
      <c r="BKI149" s="1251"/>
      <c r="BKJ149" s="1251"/>
      <c r="BKK149" s="1251"/>
      <c r="BKL149" s="1251"/>
      <c r="BKM149" s="1251"/>
      <c r="BKN149" s="1251"/>
      <c r="BKO149" s="1251"/>
      <c r="BKP149" s="1251"/>
      <c r="BKQ149" s="1251"/>
      <c r="BKR149" s="1251"/>
      <c r="BKS149" s="1251"/>
      <c r="BKT149" s="1251"/>
      <c r="BKU149" s="1251"/>
      <c r="BKV149" s="1251"/>
      <c r="BKW149" s="1251"/>
      <c r="BKX149" s="1251"/>
      <c r="BKY149" s="1251"/>
      <c r="BKZ149" s="1251"/>
      <c r="BLA149" s="1251"/>
      <c r="BLB149" s="1251"/>
      <c r="BLC149" s="1251"/>
      <c r="BLD149" s="1251"/>
      <c r="BLE149" s="1251"/>
      <c r="BLF149" s="1251"/>
      <c r="BLG149" s="1251"/>
      <c r="BLH149" s="1251"/>
      <c r="BLI149" s="1251"/>
      <c r="BLJ149" s="1251"/>
      <c r="BLK149" s="1251"/>
      <c r="BLL149" s="1251"/>
      <c r="BLM149" s="1251"/>
      <c r="BLN149" s="1251"/>
      <c r="BLO149" s="1251"/>
      <c r="BLP149" s="1251"/>
      <c r="BLQ149" s="1251"/>
      <c r="BLR149" s="1251"/>
      <c r="BLS149" s="1251"/>
      <c r="BLT149" s="1251"/>
      <c r="BLU149" s="1251"/>
      <c r="BLV149" s="1251"/>
      <c r="BLW149" s="1251"/>
      <c r="BLX149" s="1251"/>
      <c r="BLY149" s="1251"/>
      <c r="BLZ149" s="1251"/>
      <c r="BMA149" s="1251"/>
      <c r="BMB149" s="1251"/>
      <c r="BMC149" s="1251"/>
      <c r="BMD149" s="1251"/>
      <c r="BME149" s="1251"/>
      <c r="BMF149" s="1251"/>
      <c r="BMG149" s="1251"/>
      <c r="BMH149" s="1251"/>
      <c r="BMI149" s="1251"/>
      <c r="BMJ149" s="1251"/>
      <c r="BMK149" s="1251"/>
      <c r="BML149" s="1251"/>
      <c r="BMM149" s="1251"/>
      <c r="BMN149" s="1251"/>
      <c r="BMO149" s="1251"/>
      <c r="BMP149" s="1251"/>
      <c r="BMQ149" s="1251"/>
      <c r="BMR149" s="1251"/>
      <c r="BMS149" s="1251"/>
      <c r="BMT149" s="1251"/>
      <c r="BMU149" s="1251"/>
      <c r="BMV149" s="1251"/>
      <c r="BMW149" s="1251"/>
      <c r="BMX149" s="1251"/>
      <c r="BMY149" s="1251"/>
      <c r="BMZ149" s="1251"/>
      <c r="BNA149" s="1251"/>
      <c r="BNB149" s="1251"/>
      <c r="BNC149" s="1251"/>
      <c r="BND149" s="1251"/>
      <c r="BNE149" s="1251"/>
      <c r="BNF149" s="1251"/>
      <c r="BNG149" s="1251"/>
      <c r="BNH149" s="1251"/>
      <c r="BNI149" s="1251"/>
      <c r="BNJ149" s="1251"/>
      <c r="BNK149" s="1251"/>
      <c r="BNL149" s="1251"/>
      <c r="BNM149" s="1251"/>
      <c r="BNN149" s="1251"/>
      <c r="BNO149" s="1251"/>
      <c r="BNP149" s="1251"/>
      <c r="BNQ149" s="1251"/>
      <c r="BNR149" s="1251"/>
      <c r="BNS149" s="1251"/>
      <c r="BNT149" s="1251"/>
      <c r="BNU149" s="1251"/>
      <c r="BNV149" s="1251"/>
      <c r="BNW149" s="1251"/>
      <c r="BNX149" s="1251"/>
      <c r="BNY149" s="1251"/>
      <c r="BNZ149" s="1251"/>
      <c r="BOA149" s="1251"/>
      <c r="BOB149" s="1251"/>
      <c r="BOC149" s="1251"/>
      <c r="BOD149" s="1251"/>
      <c r="BOE149" s="1251"/>
      <c r="BOF149" s="1251"/>
      <c r="BOG149" s="1251"/>
      <c r="BOH149" s="1251"/>
      <c r="BOI149" s="1251"/>
      <c r="BOJ149" s="1251"/>
      <c r="BOK149" s="1251"/>
      <c r="BOL149" s="1251"/>
      <c r="BOM149" s="1251"/>
      <c r="BON149" s="1251"/>
      <c r="BOO149" s="1251"/>
      <c r="BOP149" s="1251"/>
      <c r="BOQ149" s="1251"/>
      <c r="BOR149" s="1251"/>
      <c r="BOS149" s="1251"/>
      <c r="BOT149" s="1251"/>
      <c r="BOU149" s="1251"/>
      <c r="BOV149" s="1251"/>
      <c r="BOW149" s="1251"/>
      <c r="BOX149" s="1251"/>
      <c r="BOY149" s="1251"/>
      <c r="BOZ149" s="1251"/>
      <c r="BPA149" s="1251"/>
      <c r="BPB149" s="1251"/>
      <c r="BPC149" s="1251"/>
      <c r="BPD149" s="1251"/>
      <c r="BPE149" s="1251"/>
      <c r="BPF149" s="1251"/>
      <c r="BPG149" s="1251"/>
      <c r="BPH149" s="1251"/>
      <c r="BPI149" s="1251"/>
      <c r="BPJ149" s="1251"/>
      <c r="BPK149" s="1251"/>
      <c r="BPL149" s="1251"/>
      <c r="BPM149" s="1251"/>
      <c r="BPN149" s="1251"/>
      <c r="BPO149" s="1251"/>
      <c r="BPP149" s="1251"/>
      <c r="BPQ149" s="1251"/>
      <c r="BPR149" s="1251"/>
      <c r="BPS149" s="1251"/>
      <c r="BPT149" s="1251"/>
      <c r="BPU149" s="1251"/>
      <c r="BPV149" s="1251"/>
      <c r="BPW149" s="1251"/>
      <c r="BPX149" s="1251"/>
      <c r="BPY149" s="1251"/>
      <c r="BPZ149" s="1251"/>
      <c r="BQA149" s="1251"/>
      <c r="BQB149" s="1251"/>
      <c r="BQC149" s="1251"/>
      <c r="BQD149" s="1251"/>
      <c r="BQE149" s="1251"/>
      <c r="BQF149" s="1251"/>
      <c r="BQG149" s="1251"/>
      <c r="BQH149" s="1251"/>
      <c r="BQI149" s="1251"/>
      <c r="BQJ149" s="1251"/>
      <c r="BQK149" s="1251"/>
      <c r="BQL149" s="1251"/>
      <c r="BQM149" s="1251"/>
      <c r="BQN149" s="1251"/>
      <c r="BQO149" s="1251"/>
      <c r="BQP149" s="1251"/>
      <c r="BQQ149" s="1251"/>
      <c r="BQR149" s="1251"/>
      <c r="BQS149" s="1251"/>
      <c r="BQT149" s="1251"/>
      <c r="BQU149" s="1251"/>
      <c r="BQV149" s="1251"/>
      <c r="BQW149" s="1251"/>
      <c r="BQX149" s="1251"/>
      <c r="BQY149" s="1251"/>
      <c r="BQZ149" s="1251"/>
      <c r="BRA149" s="1251"/>
      <c r="BRB149" s="1251"/>
      <c r="BRC149" s="1251"/>
      <c r="BRD149" s="1251"/>
      <c r="BRE149" s="1251"/>
      <c r="BRF149" s="1251"/>
      <c r="BRG149" s="1251"/>
      <c r="BRH149" s="1251"/>
      <c r="BRI149" s="1251"/>
      <c r="BRJ149" s="1251"/>
      <c r="BRK149" s="1251"/>
      <c r="BRL149" s="1251"/>
      <c r="BRM149" s="1251"/>
      <c r="BRN149" s="1251"/>
      <c r="BRO149" s="1251"/>
      <c r="BRP149" s="1251"/>
      <c r="BRQ149" s="1251"/>
      <c r="BRR149" s="1251"/>
      <c r="BRS149" s="1251"/>
      <c r="BRT149" s="1251"/>
      <c r="BRU149" s="1251"/>
      <c r="BRV149" s="1251"/>
      <c r="BRW149" s="1251"/>
      <c r="BRX149" s="1251"/>
      <c r="BRY149" s="1251"/>
      <c r="BRZ149" s="1251"/>
      <c r="BSA149" s="1251"/>
      <c r="BSB149" s="1251"/>
      <c r="BSC149" s="1251"/>
      <c r="BSD149" s="1251"/>
      <c r="BSE149" s="1251"/>
      <c r="BSF149" s="1251"/>
      <c r="BSG149" s="1251"/>
      <c r="BSH149" s="1251"/>
      <c r="BSI149" s="1251"/>
      <c r="BSJ149" s="1251"/>
      <c r="BSK149" s="1251"/>
      <c r="BSL149" s="1251"/>
      <c r="BSM149" s="1251"/>
      <c r="BSN149" s="1251"/>
      <c r="BSO149" s="1251"/>
      <c r="BSP149" s="1251"/>
      <c r="BSQ149" s="1251"/>
      <c r="BSR149" s="1251"/>
      <c r="BSS149" s="1251"/>
      <c r="BST149" s="1251"/>
      <c r="BSU149" s="1251"/>
      <c r="BSV149" s="1251"/>
      <c r="BSW149" s="1251"/>
      <c r="BSX149" s="1251"/>
      <c r="BSY149" s="1251"/>
      <c r="BSZ149" s="1251"/>
      <c r="BTA149" s="1251"/>
      <c r="BTB149" s="1251"/>
      <c r="BTC149" s="1251"/>
      <c r="BTD149" s="1251"/>
      <c r="BTE149" s="1251"/>
      <c r="BTF149" s="1251"/>
      <c r="BTG149" s="1251"/>
      <c r="BTH149" s="1251"/>
      <c r="BTI149" s="1251"/>
    </row>
    <row r="150" spans="1:1881" s="1261" customFormat="1" ht="40.5" customHeight="1" x14ac:dyDescent="0.3">
      <c r="A150" s="1248"/>
      <c r="B150" s="828" t="s">
        <v>155</v>
      </c>
      <c r="C150" s="841"/>
      <c r="D150" s="828"/>
      <c r="E150" s="828"/>
      <c r="F150" s="1278"/>
      <c r="G150" s="846"/>
      <c r="H150" s="1273"/>
      <c r="I150" s="760"/>
      <c r="J150" s="1251"/>
      <c r="K150" s="1251"/>
      <c r="L150" s="1251"/>
      <c r="M150" s="1251"/>
      <c r="N150" s="1253"/>
      <c r="O150" s="1251"/>
      <c r="P150" s="1251"/>
      <c r="Q150" s="1251"/>
      <c r="R150" s="1251"/>
      <c r="S150" s="1251"/>
      <c r="T150" s="1251"/>
      <c r="U150" s="1251"/>
      <c r="V150" s="1251"/>
      <c r="W150" s="1251"/>
      <c r="X150" s="1251"/>
      <c r="Y150" s="1251"/>
      <c r="Z150" s="1248"/>
      <c r="AA150" s="1248"/>
      <c r="AB150" s="1248"/>
      <c r="AC150" s="1248"/>
      <c r="AD150" s="1248"/>
      <c r="AE150" s="1248"/>
      <c r="AF150" s="1248"/>
      <c r="AG150" s="1248"/>
      <c r="AH150" s="1248"/>
      <c r="AI150" s="1248"/>
      <c r="AJ150" s="1248"/>
      <c r="AK150" s="1248"/>
      <c r="AL150" s="1248"/>
      <c r="AM150" s="1248"/>
      <c r="AN150" s="1248"/>
      <c r="AO150" s="1248"/>
      <c r="AP150" s="1248"/>
      <c r="AQ150" s="1248"/>
      <c r="AR150" s="1248"/>
      <c r="AS150" s="1251"/>
      <c r="AT150" s="1251"/>
      <c r="AU150" s="1251"/>
      <c r="AV150" s="1251"/>
      <c r="AW150" s="1251"/>
      <c r="AX150" s="1251"/>
      <c r="AY150" s="1251"/>
      <c r="AZ150" s="1251"/>
      <c r="BA150" s="1251"/>
      <c r="BB150" s="1251"/>
      <c r="BC150" s="1251"/>
      <c r="BD150" s="1251"/>
      <c r="BE150" s="1251"/>
      <c r="BF150" s="1251"/>
      <c r="BG150" s="1251"/>
      <c r="BH150" s="1251"/>
      <c r="BI150" s="1251"/>
      <c r="BJ150" s="1251"/>
      <c r="BK150" s="1251"/>
      <c r="BL150" s="1251"/>
      <c r="BM150" s="1251"/>
      <c r="BN150" s="1251"/>
      <c r="BO150" s="1251"/>
      <c r="BP150" s="1251"/>
      <c r="BQ150" s="1251"/>
      <c r="BR150" s="1251"/>
      <c r="BS150" s="1251"/>
      <c r="BT150" s="1251"/>
      <c r="BU150" s="1251"/>
      <c r="BV150" s="1251"/>
      <c r="BW150" s="1251"/>
      <c r="BX150" s="1251"/>
      <c r="BY150" s="1251"/>
      <c r="BZ150" s="1251"/>
      <c r="CA150" s="1251"/>
      <c r="CB150" s="1251"/>
      <c r="CC150" s="1251"/>
      <c r="CD150" s="1251"/>
      <c r="CE150" s="1251"/>
      <c r="CF150" s="1251"/>
      <c r="CG150" s="1251"/>
      <c r="CH150" s="1251"/>
      <c r="CI150" s="1251"/>
      <c r="CJ150" s="1251"/>
      <c r="CK150" s="1251"/>
      <c r="CL150" s="1251"/>
      <c r="CM150" s="1251"/>
      <c r="CN150" s="1251"/>
      <c r="CO150" s="1251"/>
      <c r="CP150" s="1251"/>
      <c r="CQ150" s="1251"/>
      <c r="CR150" s="1251"/>
      <c r="CS150" s="1251"/>
      <c r="CT150" s="1251"/>
      <c r="CU150" s="1251"/>
      <c r="CV150" s="1251"/>
      <c r="CW150" s="1251"/>
      <c r="CX150" s="1251"/>
      <c r="CY150" s="1251"/>
      <c r="CZ150" s="1251"/>
      <c r="DA150" s="1251"/>
      <c r="DB150" s="1251"/>
      <c r="DC150" s="1251"/>
      <c r="DD150" s="1251"/>
      <c r="DE150" s="1251"/>
      <c r="DF150" s="1251"/>
      <c r="DG150" s="1251"/>
      <c r="DH150" s="1251"/>
      <c r="DI150" s="1251"/>
      <c r="DJ150" s="1251"/>
      <c r="DK150" s="1251"/>
      <c r="DL150" s="1251"/>
      <c r="DM150" s="1251"/>
      <c r="DN150" s="1251"/>
      <c r="DO150" s="1251"/>
      <c r="DP150" s="1251"/>
      <c r="DQ150" s="1251"/>
      <c r="DR150" s="1251"/>
      <c r="DS150" s="1251"/>
      <c r="DT150" s="1251"/>
      <c r="DU150" s="1251"/>
      <c r="DV150" s="1251"/>
      <c r="DW150" s="1251"/>
      <c r="DX150" s="1251"/>
      <c r="DY150" s="1251"/>
      <c r="DZ150" s="1251"/>
      <c r="EA150" s="1251"/>
      <c r="EB150" s="1251"/>
      <c r="EC150" s="1251"/>
      <c r="ED150" s="1251"/>
      <c r="EE150" s="1251"/>
      <c r="EF150" s="1251"/>
      <c r="EG150" s="1251"/>
      <c r="EH150" s="1251"/>
      <c r="EI150" s="1251"/>
      <c r="EJ150" s="1251"/>
      <c r="EK150" s="1251"/>
      <c r="EL150" s="1251"/>
      <c r="EM150" s="1251"/>
      <c r="EN150" s="1251"/>
      <c r="EO150" s="1251"/>
      <c r="EP150" s="1251"/>
      <c r="EQ150" s="1251"/>
      <c r="ER150" s="1251"/>
      <c r="ES150" s="1251"/>
      <c r="ET150" s="1251"/>
      <c r="EU150" s="1251"/>
      <c r="EV150" s="1251"/>
      <c r="EW150" s="1251"/>
      <c r="EX150" s="1251"/>
      <c r="EY150" s="1251"/>
      <c r="EZ150" s="1251"/>
      <c r="FA150" s="1251"/>
      <c r="FB150" s="1251"/>
      <c r="FC150" s="1251"/>
      <c r="FD150" s="1251"/>
      <c r="FE150" s="1251"/>
      <c r="FF150" s="1251"/>
      <c r="FG150" s="1251"/>
      <c r="FH150" s="1251"/>
      <c r="FI150" s="1251"/>
      <c r="FJ150" s="1251"/>
      <c r="FK150" s="1251"/>
      <c r="FL150" s="1251"/>
      <c r="FM150" s="1251"/>
      <c r="FN150" s="1251"/>
      <c r="FO150" s="1251"/>
      <c r="FP150" s="1251"/>
      <c r="FQ150" s="1251"/>
      <c r="FR150" s="1251"/>
      <c r="FS150" s="1251"/>
      <c r="FT150" s="1251"/>
      <c r="FU150" s="1251"/>
      <c r="FV150" s="1251"/>
      <c r="FW150" s="1251"/>
      <c r="FX150" s="1251"/>
      <c r="FY150" s="1251"/>
      <c r="FZ150" s="1251"/>
      <c r="GA150" s="1251"/>
      <c r="GB150" s="1251"/>
      <c r="GC150" s="1251"/>
      <c r="GD150" s="1251"/>
      <c r="GE150" s="1251"/>
      <c r="GF150" s="1251"/>
      <c r="GG150" s="1251"/>
      <c r="GH150" s="1251"/>
      <c r="GI150" s="1251"/>
      <c r="GJ150" s="1251"/>
      <c r="GK150" s="1251"/>
      <c r="GL150" s="1251"/>
      <c r="GM150" s="1251"/>
      <c r="GN150" s="1251"/>
      <c r="GO150" s="1251"/>
      <c r="GP150" s="1251"/>
      <c r="GQ150" s="1251"/>
      <c r="GR150" s="1251"/>
      <c r="GS150" s="1251"/>
      <c r="GT150" s="1251"/>
      <c r="GU150" s="1251"/>
      <c r="GV150" s="1251"/>
      <c r="GW150" s="1251"/>
      <c r="GX150" s="1251"/>
      <c r="GY150" s="1251"/>
      <c r="GZ150" s="1251"/>
      <c r="HA150" s="1251"/>
      <c r="HB150" s="1251"/>
      <c r="HC150" s="1251"/>
      <c r="HD150" s="1251"/>
      <c r="HE150" s="1251"/>
      <c r="HF150" s="1251"/>
      <c r="HG150" s="1251"/>
      <c r="HH150" s="1251"/>
      <c r="HI150" s="1251"/>
      <c r="HJ150" s="1251"/>
      <c r="HK150" s="1251"/>
      <c r="HL150" s="1251"/>
      <c r="HM150" s="1251"/>
      <c r="HN150" s="1251"/>
      <c r="HO150" s="1251"/>
      <c r="HP150" s="1251"/>
      <c r="HQ150" s="1251"/>
      <c r="HR150" s="1251"/>
      <c r="HS150" s="1251"/>
      <c r="HT150" s="1251"/>
      <c r="HU150" s="1251"/>
      <c r="HV150" s="1251"/>
      <c r="HW150" s="1251"/>
      <c r="HX150" s="1251"/>
      <c r="HY150" s="1251"/>
      <c r="HZ150" s="1251"/>
      <c r="IA150" s="1251"/>
      <c r="IB150" s="1251"/>
      <c r="IC150" s="1251"/>
      <c r="ID150" s="1251"/>
      <c r="IE150" s="1251"/>
      <c r="IF150" s="1251"/>
      <c r="IG150" s="1251"/>
      <c r="IH150" s="1251"/>
      <c r="II150" s="1251"/>
      <c r="IJ150" s="1251"/>
      <c r="IK150" s="1251"/>
      <c r="IL150" s="1251"/>
      <c r="IM150" s="1251"/>
      <c r="IN150" s="1251"/>
      <c r="IO150" s="1251"/>
      <c r="IP150" s="1251"/>
      <c r="IQ150" s="1251"/>
      <c r="IR150" s="1251"/>
      <c r="IS150" s="1251"/>
      <c r="IT150" s="1251"/>
      <c r="IU150" s="1251"/>
      <c r="IV150" s="1251"/>
      <c r="IW150" s="1251"/>
      <c r="IX150" s="1251"/>
      <c r="IY150" s="1251"/>
      <c r="IZ150" s="1251"/>
      <c r="JA150" s="1251"/>
      <c r="JB150" s="1251"/>
      <c r="JC150" s="1251"/>
      <c r="JD150" s="1251"/>
      <c r="JE150" s="1251"/>
      <c r="JF150" s="1251"/>
      <c r="JG150" s="1251"/>
      <c r="JH150" s="1251"/>
      <c r="JI150" s="1251"/>
      <c r="JJ150" s="1251"/>
      <c r="JK150" s="1251"/>
      <c r="JL150" s="1251"/>
      <c r="JM150" s="1251"/>
      <c r="JN150" s="1251"/>
      <c r="JO150" s="1251"/>
      <c r="JP150" s="1251"/>
      <c r="JQ150" s="1251"/>
      <c r="JR150" s="1251"/>
      <c r="JS150" s="1251"/>
      <c r="JT150" s="1251"/>
      <c r="JU150" s="1251"/>
      <c r="JV150" s="1251"/>
      <c r="JW150" s="1251"/>
      <c r="JX150" s="1251"/>
      <c r="JY150" s="1251"/>
      <c r="JZ150" s="1251"/>
      <c r="KA150" s="1251"/>
      <c r="KB150" s="1251"/>
      <c r="KC150" s="1251"/>
      <c r="KD150" s="1251"/>
      <c r="KE150" s="1251"/>
      <c r="KF150" s="1251"/>
      <c r="KG150" s="1251"/>
      <c r="KH150" s="1251"/>
      <c r="KI150" s="1251"/>
      <c r="KJ150" s="1251"/>
      <c r="KK150" s="1251"/>
      <c r="KL150" s="1251"/>
      <c r="KM150" s="1251"/>
      <c r="KN150" s="1251"/>
      <c r="KO150" s="1251"/>
      <c r="KP150" s="1251"/>
      <c r="KQ150" s="1251"/>
      <c r="KR150" s="1251"/>
      <c r="KS150" s="1251"/>
      <c r="KT150" s="1251"/>
      <c r="KU150" s="1251"/>
      <c r="KV150" s="1251"/>
      <c r="KW150" s="1251"/>
      <c r="KX150" s="1251"/>
      <c r="KY150" s="1251"/>
      <c r="KZ150" s="1251"/>
      <c r="LA150" s="1251"/>
      <c r="LB150" s="1251"/>
      <c r="LC150" s="1251"/>
      <c r="LD150" s="1251"/>
      <c r="LE150" s="1251"/>
      <c r="LF150" s="1251"/>
      <c r="LG150" s="1251"/>
      <c r="LH150" s="1251"/>
      <c r="LI150" s="1251"/>
      <c r="LJ150" s="1251"/>
      <c r="LK150" s="1251"/>
      <c r="LL150" s="1251"/>
      <c r="LM150" s="1251"/>
      <c r="LN150" s="1251"/>
      <c r="LO150" s="1251"/>
      <c r="LP150" s="1251"/>
      <c r="LQ150" s="1251"/>
      <c r="LR150" s="1251"/>
      <c r="LS150" s="1251"/>
      <c r="LT150" s="1251"/>
      <c r="LU150" s="1251"/>
      <c r="LV150" s="1251"/>
      <c r="LW150" s="1251"/>
      <c r="LX150" s="1251"/>
      <c r="LY150" s="1251"/>
      <c r="LZ150" s="1251"/>
      <c r="MA150" s="1251"/>
      <c r="MB150" s="1251"/>
      <c r="MC150" s="1251"/>
      <c r="MD150" s="1251"/>
      <c r="ME150" s="1251"/>
      <c r="MF150" s="1251"/>
      <c r="MG150" s="1251"/>
      <c r="MH150" s="1251"/>
      <c r="MI150" s="1251"/>
      <c r="MJ150" s="1251"/>
      <c r="MK150" s="1251"/>
      <c r="ML150" s="1251"/>
      <c r="MM150" s="1251"/>
      <c r="MN150" s="1251"/>
      <c r="MO150" s="1251"/>
      <c r="MP150" s="1251"/>
      <c r="MQ150" s="1251"/>
      <c r="MR150" s="1251"/>
      <c r="MS150" s="1251"/>
      <c r="MT150" s="1251"/>
      <c r="MU150" s="1251"/>
      <c r="MV150" s="1251"/>
      <c r="MW150" s="1251"/>
      <c r="MX150" s="1251"/>
      <c r="MY150" s="1251"/>
      <c r="MZ150" s="1251"/>
      <c r="NA150" s="1251"/>
      <c r="NB150" s="1251"/>
      <c r="NC150" s="1251"/>
      <c r="ND150" s="1251"/>
      <c r="NE150" s="1251"/>
      <c r="NF150" s="1251"/>
      <c r="NG150" s="1251"/>
      <c r="NH150" s="1251"/>
      <c r="NI150" s="1251"/>
      <c r="NJ150" s="1251"/>
      <c r="NK150" s="1251"/>
      <c r="NL150" s="1251"/>
      <c r="NM150" s="1251"/>
      <c r="NN150" s="1251"/>
      <c r="NO150" s="1251"/>
      <c r="NP150" s="1251"/>
      <c r="NQ150" s="1251"/>
      <c r="NR150" s="1251"/>
      <c r="NS150" s="1251"/>
      <c r="NT150" s="1251"/>
      <c r="NU150" s="1251"/>
      <c r="NV150" s="1251"/>
      <c r="NW150" s="1251"/>
      <c r="NX150" s="1251"/>
      <c r="NY150" s="1251"/>
      <c r="NZ150" s="1251"/>
      <c r="OA150" s="1251"/>
      <c r="OB150" s="1251"/>
      <c r="OC150" s="1251"/>
      <c r="OD150" s="1251"/>
      <c r="OE150" s="1251"/>
      <c r="OF150" s="1251"/>
      <c r="OG150" s="1251"/>
      <c r="OH150" s="1251"/>
      <c r="OI150" s="1251"/>
      <c r="OJ150" s="1251"/>
      <c r="OK150" s="1251"/>
      <c r="OL150" s="1251"/>
      <c r="OM150" s="1251"/>
      <c r="ON150" s="1251"/>
      <c r="OO150" s="1251"/>
      <c r="OP150" s="1251"/>
      <c r="OQ150" s="1251"/>
      <c r="OR150" s="1251"/>
      <c r="OS150" s="1251"/>
      <c r="OT150" s="1251"/>
      <c r="OU150" s="1251"/>
      <c r="OV150" s="1251"/>
      <c r="OW150" s="1251"/>
      <c r="OX150" s="1251"/>
      <c r="OY150" s="1251"/>
      <c r="OZ150" s="1251"/>
      <c r="PA150" s="1251"/>
      <c r="PB150" s="1251"/>
      <c r="PC150" s="1251"/>
      <c r="PD150" s="1251"/>
      <c r="PE150" s="1251"/>
      <c r="PF150" s="1251"/>
      <c r="PG150" s="1251"/>
      <c r="PH150" s="1251"/>
      <c r="PI150" s="1251"/>
      <c r="PJ150" s="1251"/>
      <c r="PK150" s="1251"/>
      <c r="PL150" s="1251"/>
      <c r="PM150" s="1251"/>
      <c r="PN150" s="1251"/>
      <c r="PO150" s="1251"/>
      <c r="PP150" s="1251"/>
      <c r="PQ150" s="1251"/>
      <c r="PR150" s="1251"/>
      <c r="PS150" s="1251"/>
      <c r="PT150" s="1251"/>
      <c r="PU150" s="1251"/>
      <c r="PV150" s="1251"/>
      <c r="PW150" s="1251"/>
      <c r="PX150" s="1251"/>
      <c r="PY150" s="1251"/>
      <c r="PZ150" s="1251"/>
      <c r="QA150" s="1251"/>
      <c r="QB150" s="1251"/>
      <c r="QC150" s="1251"/>
      <c r="QD150" s="1251"/>
      <c r="QE150" s="1251"/>
      <c r="QF150" s="1251"/>
      <c r="QG150" s="1251"/>
      <c r="QH150" s="1251"/>
      <c r="QI150" s="1251"/>
      <c r="QJ150" s="1251"/>
      <c r="QK150" s="1251"/>
      <c r="QL150" s="1251"/>
      <c r="QM150" s="1251"/>
      <c r="QN150" s="1251"/>
      <c r="QO150" s="1251"/>
      <c r="QP150" s="1251"/>
      <c r="QQ150" s="1251"/>
      <c r="QR150" s="1251"/>
      <c r="QS150" s="1251"/>
      <c r="QT150" s="1251"/>
      <c r="QU150" s="1251"/>
      <c r="QV150" s="1251"/>
      <c r="QW150" s="1251"/>
      <c r="QX150" s="1251"/>
      <c r="QY150" s="1251"/>
      <c r="QZ150" s="1251"/>
      <c r="RA150" s="1251"/>
      <c r="RB150" s="1251"/>
      <c r="RC150" s="1251"/>
      <c r="RD150" s="1251"/>
      <c r="RE150" s="1251"/>
      <c r="RF150" s="1251"/>
      <c r="RG150" s="1251"/>
      <c r="RH150" s="1251"/>
      <c r="RI150" s="1251"/>
      <c r="RJ150" s="1251"/>
      <c r="RK150" s="1251"/>
      <c r="RL150" s="1251"/>
      <c r="RM150" s="1251"/>
      <c r="RN150" s="1251"/>
      <c r="RO150" s="1251"/>
      <c r="RP150" s="1251"/>
      <c r="RQ150" s="1251"/>
      <c r="RR150" s="1251"/>
      <c r="RS150" s="1251"/>
      <c r="RT150" s="1251"/>
      <c r="RU150" s="1251"/>
      <c r="RV150" s="1251"/>
      <c r="RW150" s="1251"/>
      <c r="RX150" s="1251"/>
      <c r="RY150" s="1251"/>
      <c r="RZ150" s="1251"/>
      <c r="SA150" s="1251"/>
      <c r="SB150" s="1251"/>
      <c r="SC150" s="1251"/>
      <c r="SD150" s="1251"/>
      <c r="SE150" s="1251"/>
      <c r="SF150" s="1251"/>
      <c r="SG150" s="1251"/>
      <c r="SH150" s="1251"/>
      <c r="SI150" s="1251"/>
      <c r="SJ150" s="1251"/>
      <c r="SK150" s="1251"/>
      <c r="SL150" s="1251"/>
      <c r="SM150" s="1251"/>
      <c r="SN150" s="1251"/>
      <c r="SO150" s="1251"/>
      <c r="SP150" s="1251"/>
      <c r="SQ150" s="1251"/>
      <c r="SR150" s="1251"/>
      <c r="SS150" s="1251"/>
      <c r="ST150" s="1251"/>
      <c r="SU150" s="1251"/>
      <c r="SV150" s="1251"/>
      <c r="SW150" s="1251"/>
      <c r="SX150" s="1251"/>
      <c r="SY150" s="1251"/>
      <c r="SZ150" s="1251"/>
      <c r="TA150" s="1251"/>
      <c r="TB150" s="1251"/>
      <c r="TC150" s="1251"/>
      <c r="TD150" s="1251"/>
      <c r="TE150" s="1251"/>
      <c r="TF150" s="1251"/>
      <c r="TG150" s="1251"/>
      <c r="TH150" s="1251"/>
      <c r="TI150" s="1251"/>
      <c r="TJ150" s="1251"/>
      <c r="TK150" s="1251"/>
      <c r="TL150" s="1251"/>
      <c r="TM150" s="1251"/>
      <c r="TN150" s="1251"/>
      <c r="TO150" s="1251"/>
      <c r="TP150" s="1251"/>
      <c r="TQ150" s="1251"/>
      <c r="TR150" s="1251"/>
      <c r="TS150" s="1251"/>
      <c r="TT150" s="1251"/>
      <c r="TU150" s="1251"/>
      <c r="TV150" s="1251"/>
      <c r="TW150" s="1251"/>
      <c r="TX150" s="1251"/>
      <c r="TY150" s="1251"/>
      <c r="TZ150" s="1251"/>
      <c r="UA150" s="1251"/>
      <c r="UB150" s="1251"/>
      <c r="UC150" s="1251"/>
      <c r="UD150" s="1251"/>
      <c r="UE150" s="1251"/>
      <c r="UF150" s="1251"/>
      <c r="UG150" s="1251"/>
      <c r="UH150" s="1251"/>
      <c r="UI150" s="1251"/>
      <c r="UJ150" s="1251"/>
      <c r="UK150" s="1251"/>
      <c r="UL150" s="1251"/>
      <c r="UM150" s="1251"/>
      <c r="UN150" s="1251"/>
      <c r="UO150" s="1251"/>
      <c r="UP150" s="1251"/>
      <c r="UQ150" s="1251"/>
      <c r="UR150" s="1251"/>
      <c r="US150" s="1251"/>
      <c r="UT150" s="1251"/>
      <c r="UU150" s="1251"/>
      <c r="UV150" s="1251"/>
      <c r="UW150" s="1251"/>
      <c r="UX150" s="1251"/>
      <c r="UY150" s="1251"/>
      <c r="UZ150" s="1251"/>
      <c r="VA150" s="1251"/>
      <c r="VB150" s="1251"/>
      <c r="VC150" s="1251"/>
      <c r="VD150" s="1251"/>
      <c r="VE150" s="1251"/>
      <c r="VF150" s="1251"/>
      <c r="VG150" s="1251"/>
      <c r="VH150" s="1251"/>
      <c r="VI150" s="1251"/>
      <c r="VJ150" s="1251"/>
      <c r="VK150" s="1251"/>
      <c r="VL150" s="1251"/>
      <c r="VM150" s="1251"/>
      <c r="VN150" s="1251"/>
      <c r="VO150" s="1251"/>
      <c r="VP150" s="1251"/>
      <c r="VQ150" s="1251"/>
      <c r="VR150" s="1251"/>
      <c r="VS150" s="1251"/>
      <c r="VT150" s="1251"/>
      <c r="VU150" s="1251"/>
      <c r="VV150" s="1251"/>
      <c r="VW150" s="1251"/>
      <c r="VX150" s="1251"/>
      <c r="VY150" s="1251"/>
      <c r="VZ150" s="1251"/>
      <c r="WA150" s="1251"/>
      <c r="WB150" s="1251"/>
      <c r="WC150" s="1251"/>
      <c r="WD150" s="1251"/>
      <c r="WE150" s="1251"/>
      <c r="WF150" s="1251"/>
      <c r="WG150" s="1251"/>
      <c r="WH150" s="1251"/>
      <c r="WI150" s="1251"/>
      <c r="WJ150" s="1251"/>
      <c r="WK150" s="1251"/>
      <c r="WL150" s="1251"/>
      <c r="WM150" s="1251"/>
      <c r="WN150" s="1251"/>
      <c r="WO150" s="1251"/>
      <c r="WP150" s="1251"/>
      <c r="WQ150" s="1251"/>
      <c r="WR150" s="1251"/>
      <c r="WS150" s="1251"/>
      <c r="WT150" s="1251"/>
      <c r="WU150" s="1251"/>
      <c r="WV150" s="1251"/>
      <c r="WW150" s="1251"/>
      <c r="WX150" s="1251"/>
      <c r="WY150" s="1251"/>
      <c r="WZ150" s="1251"/>
      <c r="XA150" s="1251"/>
      <c r="XB150" s="1251"/>
      <c r="XC150" s="1251"/>
      <c r="XD150" s="1251"/>
      <c r="XE150" s="1251"/>
      <c r="XF150" s="1251"/>
      <c r="XG150" s="1251"/>
      <c r="XH150" s="1251"/>
      <c r="XI150" s="1251"/>
      <c r="XJ150" s="1251"/>
      <c r="XK150" s="1251"/>
      <c r="XL150" s="1251"/>
      <c r="XM150" s="1251"/>
      <c r="XN150" s="1251"/>
      <c r="XO150" s="1251"/>
      <c r="XP150" s="1251"/>
      <c r="XQ150" s="1251"/>
      <c r="XR150" s="1251"/>
      <c r="XS150" s="1251"/>
      <c r="XT150" s="1251"/>
      <c r="XU150" s="1251"/>
      <c r="XV150" s="1251"/>
      <c r="XW150" s="1251"/>
      <c r="XX150" s="1251"/>
      <c r="XY150" s="1251"/>
      <c r="XZ150" s="1251"/>
      <c r="YA150" s="1251"/>
      <c r="YB150" s="1251"/>
      <c r="YC150" s="1251"/>
      <c r="YD150" s="1251"/>
      <c r="YE150" s="1251"/>
      <c r="YF150" s="1251"/>
      <c r="YG150" s="1251"/>
      <c r="YH150" s="1251"/>
      <c r="YI150" s="1251"/>
      <c r="YJ150" s="1251"/>
      <c r="YK150" s="1251"/>
      <c r="YL150" s="1251"/>
      <c r="YM150" s="1251"/>
      <c r="YN150" s="1251"/>
      <c r="YO150" s="1251"/>
      <c r="YP150" s="1251"/>
      <c r="YQ150" s="1251"/>
      <c r="YR150" s="1251"/>
      <c r="YS150" s="1251"/>
      <c r="YT150" s="1251"/>
      <c r="YU150" s="1251"/>
      <c r="YV150" s="1251"/>
      <c r="YW150" s="1251"/>
      <c r="YX150" s="1251"/>
      <c r="YY150" s="1251"/>
      <c r="YZ150" s="1251"/>
      <c r="ZA150" s="1251"/>
      <c r="ZB150" s="1251"/>
      <c r="ZC150" s="1251"/>
      <c r="ZD150" s="1251"/>
      <c r="ZE150" s="1251"/>
      <c r="ZF150" s="1251"/>
      <c r="ZG150" s="1251"/>
      <c r="ZH150" s="1251"/>
      <c r="ZI150" s="1251"/>
      <c r="ZJ150" s="1251"/>
      <c r="ZK150" s="1251"/>
      <c r="ZL150" s="1251"/>
      <c r="ZM150" s="1251"/>
      <c r="ZN150" s="1251"/>
      <c r="ZO150" s="1251"/>
      <c r="ZP150" s="1251"/>
      <c r="ZQ150" s="1251"/>
      <c r="ZR150" s="1251"/>
      <c r="ZS150" s="1251"/>
      <c r="ZT150" s="1251"/>
      <c r="ZU150" s="1251"/>
      <c r="ZV150" s="1251"/>
      <c r="ZW150" s="1251"/>
      <c r="ZX150" s="1251"/>
      <c r="ZY150" s="1251"/>
      <c r="ZZ150" s="1251"/>
      <c r="AAA150" s="1251"/>
      <c r="AAB150" s="1251"/>
      <c r="AAC150" s="1251"/>
      <c r="AAD150" s="1251"/>
      <c r="AAE150" s="1251"/>
      <c r="AAF150" s="1251"/>
      <c r="AAG150" s="1251"/>
      <c r="AAH150" s="1251"/>
      <c r="AAI150" s="1251"/>
      <c r="AAJ150" s="1251"/>
      <c r="AAK150" s="1251"/>
      <c r="AAL150" s="1251"/>
      <c r="AAM150" s="1251"/>
      <c r="AAN150" s="1251"/>
      <c r="AAO150" s="1251"/>
      <c r="AAP150" s="1251"/>
      <c r="AAQ150" s="1251"/>
      <c r="AAR150" s="1251"/>
      <c r="AAS150" s="1251"/>
      <c r="AAT150" s="1251"/>
      <c r="AAU150" s="1251"/>
      <c r="AAV150" s="1251"/>
      <c r="AAW150" s="1251"/>
      <c r="AAX150" s="1251"/>
      <c r="AAY150" s="1251"/>
      <c r="AAZ150" s="1251"/>
      <c r="ABA150" s="1251"/>
      <c r="ABB150" s="1251"/>
      <c r="ABC150" s="1251"/>
      <c r="ABD150" s="1251"/>
      <c r="ABE150" s="1251"/>
      <c r="ABF150" s="1251"/>
      <c r="ABG150" s="1251"/>
      <c r="ABH150" s="1251"/>
      <c r="ABI150" s="1251"/>
      <c r="ABJ150" s="1251"/>
      <c r="ABK150" s="1251"/>
      <c r="ABL150" s="1251"/>
      <c r="ABM150" s="1251"/>
      <c r="ABN150" s="1251"/>
      <c r="ABO150" s="1251"/>
      <c r="ABP150" s="1251"/>
      <c r="ABQ150" s="1251"/>
      <c r="ABR150" s="1251"/>
      <c r="ABS150" s="1251"/>
      <c r="ABT150" s="1251"/>
      <c r="ABU150" s="1251"/>
      <c r="ABV150" s="1251"/>
      <c r="ABW150" s="1251"/>
      <c r="ABX150" s="1251"/>
      <c r="ABY150" s="1251"/>
      <c r="ABZ150" s="1251"/>
      <c r="ACA150" s="1251"/>
      <c r="ACB150" s="1251"/>
      <c r="ACC150" s="1251"/>
      <c r="ACD150" s="1251"/>
      <c r="ACE150" s="1251"/>
      <c r="ACF150" s="1251"/>
      <c r="ACG150" s="1251"/>
      <c r="ACH150" s="1251"/>
      <c r="ACI150" s="1251"/>
      <c r="ACJ150" s="1251"/>
      <c r="ACK150" s="1251"/>
      <c r="ACL150" s="1251"/>
      <c r="ACM150" s="1251"/>
      <c r="ACN150" s="1251"/>
      <c r="ACO150" s="1251"/>
      <c r="ACP150" s="1251"/>
      <c r="ACQ150" s="1251"/>
      <c r="ACR150" s="1251"/>
      <c r="ACS150" s="1251"/>
      <c r="ACT150" s="1251"/>
      <c r="ACU150" s="1251"/>
      <c r="ACV150" s="1251"/>
      <c r="ACW150" s="1251"/>
      <c r="ACX150" s="1251"/>
      <c r="ACY150" s="1251"/>
      <c r="ACZ150" s="1251"/>
      <c r="ADA150" s="1251"/>
      <c r="ADB150" s="1251"/>
      <c r="ADC150" s="1251"/>
      <c r="ADD150" s="1251"/>
      <c r="ADE150" s="1251"/>
      <c r="ADF150" s="1251"/>
      <c r="ADG150" s="1251"/>
      <c r="ADH150" s="1251"/>
      <c r="ADI150" s="1251"/>
      <c r="ADJ150" s="1251"/>
      <c r="ADK150" s="1251"/>
      <c r="ADL150" s="1251"/>
      <c r="ADM150" s="1251"/>
      <c r="ADN150" s="1251"/>
      <c r="ADO150" s="1251"/>
      <c r="ADP150" s="1251"/>
      <c r="ADQ150" s="1251"/>
      <c r="ADR150" s="1251"/>
      <c r="ADS150" s="1251"/>
      <c r="ADT150" s="1251"/>
      <c r="ADU150" s="1251"/>
      <c r="ADV150" s="1251"/>
      <c r="ADW150" s="1251"/>
      <c r="ADX150" s="1251"/>
      <c r="ADY150" s="1251"/>
      <c r="ADZ150" s="1251"/>
      <c r="AEA150" s="1251"/>
      <c r="AEB150" s="1251"/>
      <c r="AEC150" s="1251"/>
      <c r="AED150" s="1251"/>
      <c r="AEE150" s="1251"/>
      <c r="AEF150" s="1251"/>
      <c r="AEG150" s="1251"/>
      <c r="AEH150" s="1251"/>
      <c r="AEI150" s="1251"/>
      <c r="AEJ150" s="1251"/>
      <c r="AEK150" s="1251"/>
      <c r="AEL150" s="1251"/>
      <c r="AEM150" s="1251"/>
      <c r="AEN150" s="1251"/>
      <c r="AEO150" s="1251"/>
      <c r="AEP150" s="1251"/>
      <c r="AEQ150" s="1251"/>
      <c r="AER150" s="1251"/>
      <c r="AES150" s="1251"/>
      <c r="AET150" s="1251"/>
      <c r="AEU150" s="1251"/>
      <c r="AEV150" s="1251"/>
      <c r="AEW150" s="1251"/>
      <c r="AEX150" s="1251"/>
      <c r="AEY150" s="1251"/>
      <c r="AEZ150" s="1251"/>
      <c r="AFA150" s="1251"/>
      <c r="AFB150" s="1251"/>
      <c r="AFC150" s="1251"/>
      <c r="AFD150" s="1251"/>
      <c r="AFE150" s="1251"/>
      <c r="AFF150" s="1251"/>
      <c r="AFG150" s="1251"/>
      <c r="AFH150" s="1251"/>
      <c r="AFI150" s="1251"/>
      <c r="AFJ150" s="1251"/>
      <c r="AFK150" s="1251"/>
      <c r="AFL150" s="1251"/>
      <c r="AFM150" s="1251"/>
      <c r="AFN150" s="1251"/>
      <c r="AFO150" s="1251"/>
      <c r="AFP150" s="1251"/>
      <c r="AFQ150" s="1251"/>
      <c r="AFR150" s="1251"/>
      <c r="AFS150" s="1251"/>
      <c r="AFT150" s="1251"/>
      <c r="AFU150" s="1251"/>
      <c r="AFV150" s="1251"/>
      <c r="AFW150" s="1251"/>
      <c r="AFX150" s="1251"/>
      <c r="AFY150" s="1251"/>
      <c r="AFZ150" s="1251"/>
      <c r="AGA150" s="1251"/>
      <c r="AGB150" s="1251"/>
      <c r="AGC150" s="1251"/>
      <c r="AGD150" s="1251"/>
      <c r="AGE150" s="1251"/>
      <c r="AGF150" s="1251"/>
      <c r="AGG150" s="1251"/>
      <c r="AGH150" s="1251"/>
      <c r="AGI150" s="1251"/>
      <c r="AGJ150" s="1251"/>
      <c r="AGK150" s="1251"/>
      <c r="AGL150" s="1251"/>
      <c r="AGM150" s="1251"/>
      <c r="AGN150" s="1251"/>
      <c r="AGO150" s="1251"/>
      <c r="AGP150" s="1251"/>
      <c r="AGQ150" s="1251"/>
      <c r="AGR150" s="1251"/>
      <c r="AGS150" s="1251"/>
      <c r="AGT150" s="1251"/>
      <c r="AGU150" s="1251"/>
      <c r="AGV150" s="1251"/>
      <c r="AGW150" s="1251"/>
      <c r="AGX150" s="1251"/>
      <c r="AGY150" s="1251"/>
      <c r="AGZ150" s="1251"/>
      <c r="AHA150" s="1251"/>
      <c r="AHB150" s="1251"/>
      <c r="AHC150" s="1251"/>
      <c r="AHD150" s="1251"/>
      <c r="AHE150" s="1251"/>
      <c r="AHF150" s="1251"/>
      <c r="AHG150" s="1251"/>
      <c r="AHH150" s="1251"/>
      <c r="AHI150" s="1251"/>
      <c r="AHJ150" s="1251"/>
      <c r="AHK150" s="1251"/>
      <c r="AHL150" s="1251"/>
      <c r="AHM150" s="1251"/>
      <c r="AHN150" s="1251"/>
      <c r="AHO150" s="1251"/>
      <c r="AHP150" s="1251"/>
      <c r="AHQ150" s="1251"/>
      <c r="AHR150" s="1251"/>
      <c r="AHS150" s="1251"/>
      <c r="AHT150" s="1251"/>
      <c r="AHU150" s="1251"/>
      <c r="AHV150" s="1251"/>
      <c r="AHW150" s="1251"/>
      <c r="AHX150" s="1251"/>
      <c r="AHY150" s="1251"/>
      <c r="AHZ150" s="1251"/>
      <c r="AIA150" s="1251"/>
      <c r="AIB150" s="1251"/>
      <c r="AIC150" s="1251"/>
      <c r="AID150" s="1251"/>
      <c r="AIE150" s="1251"/>
      <c r="AIF150" s="1251"/>
      <c r="AIG150" s="1251"/>
      <c r="AIH150" s="1251"/>
      <c r="AII150" s="1251"/>
      <c r="AIJ150" s="1251"/>
      <c r="AIK150" s="1251"/>
      <c r="AIL150" s="1251"/>
      <c r="AIM150" s="1251"/>
      <c r="AIN150" s="1251"/>
      <c r="AIO150" s="1251"/>
      <c r="AIP150" s="1251"/>
      <c r="AIQ150" s="1251"/>
      <c r="AIR150" s="1251"/>
      <c r="AIS150" s="1251"/>
      <c r="AIT150" s="1251"/>
      <c r="AIU150" s="1251"/>
      <c r="AIV150" s="1251"/>
      <c r="AIW150" s="1251"/>
      <c r="AIX150" s="1251"/>
      <c r="AIY150" s="1251"/>
      <c r="AIZ150" s="1251"/>
      <c r="AJA150" s="1251"/>
      <c r="AJB150" s="1251"/>
      <c r="AJC150" s="1251"/>
      <c r="AJD150" s="1251"/>
      <c r="AJE150" s="1251"/>
      <c r="AJF150" s="1251"/>
      <c r="AJG150" s="1251"/>
      <c r="AJH150" s="1251"/>
      <c r="AJI150" s="1251"/>
      <c r="AJJ150" s="1251"/>
      <c r="AJK150" s="1251"/>
      <c r="AJL150" s="1251"/>
      <c r="AJM150" s="1251"/>
      <c r="AJN150" s="1251"/>
      <c r="AJO150" s="1251"/>
      <c r="AJP150" s="1251"/>
      <c r="AJQ150" s="1251"/>
      <c r="AJR150" s="1251"/>
      <c r="AJS150" s="1251"/>
      <c r="AJT150" s="1251"/>
      <c r="AJU150" s="1251"/>
      <c r="AJV150" s="1251"/>
      <c r="AJW150" s="1251"/>
      <c r="AJX150" s="1251"/>
      <c r="AJY150" s="1251"/>
      <c r="AJZ150" s="1251"/>
      <c r="AKA150" s="1251"/>
      <c r="AKB150" s="1251"/>
      <c r="AKC150" s="1251"/>
      <c r="AKD150" s="1251"/>
      <c r="AKE150" s="1251"/>
      <c r="AKF150" s="1251"/>
      <c r="AKG150" s="1251"/>
      <c r="AKH150" s="1251"/>
      <c r="AKI150" s="1251"/>
      <c r="AKJ150" s="1251"/>
      <c r="AKK150" s="1251"/>
      <c r="AKL150" s="1251"/>
      <c r="AKM150" s="1251"/>
      <c r="AKN150" s="1251"/>
      <c r="AKO150" s="1251"/>
      <c r="AKP150" s="1251"/>
      <c r="AKQ150" s="1251"/>
      <c r="AKR150" s="1251"/>
      <c r="AKS150" s="1251"/>
      <c r="AKT150" s="1251"/>
      <c r="AKU150" s="1251"/>
      <c r="AKV150" s="1251"/>
      <c r="AKW150" s="1251"/>
      <c r="AKX150" s="1251"/>
      <c r="AKY150" s="1251"/>
      <c r="AKZ150" s="1251"/>
      <c r="ALA150" s="1251"/>
      <c r="ALB150" s="1251"/>
      <c r="ALC150" s="1251"/>
      <c r="ALD150" s="1251"/>
      <c r="ALE150" s="1251"/>
      <c r="ALF150" s="1251"/>
      <c r="ALG150" s="1251"/>
      <c r="ALH150" s="1251"/>
      <c r="ALI150" s="1251"/>
      <c r="ALJ150" s="1251"/>
      <c r="ALK150" s="1251"/>
      <c r="ALL150" s="1251"/>
      <c r="ALM150" s="1251"/>
      <c r="ALN150" s="1251"/>
      <c r="ALO150" s="1251"/>
      <c r="ALP150" s="1251"/>
      <c r="ALQ150" s="1251"/>
      <c r="ALR150" s="1251"/>
      <c r="ALS150" s="1251"/>
      <c r="ALT150" s="1251"/>
      <c r="ALU150" s="1251"/>
      <c r="ALV150" s="1251"/>
      <c r="ALW150" s="1251"/>
      <c r="ALX150" s="1251"/>
      <c r="ALY150" s="1251"/>
      <c r="ALZ150" s="1251"/>
      <c r="AMA150" s="1251"/>
      <c r="AMB150" s="1251"/>
      <c r="AMC150" s="1251"/>
      <c r="AMD150" s="1251"/>
      <c r="AME150" s="1251"/>
      <c r="AMF150" s="1251"/>
      <c r="AMG150" s="1251"/>
      <c r="AMH150" s="1251"/>
      <c r="AMI150" s="1251"/>
      <c r="AMJ150" s="1251"/>
      <c r="AMK150" s="1251"/>
      <c r="AML150" s="1251"/>
      <c r="AMM150" s="1251"/>
      <c r="AMN150" s="1251"/>
      <c r="AMO150" s="1251"/>
      <c r="AMP150" s="1251"/>
      <c r="AMQ150" s="1251"/>
      <c r="AMR150" s="1251"/>
      <c r="AMS150" s="1251"/>
      <c r="AMT150" s="1251"/>
      <c r="AMU150" s="1251"/>
      <c r="AMV150" s="1251"/>
      <c r="AMW150" s="1251"/>
      <c r="AMX150" s="1251"/>
      <c r="AMY150" s="1251"/>
      <c r="AMZ150" s="1251"/>
      <c r="ANA150" s="1251"/>
      <c r="ANB150" s="1251"/>
      <c r="ANC150" s="1251"/>
      <c r="AND150" s="1251"/>
      <c r="ANE150" s="1251"/>
      <c r="ANF150" s="1251"/>
      <c r="ANG150" s="1251"/>
      <c r="ANH150" s="1251"/>
      <c r="ANI150" s="1251"/>
      <c r="ANJ150" s="1251"/>
      <c r="ANK150" s="1251"/>
      <c r="ANL150" s="1251"/>
      <c r="ANM150" s="1251"/>
      <c r="ANN150" s="1251"/>
      <c r="ANO150" s="1251"/>
      <c r="ANP150" s="1251"/>
      <c r="ANQ150" s="1251"/>
      <c r="ANR150" s="1251"/>
      <c r="ANS150" s="1251"/>
      <c r="ANT150" s="1251"/>
      <c r="ANU150" s="1251"/>
      <c r="ANV150" s="1251"/>
      <c r="ANW150" s="1251"/>
      <c r="ANX150" s="1251"/>
      <c r="ANY150" s="1251"/>
      <c r="ANZ150" s="1251"/>
      <c r="AOA150" s="1251"/>
      <c r="AOB150" s="1251"/>
      <c r="AOC150" s="1251"/>
      <c r="AOD150" s="1251"/>
      <c r="AOE150" s="1251"/>
      <c r="AOF150" s="1251"/>
      <c r="AOG150" s="1251"/>
      <c r="AOH150" s="1251"/>
      <c r="AOI150" s="1251"/>
      <c r="AOJ150" s="1251"/>
      <c r="AOK150" s="1251"/>
      <c r="AOL150" s="1251"/>
      <c r="AOM150" s="1251"/>
      <c r="AON150" s="1251"/>
      <c r="AOO150" s="1251"/>
      <c r="AOP150" s="1251"/>
      <c r="AOQ150" s="1251"/>
      <c r="AOR150" s="1251"/>
      <c r="AOS150" s="1251"/>
      <c r="AOT150" s="1251"/>
      <c r="AOU150" s="1251"/>
      <c r="AOV150" s="1251"/>
      <c r="AOW150" s="1251"/>
      <c r="AOX150" s="1251"/>
      <c r="AOY150" s="1251"/>
      <c r="AOZ150" s="1251"/>
      <c r="APA150" s="1251"/>
      <c r="APB150" s="1251"/>
      <c r="APC150" s="1251"/>
      <c r="APD150" s="1251"/>
      <c r="APE150" s="1251"/>
      <c r="APF150" s="1251"/>
      <c r="APG150" s="1251"/>
      <c r="APH150" s="1251"/>
      <c r="API150" s="1251"/>
      <c r="APJ150" s="1251"/>
      <c r="APK150" s="1251"/>
      <c r="APL150" s="1251"/>
      <c r="APM150" s="1251"/>
      <c r="APN150" s="1251"/>
      <c r="APO150" s="1251"/>
      <c r="APP150" s="1251"/>
      <c r="APQ150" s="1251"/>
      <c r="APR150" s="1251"/>
      <c r="APS150" s="1251"/>
      <c r="APT150" s="1251"/>
      <c r="APU150" s="1251"/>
      <c r="APV150" s="1251"/>
      <c r="APW150" s="1251"/>
      <c r="APX150" s="1251"/>
      <c r="APY150" s="1251"/>
      <c r="APZ150" s="1251"/>
      <c r="AQA150" s="1251"/>
      <c r="AQB150" s="1251"/>
      <c r="AQC150" s="1251"/>
      <c r="AQD150" s="1251"/>
      <c r="AQE150" s="1251"/>
      <c r="AQF150" s="1251"/>
      <c r="AQG150" s="1251"/>
      <c r="AQH150" s="1251"/>
      <c r="AQI150" s="1251"/>
      <c r="AQJ150" s="1251"/>
      <c r="AQK150" s="1251"/>
      <c r="AQL150" s="1251"/>
      <c r="AQM150" s="1251"/>
      <c r="AQN150" s="1251"/>
      <c r="AQO150" s="1251"/>
      <c r="AQP150" s="1251"/>
      <c r="AQQ150" s="1251"/>
      <c r="AQR150" s="1251"/>
      <c r="AQS150" s="1251"/>
      <c r="AQT150" s="1251"/>
      <c r="AQU150" s="1251"/>
      <c r="AQV150" s="1251"/>
      <c r="AQW150" s="1251"/>
      <c r="AQX150" s="1251"/>
      <c r="AQY150" s="1251"/>
      <c r="AQZ150" s="1251"/>
      <c r="ARA150" s="1251"/>
      <c r="ARB150" s="1251"/>
      <c r="ARC150" s="1251"/>
      <c r="ARD150" s="1251"/>
      <c r="ARE150" s="1251"/>
      <c r="ARF150" s="1251"/>
      <c r="ARG150" s="1251"/>
      <c r="ARH150" s="1251"/>
      <c r="ARI150" s="1251"/>
      <c r="ARJ150" s="1251"/>
      <c r="ARK150" s="1251"/>
      <c r="ARL150" s="1251"/>
      <c r="ARM150" s="1251"/>
      <c r="ARN150" s="1251"/>
      <c r="ARO150" s="1251"/>
      <c r="ARP150" s="1251"/>
      <c r="ARQ150" s="1251"/>
      <c r="ARR150" s="1251"/>
      <c r="ARS150" s="1251"/>
      <c r="ART150" s="1251"/>
      <c r="ARU150" s="1251"/>
      <c r="ARV150" s="1251"/>
      <c r="ARW150" s="1251"/>
      <c r="ARX150" s="1251"/>
      <c r="ARY150" s="1251"/>
      <c r="ARZ150" s="1251"/>
      <c r="ASA150" s="1251"/>
      <c r="ASB150" s="1251"/>
      <c r="ASC150" s="1251"/>
      <c r="ASD150" s="1251"/>
      <c r="ASE150" s="1251"/>
      <c r="ASF150" s="1251"/>
      <c r="ASG150" s="1251"/>
      <c r="ASH150" s="1251"/>
      <c r="ASI150" s="1251"/>
      <c r="ASJ150" s="1251"/>
      <c r="ASK150" s="1251"/>
      <c r="ASL150" s="1251"/>
      <c r="ASM150" s="1251"/>
      <c r="ASN150" s="1251"/>
      <c r="ASO150" s="1251"/>
      <c r="ASP150" s="1251"/>
      <c r="ASQ150" s="1251"/>
      <c r="ASR150" s="1251"/>
      <c r="ASS150" s="1251"/>
      <c r="AST150" s="1251"/>
      <c r="ASU150" s="1251"/>
      <c r="ASV150" s="1251"/>
      <c r="ASW150" s="1251"/>
      <c r="ASX150" s="1251"/>
      <c r="ASY150" s="1251"/>
      <c r="ASZ150" s="1251"/>
      <c r="ATA150" s="1251"/>
      <c r="ATB150" s="1251"/>
      <c r="ATC150" s="1251"/>
      <c r="ATD150" s="1251"/>
      <c r="ATE150" s="1251"/>
      <c r="ATF150" s="1251"/>
      <c r="ATG150" s="1251"/>
      <c r="ATH150" s="1251"/>
      <c r="ATI150" s="1251"/>
      <c r="ATJ150" s="1251"/>
      <c r="ATK150" s="1251"/>
      <c r="ATL150" s="1251"/>
      <c r="ATM150" s="1251"/>
      <c r="ATN150" s="1251"/>
      <c r="ATO150" s="1251"/>
      <c r="ATP150" s="1251"/>
      <c r="ATQ150" s="1251"/>
      <c r="ATR150" s="1251"/>
      <c r="ATS150" s="1251"/>
      <c r="ATT150" s="1251"/>
      <c r="ATU150" s="1251"/>
      <c r="ATV150" s="1251"/>
      <c r="ATW150" s="1251"/>
      <c r="ATX150" s="1251"/>
      <c r="ATY150" s="1251"/>
      <c r="ATZ150" s="1251"/>
      <c r="AUA150" s="1251"/>
      <c r="AUB150" s="1251"/>
      <c r="AUC150" s="1251"/>
      <c r="AUD150" s="1251"/>
      <c r="AUE150" s="1251"/>
      <c r="AUF150" s="1251"/>
      <c r="AUG150" s="1251"/>
      <c r="AUH150" s="1251"/>
      <c r="AUI150" s="1251"/>
      <c r="AUJ150" s="1251"/>
      <c r="AUK150" s="1251"/>
      <c r="AUL150" s="1251"/>
      <c r="AUM150" s="1251"/>
      <c r="AUN150" s="1251"/>
      <c r="AUO150" s="1251"/>
      <c r="AUP150" s="1251"/>
      <c r="AUQ150" s="1251"/>
      <c r="AUR150" s="1251"/>
      <c r="AUS150" s="1251"/>
      <c r="AUT150" s="1251"/>
      <c r="AUU150" s="1251"/>
      <c r="AUV150" s="1251"/>
      <c r="AUW150" s="1251"/>
      <c r="AUX150" s="1251"/>
      <c r="AUY150" s="1251"/>
      <c r="AUZ150" s="1251"/>
      <c r="AVA150" s="1251"/>
      <c r="AVB150" s="1251"/>
      <c r="AVC150" s="1251"/>
      <c r="AVD150" s="1251"/>
      <c r="AVE150" s="1251"/>
      <c r="AVF150" s="1251"/>
      <c r="AVG150" s="1251"/>
      <c r="AVH150" s="1251"/>
      <c r="AVI150" s="1251"/>
      <c r="AVJ150" s="1251"/>
      <c r="AVK150" s="1251"/>
      <c r="AVL150" s="1251"/>
      <c r="AVM150" s="1251"/>
      <c r="AVN150" s="1251"/>
      <c r="AVO150" s="1251"/>
      <c r="AVP150" s="1251"/>
      <c r="AVQ150" s="1251"/>
      <c r="AVR150" s="1251"/>
      <c r="AVS150" s="1251"/>
      <c r="AVT150" s="1251"/>
      <c r="AVU150" s="1251"/>
      <c r="AVV150" s="1251"/>
      <c r="AVW150" s="1251"/>
      <c r="AVX150" s="1251"/>
      <c r="AVY150" s="1251"/>
      <c r="AVZ150" s="1251"/>
      <c r="AWA150" s="1251"/>
      <c r="AWB150" s="1251"/>
      <c r="AWC150" s="1251"/>
      <c r="AWD150" s="1251"/>
      <c r="AWE150" s="1251"/>
      <c r="AWF150" s="1251"/>
      <c r="AWG150" s="1251"/>
      <c r="AWH150" s="1251"/>
      <c r="AWI150" s="1251"/>
      <c r="AWJ150" s="1251"/>
      <c r="AWK150" s="1251"/>
      <c r="AWL150" s="1251"/>
      <c r="AWM150" s="1251"/>
      <c r="AWN150" s="1251"/>
      <c r="AWO150" s="1251"/>
      <c r="AWP150" s="1251"/>
      <c r="AWQ150" s="1251"/>
      <c r="AWR150" s="1251"/>
      <c r="AWS150" s="1251"/>
      <c r="AWT150" s="1251"/>
      <c r="AWU150" s="1251"/>
      <c r="AWV150" s="1251"/>
      <c r="AWW150" s="1251"/>
      <c r="AWX150" s="1251"/>
      <c r="AWY150" s="1251"/>
      <c r="AWZ150" s="1251"/>
      <c r="AXA150" s="1251"/>
      <c r="AXB150" s="1251"/>
      <c r="AXC150" s="1251"/>
      <c r="AXD150" s="1251"/>
      <c r="AXE150" s="1251"/>
      <c r="AXF150" s="1251"/>
      <c r="AXG150" s="1251"/>
      <c r="AXH150" s="1251"/>
      <c r="AXI150" s="1251"/>
      <c r="AXJ150" s="1251"/>
      <c r="AXK150" s="1251"/>
      <c r="AXL150" s="1251"/>
      <c r="AXM150" s="1251"/>
      <c r="AXN150" s="1251"/>
      <c r="AXO150" s="1251"/>
      <c r="AXP150" s="1251"/>
      <c r="AXQ150" s="1251"/>
      <c r="AXR150" s="1251"/>
      <c r="AXS150" s="1251"/>
      <c r="AXT150" s="1251"/>
      <c r="AXU150" s="1251"/>
      <c r="AXV150" s="1251"/>
      <c r="AXW150" s="1251"/>
      <c r="AXX150" s="1251"/>
      <c r="AXY150" s="1251"/>
      <c r="AXZ150" s="1251"/>
      <c r="AYA150" s="1251"/>
      <c r="AYB150" s="1251"/>
      <c r="AYC150" s="1251"/>
      <c r="AYD150" s="1251"/>
      <c r="AYE150" s="1251"/>
      <c r="AYF150" s="1251"/>
      <c r="AYG150" s="1251"/>
      <c r="AYH150" s="1251"/>
      <c r="AYI150" s="1251"/>
      <c r="AYJ150" s="1251"/>
      <c r="AYK150" s="1251"/>
      <c r="AYL150" s="1251"/>
      <c r="AYM150" s="1251"/>
      <c r="AYN150" s="1251"/>
      <c r="AYO150" s="1251"/>
      <c r="AYP150" s="1251"/>
      <c r="AYQ150" s="1251"/>
      <c r="AYR150" s="1251"/>
      <c r="AYS150" s="1251"/>
      <c r="AYT150" s="1251"/>
      <c r="AYU150" s="1251"/>
      <c r="AYV150" s="1251"/>
      <c r="AYW150" s="1251"/>
      <c r="AYX150" s="1251"/>
      <c r="AYY150" s="1251"/>
      <c r="AYZ150" s="1251"/>
      <c r="AZA150" s="1251"/>
      <c r="AZB150" s="1251"/>
      <c r="AZC150" s="1251"/>
      <c r="AZD150" s="1251"/>
      <c r="AZE150" s="1251"/>
      <c r="AZF150" s="1251"/>
      <c r="AZG150" s="1251"/>
      <c r="AZH150" s="1251"/>
      <c r="AZI150" s="1251"/>
      <c r="AZJ150" s="1251"/>
      <c r="AZK150" s="1251"/>
      <c r="AZL150" s="1251"/>
      <c r="AZM150" s="1251"/>
      <c r="AZN150" s="1251"/>
      <c r="AZO150" s="1251"/>
      <c r="AZP150" s="1251"/>
      <c r="AZQ150" s="1251"/>
      <c r="AZR150" s="1251"/>
      <c r="AZS150" s="1251"/>
      <c r="AZT150" s="1251"/>
      <c r="AZU150" s="1251"/>
      <c r="AZV150" s="1251"/>
      <c r="AZW150" s="1251"/>
      <c r="AZX150" s="1251"/>
      <c r="AZY150" s="1251"/>
      <c r="AZZ150" s="1251"/>
      <c r="BAA150" s="1251"/>
      <c r="BAB150" s="1251"/>
      <c r="BAC150" s="1251"/>
      <c r="BAD150" s="1251"/>
      <c r="BAE150" s="1251"/>
      <c r="BAF150" s="1251"/>
      <c r="BAG150" s="1251"/>
      <c r="BAH150" s="1251"/>
      <c r="BAI150" s="1251"/>
      <c r="BAJ150" s="1251"/>
      <c r="BAK150" s="1251"/>
      <c r="BAL150" s="1251"/>
      <c r="BAM150" s="1251"/>
      <c r="BAN150" s="1251"/>
      <c r="BAO150" s="1251"/>
      <c r="BAP150" s="1251"/>
      <c r="BAQ150" s="1251"/>
      <c r="BAR150" s="1251"/>
      <c r="BAS150" s="1251"/>
      <c r="BAT150" s="1251"/>
      <c r="BAU150" s="1251"/>
      <c r="BAV150" s="1251"/>
      <c r="BAW150" s="1251"/>
      <c r="BAX150" s="1251"/>
      <c r="BAY150" s="1251"/>
      <c r="BAZ150" s="1251"/>
      <c r="BBA150" s="1251"/>
      <c r="BBB150" s="1251"/>
      <c r="BBC150" s="1251"/>
      <c r="BBD150" s="1251"/>
      <c r="BBE150" s="1251"/>
      <c r="BBF150" s="1251"/>
      <c r="BBG150" s="1251"/>
      <c r="BBH150" s="1251"/>
      <c r="BBI150" s="1251"/>
      <c r="BBJ150" s="1251"/>
      <c r="BBK150" s="1251"/>
      <c r="BBL150" s="1251"/>
      <c r="BBM150" s="1251"/>
      <c r="BBN150" s="1251"/>
      <c r="BBO150" s="1251"/>
      <c r="BBP150" s="1251"/>
      <c r="BBQ150" s="1251"/>
      <c r="BBR150" s="1251"/>
      <c r="BBS150" s="1251"/>
      <c r="BBT150" s="1251"/>
      <c r="BBU150" s="1251"/>
      <c r="BBV150" s="1251"/>
      <c r="BBW150" s="1251"/>
      <c r="BBX150" s="1251"/>
      <c r="BBY150" s="1251"/>
      <c r="BBZ150" s="1251"/>
      <c r="BCA150" s="1251"/>
      <c r="BCB150" s="1251"/>
      <c r="BCC150" s="1251"/>
      <c r="BCD150" s="1251"/>
      <c r="BCE150" s="1251"/>
      <c r="BCF150" s="1251"/>
      <c r="BCG150" s="1251"/>
      <c r="BCH150" s="1251"/>
      <c r="BCI150" s="1251"/>
      <c r="BCJ150" s="1251"/>
      <c r="BCK150" s="1251"/>
      <c r="BCL150" s="1251"/>
      <c r="BCM150" s="1251"/>
      <c r="BCN150" s="1251"/>
      <c r="BCO150" s="1251"/>
      <c r="BCP150" s="1251"/>
      <c r="BCQ150" s="1251"/>
      <c r="BCR150" s="1251"/>
      <c r="BCS150" s="1251"/>
      <c r="BCT150" s="1251"/>
      <c r="BCU150" s="1251"/>
      <c r="BCV150" s="1251"/>
      <c r="BCW150" s="1251"/>
      <c r="BCX150" s="1251"/>
      <c r="BCY150" s="1251"/>
      <c r="BCZ150" s="1251"/>
      <c r="BDA150" s="1251"/>
      <c r="BDB150" s="1251"/>
      <c r="BDC150" s="1251"/>
      <c r="BDD150" s="1251"/>
      <c r="BDE150" s="1251"/>
      <c r="BDF150" s="1251"/>
      <c r="BDG150" s="1251"/>
      <c r="BDH150" s="1251"/>
      <c r="BDI150" s="1251"/>
      <c r="BDJ150" s="1251"/>
      <c r="BDK150" s="1251"/>
      <c r="BDL150" s="1251"/>
      <c r="BDM150" s="1251"/>
      <c r="BDN150" s="1251"/>
      <c r="BDO150" s="1251"/>
      <c r="BDP150" s="1251"/>
      <c r="BDQ150" s="1251"/>
      <c r="BDR150" s="1251"/>
      <c r="BDS150" s="1251"/>
      <c r="BDT150" s="1251"/>
      <c r="BDU150" s="1251"/>
      <c r="BDV150" s="1251"/>
      <c r="BDW150" s="1251"/>
      <c r="BDX150" s="1251"/>
      <c r="BDY150" s="1251"/>
      <c r="BDZ150" s="1251"/>
      <c r="BEA150" s="1251"/>
      <c r="BEB150" s="1251"/>
      <c r="BEC150" s="1251"/>
      <c r="BED150" s="1251"/>
      <c r="BEE150" s="1251"/>
      <c r="BEF150" s="1251"/>
      <c r="BEG150" s="1251"/>
      <c r="BEH150" s="1251"/>
      <c r="BEI150" s="1251"/>
      <c r="BEJ150" s="1251"/>
      <c r="BEK150" s="1251"/>
      <c r="BEL150" s="1251"/>
      <c r="BEM150" s="1251"/>
      <c r="BEN150" s="1251"/>
      <c r="BEO150" s="1251"/>
      <c r="BEP150" s="1251"/>
      <c r="BEQ150" s="1251"/>
      <c r="BER150" s="1251"/>
      <c r="BES150" s="1251"/>
      <c r="BET150" s="1251"/>
      <c r="BEU150" s="1251"/>
      <c r="BEV150" s="1251"/>
      <c r="BEW150" s="1251"/>
      <c r="BEX150" s="1251"/>
      <c r="BEY150" s="1251"/>
      <c r="BEZ150" s="1251"/>
      <c r="BFA150" s="1251"/>
      <c r="BFB150" s="1251"/>
      <c r="BFC150" s="1251"/>
      <c r="BFD150" s="1251"/>
      <c r="BFE150" s="1251"/>
      <c r="BFF150" s="1251"/>
      <c r="BFG150" s="1251"/>
      <c r="BFH150" s="1251"/>
      <c r="BFI150" s="1251"/>
      <c r="BFJ150" s="1251"/>
      <c r="BFK150" s="1251"/>
      <c r="BFL150" s="1251"/>
      <c r="BFM150" s="1251"/>
      <c r="BFN150" s="1251"/>
      <c r="BFO150" s="1251"/>
      <c r="BFP150" s="1251"/>
      <c r="BFQ150" s="1251"/>
      <c r="BFR150" s="1251"/>
      <c r="BFS150" s="1251"/>
      <c r="BFT150" s="1251"/>
      <c r="BFU150" s="1251"/>
      <c r="BFV150" s="1251"/>
      <c r="BFW150" s="1251"/>
      <c r="BFX150" s="1251"/>
      <c r="BFY150" s="1251"/>
      <c r="BFZ150" s="1251"/>
      <c r="BGA150" s="1251"/>
      <c r="BGB150" s="1251"/>
      <c r="BGC150" s="1251"/>
      <c r="BGD150" s="1251"/>
      <c r="BGE150" s="1251"/>
      <c r="BGF150" s="1251"/>
      <c r="BGG150" s="1251"/>
      <c r="BGH150" s="1251"/>
      <c r="BGI150" s="1251"/>
      <c r="BGJ150" s="1251"/>
      <c r="BGK150" s="1251"/>
      <c r="BGL150" s="1251"/>
      <c r="BGM150" s="1251"/>
      <c r="BGN150" s="1251"/>
      <c r="BGO150" s="1251"/>
      <c r="BGP150" s="1251"/>
      <c r="BGQ150" s="1251"/>
      <c r="BGR150" s="1251"/>
      <c r="BGS150" s="1251"/>
      <c r="BGT150" s="1251"/>
      <c r="BGU150" s="1251"/>
      <c r="BGV150" s="1251"/>
      <c r="BGW150" s="1251"/>
      <c r="BGX150" s="1251"/>
      <c r="BGY150" s="1251"/>
      <c r="BGZ150" s="1251"/>
      <c r="BHA150" s="1251"/>
      <c r="BHB150" s="1251"/>
      <c r="BHC150" s="1251"/>
      <c r="BHD150" s="1251"/>
      <c r="BHE150" s="1251"/>
      <c r="BHF150" s="1251"/>
      <c r="BHG150" s="1251"/>
      <c r="BHH150" s="1251"/>
      <c r="BHI150" s="1251"/>
      <c r="BHJ150" s="1251"/>
      <c r="BHK150" s="1251"/>
      <c r="BHL150" s="1251"/>
      <c r="BHM150" s="1251"/>
      <c r="BHN150" s="1251"/>
      <c r="BHO150" s="1251"/>
      <c r="BHP150" s="1251"/>
      <c r="BHQ150" s="1251"/>
      <c r="BHR150" s="1251"/>
      <c r="BHS150" s="1251"/>
      <c r="BHT150" s="1251"/>
      <c r="BHU150" s="1251"/>
      <c r="BHV150" s="1251"/>
      <c r="BHW150" s="1251"/>
      <c r="BHX150" s="1251"/>
      <c r="BHY150" s="1251"/>
      <c r="BHZ150" s="1251"/>
      <c r="BIA150" s="1251"/>
      <c r="BIB150" s="1251"/>
      <c r="BIC150" s="1251"/>
      <c r="BID150" s="1251"/>
      <c r="BIE150" s="1251"/>
      <c r="BIF150" s="1251"/>
      <c r="BIG150" s="1251"/>
      <c r="BIH150" s="1251"/>
      <c r="BII150" s="1251"/>
      <c r="BIJ150" s="1251"/>
      <c r="BIK150" s="1251"/>
      <c r="BIL150" s="1251"/>
      <c r="BIM150" s="1251"/>
      <c r="BIN150" s="1251"/>
      <c r="BIO150" s="1251"/>
      <c r="BIP150" s="1251"/>
      <c r="BIQ150" s="1251"/>
      <c r="BIR150" s="1251"/>
      <c r="BIS150" s="1251"/>
      <c r="BIT150" s="1251"/>
      <c r="BIU150" s="1251"/>
      <c r="BIV150" s="1251"/>
      <c r="BIW150" s="1251"/>
      <c r="BIX150" s="1251"/>
      <c r="BIY150" s="1251"/>
      <c r="BIZ150" s="1251"/>
      <c r="BJA150" s="1251"/>
      <c r="BJB150" s="1251"/>
      <c r="BJC150" s="1251"/>
      <c r="BJD150" s="1251"/>
      <c r="BJE150" s="1251"/>
      <c r="BJF150" s="1251"/>
      <c r="BJG150" s="1251"/>
      <c r="BJH150" s="1251"/>
      <c r="BJI150" s="1251"/>
      <c r="BJJ150" s="1251"/>
      <c r="BJK150" s="1251"/>
      <c r="BJL150" s="1251"/>
      <c r="BJM150" s="1251"/>
      <c r="BJN150" s="1251"/>
      <c r="BJO150" s="1251"/>
      <c r="BJP150" s="1251"/>
      <c r="BJQ150" s="1251"/>
      <c r="BJR150" s="1251"/>
      <c r="BJS150" s="1251"/>
      <c r="BJT150" s="1251"/>
      <c r="BJU150" s="1251"/>
      <c r="BJV150" s="1251"/>
      <c r="BJW150" s="1251"/>
      <c r="BJX150" s="1251"/>
      <c r="BJY150" s="1251"/>
      <c r="BJZ150" s="1251"/>
      <c r="BKA150" s="1251"/>
      <c r="BKB150" s="1251"/>
      <c r="BKC150" s="1251"/>
      <c r="BKD150" s="1251"/>
      <c r="BKE150" s="1251"/>
      <c r="BKF150" s="1251"/>
      <c r="BKG150" s="1251"/>
      <c r="BKH150" s="1251"/>
      <c r="BKI150" s="1251"/>
      <c r="BKJ150" s="1251"/>
      <c r="BKK150" s="1251"/>
      <c r="BKL150" s="1251"/>
      <c r="BKM150" s="1251"/>
      <c r="BKN150" s="1251"/>
      <c r="BKO150" s="1251"/>
      <c r="BKP150" s="1251"/>
      <c r="BKQ150" s="1251"/>
      <c r="BKR150" s="1251"/>
      <c r="BKS150" s="1251"/>
      <c r="BKT150" s="1251"/>
      <c r="BKU150" s="1251"/>
      <c r="BKV150" s="1251"/>
      <c r="BKW150" s="1251"/>
      <c r="BKX150" s="1251"/>
      <c r="BKY150" s="1251"/>
      <c r="BKZ150" s="1251"/>
      <c r="BLA150" s="1251"/>
      <c r="BLB150" s="1251"/>
      <c r="BLC150" s="1251"/>
      <c r="BLD150" s="1251"/>
      <c r="BLE150" s="1251"/>
      <c r="BLF150" s="1251"/>
      <c r="BLG150" s="1251"/>
      <c r="BLH150" s="1251"/>
      <c r="BLI150" s="1251"/>
      <c r="BLJ150" s="1251"/>
      <c r="BLK150" s="1251"/>
      <c r="BLL150" s="1251"/>
      <c r="BLM150" s="1251"/>
      <c r="BLN150" s="1251"/>
      <c r="BLO150" s="1251"/>
      <c r="BLP150" s="1251"/>
      <c r="BLQ150" s="1251"/>
      <c r="BLR150" s="1251"/>
      <c r="BLS150" s="1251"/>
      <c r="BLT150" s="1251"/>
      <c r="BLU150" s="1251"/>
      <c r="BLV150" s="1251"/>
      <c r="BLW150" s="1251"/>
      <c r="BLX150" s="1251"/>
      <c r="BLY150" s="1251"/>
      <c r="BLZ150" s="1251"/>
      <c r="BMA150" s="1251"/>
      <c r="BMB150" s="1251"/>
      <c r="BMC150" s="1251"/>
      <c r="BMD150" s="1251"/>
      <c r="BME150" s="1251"/>
      <c r="BMF150" s="1251"/>
      <c r="BMG150" s="1251"/>
      <c r="BMH150" s="1251"/>
      <c r="BMI150" s="1251"/>
      <c r="BMJ150" s="1251"/>
      <c r="BMK150" s="1251"/>
      <c r="BML150" s="1251"/>
      <c r="BMM150" s="1251"/>
      <c r="BMN150" s="1251"/>
      <c r="BMO150" s="1251"/>
      <c r="BMP150" s="1251"/>
      <c r="BMQ150" s="1251"/>
      <c r="BMR150" s="1251"/>
      <c r="BMS150" s="1251"/>
      <c r="BMT150" s="1251"/>
      <c r="BMU150" s="1251"/>
      <c r="BMV150" s="1251"/>
      <c r="BMW150" s="1251"/>
      <c r="BMX150" s="1251"/>
      <c r="BMY150" s="1251"/>
      <c r="BMZ150" s="1251"/>
      <c r="BNA150" s="1251"/>
      <c r="BNB150" s="1251"/>
      <c r="BNC150" s="1251"/>
      <c r="BND150" s="1251"/>
      <c r="BNE150" s="1251"/>
      <c r="BNF150" s="1251"/>
      <c r="BNG150" s="1251"/>
      <c r="BNH150" s="1251"/>
      <c r="BNI150" s="1251"/>
      <c r="BNJ150" s="1251"/>
      <c r="BNK150" s="1251"/>
      <c r="BNL150" s="1251"/>
      <c r="BNM150" s="1251"/>
      <c r="BNN150" s="1251"/>
      <c r="BNO150" s="1251"/>
      <c r="BNP150" s="1251"/>
      <c r="BNQ150" s="1251"/>
      <c r="BNR150" s="1251"/>
      <c r="BNS150" s="1251"/>
      <c r="BNT150" s="1251"/>
      <c r="BNU150" s="1251"/>
      <c r="BNV150" s="1251"/>
      <c r="BNW150" s="1251"/>
      <c r="BNX150" s="1251"/>
      <c r="BNY150" s="1251"/>
      <c r="BNZ150" s="1251"/>
      <c r="BOA150" s="1251"/>
      <c r="BOB150" s="1251"/>
      <c r="BOC150" s="1251"/>
      <c r="BOD150" s="1251"/>
      <c r="BOE150" s="1251"/>
      <c r="BOF150" s="1251"/>
      <c r="BOG150" s="1251"/>
      <c r="BOH150" s="1251"/>
      <c r="BOI150" s="1251"/>
      <c r="BOJ150" s="1251"/>
      <c r="BOK150" s="1251"/>
      <c r="BOL150" s="1251"/>
      <c r="BOM150" s="1251"/>
      <c r="BON150" s="1251"/>
      <c r="BOO150" s="1251"/>
      <c r="BOP150" s="1251"/>
      <c r="BOQ150" s="1251"/>
      <c r="BOR150" s="1251"/>
      <c r="BOS150" s="1251"/>
      <c r="BOT150" s="1251"/>
      <c r="BOU150" s="1251"/>
      <c r="BOV150" s="1251"/>
      <c r="BOW150" s="1251"/>
      <c r="BOX150" s="1251"/>
      <c r="BOY150" s="1251"/>
      <c r="BOZ150" s="1251"/>
      <c r="BPA150" s="1251"/>
      <c r="BPB150" s="1251"/>
      <c r="BPC150" s="1251"/>
      <c r="BPD150" s="1251"/>
      <c r="BPE150" s="1251"/>
      <c r="BPF150" s="1251"/>
      <c r="BPG150" s="1251"/>
      <c r="BPH150" s="1251"/>
      <c r="BPI150" s="1251"/>
      <c r="BPJ150" s="1251"/>
      <c r="BPK150" s="1251"/>
      <c r="BPL150" s="1251"/>
      <c r="BPM150" s="1251"/>
      <c r="BPN150" s="1251"/>
      <c r="BPO150" s="1251"/>
      <c r="BPP150" s="1251"/>
      <c r="BPQ150" s="1251"/>
      <c r="BPR150" s="1251"/>
      <c r="BPS150" s="1251"/>
      <c r="BPT150" s="1251"/>
      <c r="BPU150" s="1251"/>
      <c r="BPV150" s="1251"/>
      <c r="BPW150" s="1251"/>
      <c r="BPX150" s="1251"/>
      <c r="BPY150" s="1251"/>
      <c r="BPZ150" s="1251"/>
      <c r="BQA150" s="1251"/>
      <c r="BQB150" s="1251"/>
      <c r="BQC150" s="1251"/>
      <c r="BQD150" s="1251"/>
      <c r="BQE150" s="1251"/>
      <c r="BQF150" s="1251"/>
      <c r="BQG150" s="1251"/>
      <c r="BQH150" s="1251"/>
      <c r="BQI150" s="1251"/>
      <c r="BQJ150" s="1251"/>
      <c r="BQK150" s="1251"/>
      <c r="BQL150" s="1251"/>
      <c r="BQM150" s="1251"/>
      <c r="BQN150" s="1251"/>
      <c r="BQO150" s="1251"/>
      <c r="BQP150" s="1251"/>
      <c r="BQQ150" s="1251"/>
      <c r="BQR150" s="1251"/>
      <c r="BQS150" s="1251"/>
      <c r="BQT150" s="1251"/>
      <c r="BQU150" s="1251"/>
      <c r="BQV150" s="1251"/>
      <c r="BQW150" s="1251"/>
      <c r="BQX150" s="1251"/>
      <c r="BQY150" s="1251"/>
      <c r="BQZ150" s="1251"/>
      <c r="BRA150" s="1251"/>
      <c r="BRB150" s="1251"/>
      <c r="BRC150" s="1251"/>
      <c r="BRD150" s="1251"/>
      <c r="BRE150" s="1251"/>
      <c r="BRF150" s="1251"/>
      <c r="BRG150" s="1251"/>
      <c r="BRH150" s="1251"/>
      <c r="BRI150" s="1251"/>
      <c r="BRJ150" s="1251"/>
      <c r="BRK150" s="1251"/>
      <c r="BRL150" s="1251"/>
      <c r="BRM150" s="1251"/>
      <c r="BRN150" s="1251"/>
      <c r="BRO150" s="1251"/>
      <c r="BRP150" s="1251"/>
      <c r="BRQ150" s="1251"/>
      <c r="BRR150" s="1251"/>
      <c r="BRS150" s="1251"/>
      <c r="BRT150" s="1251"/>
      <c r="BRU150" s="1251"/>
      <c r="BRV150" s="1251"/>
      <c r="BRW150" s="1251"/>
      <c r="BRX150" s="1251"/>
      <c r="BRY150" s="1251"/>
      <c r="BRZ150" s="1251"/>
      <c r="BSA150" s="1251"/>
      <c r="BSB150" s="1251"/>
      <c r="BSC150" s="1251"/>
      <c r="BSD150" s="1251"/>
      <c r="BSE150" s="1251"/>
      <c r="BSF150" s="1251"/>
      <c r="BSG150" s="1251"/>
      <c r="BSH150" s="1251"/>
      <c r="BSI150" s="1251"/>
      <c r="BSJ150" s="1251"/>
      <c r="BSK150" s="1251"/>
      <c r="BSL150" s="1251"/>
      <c r="BSM150" s="1251"/>
      <c r="BSN150" s="1251"/>
      <c r="BSO150" s="1251"/>
      <c r="BSP150" s="1251"/>
      <c r="BSQ150" s="1251"/>
      <c r="BSR150" s="1251"/>
      <c r="BSS150" s="1251"/>
      <c r="BST150" s="1251"/>
      <c r="BSU150" s="1251"/>
      <c r="BSV150" s="1251"/>
      <c r="BSW150" s="1251"/>
      <c r="BSX150" s="1251"/>
      <c r="BSY150" s="1251"/>
      <c r="BSZ150" s="1251"/>
      <c r="BTA150" s="1251"/>
      <c r="BTB150" s="1251"/>
      <c r="BTC150" s="1251"/>
      <c r="BTD150" s="1251"/>
      <c r="BTE150" s="1251"/>
      <c r="BTF150" s="1251"/>
      <c r="BTG150" s="1251"/>
      <c r="BTH150" s="1251"/>
      <c r="BTI150" s="1251"/>
    </row>
    <row r="151" spans="1:1881" ht="59.25" customHeight="1" x14ac:dyDescent="0.3">
      <c r="A151" s="108">
        <v>90</v>
      </c>
      <c r="B151" s="4" t="s">
        <v>63</v>
      </c>
      <c r="C151" s="4" t="s">
        <v>1392</v>
      </c>
      <c r="D151" s="24" t="s">
        <v>1393</v>
      </c>
      <c r="E151" s="669" t="e">
        <f>HLOOKUP($D$2,'2020 Data(H)'!$C$1:$CZ$426,52,FALSE)</f>
        <v>#N/A</v>
      </c>
      <c r="F151" s="294">
        <v>0</v>
      </c>
      <c r="G151" s="727">
        <f>IF(F151&lt;0,"Note: Number is normally positive.",)</f>
        <v>0</v>
      </c>
      <c r="H151" s="745"/>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1881" ht="75" customHeight="1" x14ac:dyDescent="0.3">
      <c r="A152" s="108">
        <v>91</v>
      </c>
      <c r="B152" s="4" t="s">
        <v>58</v>
      </c>
      <c r="C152" s="4" t="s">
        <v>1392</v>
      </c>
      <c r="D152" s="24" t="s">
        <v>1394</v>
      </c>
      <c r="E152" s="669" t="e">
        <f>HLOOKUP($D$2,'2020 Data(H)'!$C$1:$CZ$426,53,FALSE)</f>
        <v>#N/A</v>
      </c>
      <c r="F152" s="294">
        <v>0</v>
      </c>
      <c r="G152" s="727">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1881" ht="66.75" customHeight="1" x14ac:dyDescent="0.3">
      <c r="A153" s="108">
        <v>581</v>
      </c>
      <c r="B153" s="671" t="s">
        <v>554</v>
      </c>
      <c r="C153" s="671" t="s">
        <v>1392</v>
      </c>
      <c r="D153" s="810" t="s">
        <v>1395</v>
      </c>
      <c r="E153" s="669" t="e">
        <f>HLOOKUP($D$2,'2020 Data(H)'!$C$1:$CZ$426,231,FALSE)</f>
        <v>#N/A</v>
      </c>
      <c r="F153" s="294">
        <v>0</v>
      </c>
      <c r="G153" s="727"/>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1881" ht="67.5" customHeight="1" x14ac:dyDescent="0.3">
      <c r="A154" s="108">
        <v>511</v>
      </c>
      <c r="B154" s="4" t="s">
        <v>58</v>
      </c>
      <c r="C154" s="4" t="s">
        <v>1392</v>
      </c>
      <c r="D154" s="25" t="s">
        <v>156</v>
      </c>
      <c r="E154" s="669" t="e">
        <f>HLOOKUP($D$2,'2020 Data(H)'!$C$1:$CZ$426,161,FALSE)</f>
        <v>#N/A</v>
      </c>
      <c r="F154" s="294">
        <v>0</v>
      </c>
      <c r="G154" s="727">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1881" ht="72" customHeight="1" x14ac:dyDescent="0.3">
      <c r="A155" s="306">
        <v>657</v>
      </c>
      <c r="B155" s="811" t="s">
        <v>58</v>
      </c>
      <c r="C155" s="811" t="s">
        <v>1392</v>
      </c>
      <c r="D155" s="337" t="s">
        <v>1396</v>
      </c>
      <c r="E155" s="669" t="e">
        <f>HLOOKUP($D$2,'2020 Data(H)'!$C$1:$CZ$426,310,FALSE)</f>
        <v>#N/A</v>
      </c>
      <c r="F155" s="294">
        <v>0</v>
      </c>
      <c r="G155" s="746">
        <f>IF((F151+F152+F154)&gt;F155,"Error: Please review components of current assets above.  Account numbers (90+91+511)&gt;657",)</f>
        <v>0</v>
      </c>
      <c r="H155" s="17"/>
      <c r="I155" s="79"/>
      <c r="Z155" s="306"/>
      <c r="AA155" s="306"/>
      <c r="AB155" s="306"/>
      <c r="AC155" s="306"/>
      <c r="AD155" s="306"/>
      <c r="AE155" s="306"/>
      <c r="AF155" s="306"/>
      <c r="AG155" s="306"/>
      <c r="AH155" s="306"/>
      <c r="AI155" s="306"/>
      <c r="AJ155" s="306"/>
      <c r="AK155" s="306"/>
      <c r="AL155" s="306"/>
      <c r="AM155" s="306"/>
      <c r="AN155" s="306"/>
      <c r="AO155" s="306"/>
      <c r="AP155" s="306"/>
      <c r="AQ155" s="306"/>
      <c r="AR155" s="306"/>
    </row>
    <row r="156" spans="1:1881" ht="70.5" customHeight="1" x14ac:dyDescent="0.3">
      <c r="A156" s="306">
        <v>658</v>
      </c>
      <c r="B156" s="811" t="s">
        <v>58</v>
      </c>
      <c r="C156" s="811" t="s">
        <v>1392</v>
      </c>
      <c r="D156" s="308" t="s">
        <v>807</v>
      </c>
      <c r="E156" s="669" t="e">
        <f>HLOOKUP($D$2,'2020 Data(H)'!$C$1:$CZ$426,311,FALSE)</f>
        <v>#N/A</v>
      </c>
      <c r="F156" s="294">
        <v>0</v>
      </c>
      <c r="G156" s="727"/>
      <c r="H156" s="17"/>
      <c r="I156" s="79"/>
      <c r="Z156" s="306"/>
      <c r="AA156" s="306"/>
      <c r="AB156" s="306"/>
      <c r="AC156" s="306"/>
      <c r="AD156" s="306"/>
      <c r="AE156" s="306"/>
      <c r="AF156" s="306"/>
      <c r="AG156" s="306"/>
      <c r="AH156" s="306"/>
      <c r="AI156" s="306"/>
      <c r="AJ156" s="306"/>
      <c r="AK156" s="306"/>
      <c r="AL156" s="306"/>
      <c r="AM156" s="306"/>
      <c r="AN156" s="306"/>
      <c r="AO156" s="306"/>
      <c r="AP156" s="306"/>
      <c r="AQ156" s="306"/>
      <c r="AR156" s="306"/>
    </row>
    <row r="157" spans="1:1881" ht="50.25" customHeight="1" x14ac:dyDescent="0.3">
      <c r="A157" s="108">
        <v>382</v>
      </c>
      <c r="B157" s="4" t="s">
        <v>60</v>
      </c>
      <c r="C157" s="4" t="s">
        <v>1392</v>
      </c>
      <c r="D157" s="106" t="s">
        <v>130</v>
      </c>
      <c r="E157" s="669" t="e">
        <f>HLOOKUP($D$2,'2020 Data(H)'!$C$1:$CZ$426,141,FALSE)</f>
        <v>#N/A</v>
      </c>
      <c r="F157" s="294">
        <v>0</v>
      </c>
      <c r="G157" s="746">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1881" ht="57.75" customHeight="1" x14ac:dyDescent="0.3">
      <c r="A158" s="108">
        <v>360</v>
      </c>
      <c r="B158" s="4" t="s">
        <v>56</v>
      </c>
      <c r="C158" s="4" t="s">
        <v>1392</v>
      </c>
      <c r="D158" s="107" t="s">
        <v>157</v>
      </c>
      <c r="E158" s="669" t="e">
        <f>HLOOKUP($D$2,'2020 Data(H)'!$C$1:$CZ$426,121,FALSE)</f>
        <v>#N/A</v>
      </c>
      <c r="F158" s="294">
        <v>0</v>
      </c>
      <c r="G158" s="727"/>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1881" ht="62.25" customHeight="1" x14ac:dyDescent="0.3">
      <c r="A159" s="108">
        <v>580</v>
      </c>
      <c r="B159" s="671" t="s">
        <v>554</v>
      </c>
      <c r="C159" s="671" t="s">
        <v>1392</v>
      </c>
      <c r="D159" s="810" t="s">
        <v>1397</v>
      </c>
      <c r="E159" s="669" t="e">
        <f>HLOOKUP($D$2,'2020 Data(H)'!$C$1:$CZ$426,230,FALSE)</f>
        <v>#N/A</v>
      </c>
      <c r="F159" s="294">
        <v>0</v>
      </c>
      <c r="G159" s="727"/>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1881" ht="114" customHeight="1" x14ac:dyDescent="0.3">
      <c r="A160" s="307">
        <v>639</v>
      </c>
      <c r="B160" s="811" t="s">
        <v>805</v>
      </c>
      <c r="C160" s="811" t="s">
        <v>1392</v>
      </c>
      <c r="D160" s="337" t="s">
        <v>1476</v>
      </c>
      <c r="E160" s="669" t="e">
        <f>HLOOKUP($D$2,'2020 Data(H)'!$C$1:$CZ$426,298,FALSE)</f>
        <v>#N/A</v>
      </c>
      <c r="F160" s="294">
        <v>0</v>
      </c>
      <c r="G160" s="741" t="str">
        <f>IF(F160&gt;=(F161+F162+F163+F164+F165+F166),"","Account 639 is less than the total sum of accounts 640 through 644 + 384")</f>
        <v/>
      </c>
      <c r="H160" s="747">
        <f>F160-(F161+F162+F163+F164+F165+F166)</f>
        <v>0</v>
      </c>
      <c r="I160" s="732"/>
      <c r="Z160" s="307"/>
      <c r="AA160" s="307"/>
      <c r="AB160" s="307"/>
      <c r="AC160" s="307"/>
      <c r="AD160" s="307"/>
      <c r="AE160" s="307"/>
      <c r="AF160" s="307"/>
      <c r="AG160" s="307"/>
      <c r="AH160" s="307"/>
      <c r="AI160" s="307"/>
      <c r="AJ160" s="307"/>
      <c r="AK160" s="307"/>
      <c r="AL160" s="307"/>
      <c r="AM160" s="307"/>
      <c r="AN160" s="307"/>
      <c r="AO160" s="307"/>
      <c r="AP160" s="307"/>
      <c r="AQ160" s="307"/>
      <c r="AR160" s="307"/>
    </row>
    <row r="161" spans="1:44" ht="124.5" customHeight="1" x14ac:dyDescent="0.3">
      <c r="A161" s="306">
        <v>640</v>
      </c>
      <c r="B161" s="812" t="s">
        <v>652</v>
      </c>
      <c r="C161" s="811" t="s">
        <v>1392</v>
      </c>
      <c r="D161" s="337" t="s">
        <v>1477</v>
      </c>
      <c r="E161" s="669" t="e">
        <f>HLOOKUP($D$2,'2020 Data(H)'!$C$1:$CZ$426,299,FALSE)</f>
        <v>#N/A</v>
      </c>
      <c r="F161" s="294">
        <v>0</v>
      </c>
      <c r="G161" s="746">
        <f>IF(F161&gt;F160,"Error: Please review components of current liabilities above. Account numbers 640&gt;639",)</f>
        <v>0</v>
      </c>
      <c r="H161" s="732"/>
      <c r="I161" s="747"/>
      <c r="Z161" s="306"/>
      <c r="AA161" s="306"/>
      <c r="AB161" s="306"/>
      <c r="AC161" s="306"/>
      <c r="AD161" s="306"/>
      <c r="AE161" s="306"/>
      <c r="AF161" s="306"/>
      <c r="AG161" s="306"/>
      <c r="AH161" s="306"/>
      <c r="AI161" s="306"/>
      <c r="AJ161" s="306"/>
      <c r="AK161" s="306"/>
      <c r="AL161" s="306"/>
      <c r="AM161" s="306"/>
      <c r="AN161" s="306"/>
      <c r="AO161" s="306"/>
      <c r="AP161" s="306"/>
      <c r="AQ161" s="306"/>
      <c r="AR161" s="306"/>
    </row>
    <row r="162" spans="1:44" ht="133.5" customHeight="1" x14ac:dyDescent="0.3">
      <c r="A162" s="306">
        <v>641</v>
      </c>
      <c r="B162" s="812" t="s">
        <v>652</v>
      </c>
      <c r="C162" s="811" t="s">
        <v>1392</v>
      </c>
      <c r="D162" s="337" t="s">
        <v>1478</v>
      </c>
      <c r="E162" s="669" t="e">
        <f>HLOOKUP($D$2,'2020 Data(H)'!$C$1:$CZ$426,300,FALSE)</f>
        <v>#N/A</v>
      </c>
      <c r="F162" s="294">
        <v>0</v>
      </c>
      <c r="G162" s="746">
        <f>IF(F162&gt;F160,"Error: Please review components of current liabilities above. Account numbers 641&gt;639",)</f>
        <v>0</v>
      </c>
      <c r="H162" s="732"/>
      <c r="I162" s="732"/>
      <c r="Z162" s="306"/>
      <c r="AA162" s="306"/>
      <c r="AB162" s="306"/>
      <c r="AC162" s="306"/>
      <c r="AD162" s="306"/>
      <c r="AE162" s="306"/>
      <c r="AF162" s="306"/>
      <c r="AG162" s="306"/>
      <c r="AH162" s="306"/>
      <c r="AI162" s="306"/>
      <c r="AJ162" s="306"/>
      <c r="AK162" s="306"/>
      <c r="AL162" s="306"/>
      <c r="AM162" s="306"/>
      <c r="AN162" s="306"/>
      <c r="AO162" s="306"/>
      <c r="AP162" s="306"/>
      <c r="AQ162" s="306"/>
      <c r="AR162" s="306"/>
    </row>
    <row r="163" spans="1:44" ht="118.5" customHeight="1" x14ac:dyDescent="0.3">
      <c r="A163" s="306">
        <v>642</v>
      </c>
      <c r="B163" s="812" t="s">
        <v>652</v>
      </c>
      <c r="C163" s="811" t="s">
        <v>1392</v>
      </c>
      <c r="D163" s="337" t="s">
        <v>1479</v>
      </c>
      <c r="E163" s="669" t="e">
        <f>HLOOKUP($D$2,'2020 Data(H)'!$C$1:$CZ$426,301,FALSE)</f>
        <v>#N/A</v>
      </c>
      <c r="F163" s="294">
        <v>0</v>
      </c>
      <c r="G163" s="746">
        <f>IF(F163&gt;F160,"Error: Please review components of current liabilities above. Account numbers  642&gt;639",)</f>
        <v>0</v>
      </c>
      <c r="H163" s="732"/>
      <c r="I163" s="732"/>
      <c r="Z163" s="306"/>
      <c r="AA163" s="306"/>
      <c r="AB163" s="306"/>
      <c r="AC163" s="306"/>
      <c r="AD163" s="306"/>
      <c r="AE163" s="306"/>
      <c r="AF163" s="306"/>
      <c r="AG163" s="306"/>
      <c r="AH163" s="306"/>
      <c r="AI163" s="306"/>
      <c r="AJ163" s="306"/>
      <c r="AK163" s="306"/>
      <c r="AL163" s="306"/>
      <c r="AM163" s="306"/>
      <c r="AN163" s="306"/>
      <c r="AO163" s="306"/>
      <c r="AP163" s="306"/>
      <c r="AQ163" s="306"/>
      <c r="AR163" s="306"/>
    </row>
    <row r="164" spans="1:44" ht="81.75" customHeight="1" x14ac:dyDescent="0.3">
      <c r="A164" s="306">
        <v>643</v>
      </c>
      <c r="B164" s="812" t="s">
        <v>652</v>
      </c>
      <c r="C164" s="811" t="s">
        <v>1392</v>
      </c>
      <c r="D164" s="337" t="s">
        <v>1480</v>
      </c>
      <c r="E164" s="669" t="e">
        <f>HLOOKUP($D$2,'2020 Data(H)'!$C$1:$CZ$426,302,FALSE)</f>
        <v>#N/A</v>
      </c>
      <c r="F164" s="294">
        <v>0</v>
      </c>
      <c r="G164" s="746">
        <f>IF(F164&gt;F160,"Error: Please review components of current liabilities above. Account numbers 643&gt;639",)</f>
        <v>0</v>
      </c>
      <c r="H164" s="732"/>
      <c r="I164" s="732"/>
      <c r="Z164" s="306"/>
      <c r="AA164" s="306"/>
      <c r="AB164" s="306"/>
      <c r="AC164" s="306"/>
      <c r="AD164" s="306"/>
      <c r="AE164" s="306"/>
      <c r="AF164" s="306"/>
      <c r="AG164" s="306"/>
      <c r="AH164" s="306"/>
      <c r="AI164" s="306"/>
      <c r="AJ164" s="306"/>
      <c r="AK164" s="306"/>
      <c r="AL164" s="306"/>
      <c r="AM164" s="306"/>
      <c r="AN164" s="306"/>
      <c r="AO164" s="306"/>
      <c r="AP164" s="306"/>
      <c r="AQ164" s="306"/>
      <c r="AR164" s="306"/>
    </row>
    <row r="165" spans="1:44" ht="108" customHeight="1" x14ac:dyDescent="0.3">
      <c r="A165" s="306">
        <v>644</v>
      </c>
      <c r="B165" s="812" t="s">
        <v>652</v>
      </c>
      <c r="C165" s="811" t="s">
        <v>1392</v>
      </c>
      <c r="D165" s="337" t="s">
        <v>1481</v>
      </c>
      <c r="E165" s="669" t="e">
        <f>HLOOKUP($D$2,'2020 Data(H)'!$C$1:$CZ$426,303,FALSE)</f>
        <v>#N/A</v>
      </c>
      <c r="F165" s="294">
        <v>0</v>
      </c>
      <c r="G165" s="746">
        <f>IF(F165&gt;F160,"Error: Please review components of current liabilities above. Account number 644&gt;639",)</f>
        <v>0</v>
      </c>
      <c r="H165" s="732"/>
      <c r="I165" s="732"/>
      <c r="Z165" s="306"/>
      <c r="AA165" s="306"/>
      <c r="AB165" s="306"/>
      <c r="AC165" s="306"/>
      <c r="AD165" s="306"/>
      <c r="AE165" s="306"/>
      <c r="AF165" s="306"/>
      <c r="AG165" s="306"/>
      <c r="AH165" s="306"/>
      <c r="AI165" s="306"/>
      <c r="AJ165" s="306"/>
      <c r="AK165" s="306"/>
      <c r="AL165" s="306"/>
      <c r="AM165" s="306"/>
      <c r="AN165" s="306"/>
      <c r="AO165" s="306"/>
      <c r="AP165" s="306"/>
      <c r="AQ165" s="306"/>
      <c r="AR165" s="306"/>
    </row>
    <row r="166" spans="1:44" ht="99.75" customHeight="1" x14ac:dyDescent="0.3">
      <c r="A166" s="108">
        <v>384</v>
      </c>
      <c r="B166" s="4" t="s">
        <v>63</v>
      </c>
      <c r="C166" s="4" t="s">
        <v>1392</v>
      </c>
      <c r="D166" s="29" t="s">
        <v>1482</v>
      </c>
      <c r="E166" s="669" t="e">
        <f>HLOOKUP($D$2,'2020 Data(H)'!$C$1:$CZ$426,143,FALSE)</f>
        <v>#N/A</v>
      </c>
      <c r="F166" s="735">
        <v>0</v>
      </c>
      <c r="G166" s="743">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customHeight="1" x14ac:dyDescent="0.3">
      <c r="A167" s="108">
        <v>361</v>
      </c>
      <c r="B167" s="4" t="s">
        <v>56</v>
      </c>
      <c r="C167" s="4" t="s">
        <v>1392</v>
      </c>
      <c r="D167" s="705" t="s">
        <v>1398</v>
      </c>
      <c r="E167" s="669" t="e">
        <f>HLOOKUP($D$2,'2020 Data(H)'!$C$1:$CZ$426,122,FALSE)</f>
        <v>#N/A</v>
      </c>
      <c r="F167" s="294">
        <v>0</v>
      </c>
      <c r="G167" s="736"/>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customHeight="1" x14ac:dyDescent="0.3">
      <c r="A168" s="108">
        <v>362</v>
      </c>
      <c r="B168" s="4" t="s">
        <v>56</v>
      </c>
      <c r="C168" s="4" t="s">
        <v>1392</v>
      </c>
      <c r="D168" s="107" t="s">
        <v>158</v>
      </c>
      <c r="E168" s="669" t="e">
        <f>HLOOKUP($D$2,'2020 Data(H)'!$C$1:$CZ$426,123,FALSE)</f>
        <v>#N/A</v>
      </c>
      <c r="F168" s="294">
        <v>0</v>
      </c>
      <c r="G168" s="727">
        <f>IF(H168=0,,"Error: Total assets less total liabilities do not equal total net position. Account numbers 382-360-362=0  The amount of the formula is in the cell to the right")</f>
        <v>0</v>
      </c>
      <c r="H168" s="730">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08"/>
      <c r="B169" s="838" t="s">
        <v>182</v>
      </c>
      <c r="C169" s="839"/>
      <c r="D169" s="850"/>
      <c r="E169" s="834"/>
      <c r="F169" s="837"/>
      <c r="G169" s="837"/>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08"/>
      <c r="B170" s="1125" t="s">
        <v>1498</v>
      </c>
      <c r="C170" s="1125"/>
      <c r="D170" s="1125"/>
      <c r="E170" s="828"/>
      <c r="F170" s="846"/>
      <c r="G170" s="846"/>
      <c r="H170" s="17"/>
      <c r="I170" s="79"/>
      <c r="N170" s="295"/>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08">
        <v>88</v>
      </c>
      <c r="B171" s="4" t="s">
        <v>61</v>
      </c>
      <c r="C171" s="4" t="s">
        <v>1399</v>
      </c>
      <c r="D171" s="24" t="s">
        <v>1400</v>
      </c>
      <c r="E171" s="669" t="e">
        <f>HLOOKUP($D$2,'2020 Data(H)'!$C$1:$CZ$426,50,FALSE)</f>
        <v>#N/A</v>
      </c>
      <c r="F171" s="294">
        <v>0</v>
      </c>
      <c r="G171" s="736"/>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08">
        <v>84</v>
      </c>
      <c r="B172" s="4" t="s">
        <v>61</v>
      </c>
      <c r="C172" s="4" t="s">
        <v>1399</v>
      </c>
      <c r="D172" s="29" t="s">
        <v>159</v>
      </c>
      <c r="E172" s="669" t="e">
        <f>HLOOKUP($D$2,'2020 Data(H)'!$C$1:$CZ$426,48,FALSE)</f>
        <v>#N/A</v>
      </c>
      <c r="F172" s="294">
        <v>0</v>
      </c>
      <c r="G172" s="727">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08">
        <v>49</v>
      </c>
      <c r="B173" s="4" t="s">
        <v>57</v>
      </c>
      <c r="C173" s="4" t="s">
        <v>1399</v>
      </c>
      <c r="D173" s="29" t="s">
        <v>160</v>
      </c>
      <c r="E173" s="669" t="e">
        <f>HLOOKUP($D$2,'2020 Data(H)'!$C$1:$CZ$426,36,FALSE)</f>
        <v>#N/A</v>
      </c>
      <c r="F173" s="294">
        <v>0</v>
      </c>
      <c r="G173" s="727">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08">
        <v>85</v>
      </c>
      <c r="B174" s="4" t="s">
        <v>68</v>
      </c>
      <c r="C174" s="4" t="s">
        <v>1399</v>
      </c>
      <c r="D174" s="29" t="s">
        <v>161</v>
      </c>
      <c r="E174" s="669" t="e">
        <f>HLOOKUP($D$2,'2020 Data(H)'!$C$1:$CZ$426,49,FALSE)</f>
        <v>#N/A</v>
      </c>
      <c r="F174" s="294">
        <v>0</v>
      </c>
      <c r="G174" s="727">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08">
        <v>89</v>
      </c>
      <c r="B175" s="4" t="s">
        <v>56</v>
      </c>
      <c r="C175" s="4" t="s">
        <v>1399</v>
      </c>
      <c r="D175" s="29" t="s">
        <v>162</v>
      </c>
      <c r="E175" s="669" t="e">
        <f>HLOOKUP($D$2,'2020 Data(H)'!$C$1:$CZ$426,51,FALSE)</f>
        <v>#N/A</v>
      </c>
      <c r="F175" s="294">
        <v>0</v>
      </c>
      <c r="G175" s="727">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08">
        <v>350</v>
      </c>
      <c r="B176" s="4" t="s">
        <v>56</v>
      </c>
      <c r="C176" s="4" t="s">
        <v>1399</v>
      </c>
      <c r="D176" s="24" t="s">
        <v>1401</v>
      </c>
      <c r="E176" s="669" t="e">
        <f>HLOOKUP($D$2,'2020 Data(H)'!$C$1:$CZ$426,114,FALSE)</f>
        <v>#N/A</v>
      </c>
      <c r="F176" s="294">
        <v>0</v>
      </c>
      <c r="G176" s="736"/>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08">
        <v>351</v>
      </c>
      <c r="B177" s="4" t="s">
        <v>56</v>
      </c>
      <c r="C177" s="4" t="s">
        <v>1399</v>
      </c>
      <c r="D177" s="24" t="s">
        <v>1402</v>
      </c>
      <c r="E177" s="669" t="e">
        <f>HLOOKUP($D$2,'2020 Data(H)'!$C$1:$CZ$426,115,FALSE)</f>
        <v>#N/A</v>
      </c>
      <c r="F177" s="294">
        <v>0</v>
      </c>
      <c r="G177" s="727">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08">
        <v>191</v>
      </c>
      <c r="B178" s="4" t="s">
        <v>57</v>
      </c>
      <c r="C178" s="4" t="s">
        <v>1399</v>
      </c>
      <c r="D178" s="24" t="s">
        <v>1403</v>
      </c>
      <c r="E178" s="669" t="e">
        <f>HLOOKUP($D$2,'2020 Data(H)'!$C$1:$CZ$426,72,FALSE)</f>
        <v>#N/A</v>
      </c>
      <c r="F178" s="294">
        <v>0</v>
      </c>
      <c r="G178" s="727">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08">
        <v>352</v>
      </c>
      <c r="B179" s="4" t="s">
        <v>68</v>
      </c>
      <c r="C179" s="4" t="s">
        <v>1399</v>
      </c>
      <c r="D179" s="29" t="s">
        <v>1247</v>
      </c>
      <c r="E179" s="669" t="e">
        <f>HLOOKUP($D$2,'2020 Data(H)'!$C$1:$CZ$426,116,FALSE)</f>
        <v>#N/A</v>
      </c>
      <c r="F179" s="294">
        <v>0</v>
      </c>
      <c r="G179" s="727">
        <f>IF(F179&lt;0,"Error: Enter as positive.",)</f>
        <v>0</v>
      </c>
      <c r="H179" s="706"/>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08">
        <v>986</v>
      </c>
      <c r="B180" s="815" t="s">
        <v>988</v>
      </c>
      <c r="C180" s="815" t="s">
        <v>1399</v>
      </c>
      <c r="D180" s="311" t="s">
        <v>1015</v>
      </c>
      <c r="E180" s="669" t="s">
        <v>989</v>
      </c>
      <c r="F180" s="294">
        <v>0</v>
      </c>
      <c r="G180" s="727">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08">
        <v>353</v>
      </c>
      <c r="B181" s="4" t="s">
        <v>68</v>
      </c>
      <c r="C181" s="4" t="s">
        <v>1399</v>
      </c>
      <c r="D181" s="29" t="s">
        <v>143</v>
      </c>
      <c r="E181" s="669" t="e">
        <f>HLOOKUP($D$2,'2020 Data(H)'!$C$1:$CZ$426,117,FALSE)</f>
        <v>#N/A</v>
      </c>
      <c r="F181" s="294">
        <v>0</v>
      </c>
      <c r="G181" s="727">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08">
        <v>50</v>
      </c>
      <c r="B182" s="4" t="s">
        <v>64</v>
      </c>
      <c r="C182" s="4" t="s">
        <v>1399</v>
      </c>
      <c r="D182" s="705" t="s">
        <v>1404</v>
      </c>
      <c r="E182" s="669" t="e">
        <f>HLOOKUP($D$2,'2020 Data(H)'!$C$1:$CZ$426,37,FALSE)</f>
        <v>#N/A</v>
      </c>
      <c r="F182" s="292">
        <v>0</v>
      </c>
      <c r="G182" s="727">
        <f>IF(H182=0,,"Error: Total revenues less total expenses do not equal total change in net position. Account number 84-85+350-351+191+352-353-50=0  The amount of the formula is in the cell to the right")</f>
        <v>0</v>
      </c>
      <c r="H182" s="730">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08">
        <v>377</v>
      </c>
      <c r="B183" s="4" t="s">
        <v>68</v>
      </c>
      <c r="C183" s="4" t="s">
        <v>1399</v>
      </c>
      <c r="D183" s="705" t="s">
        <v>1405</v>
      </c>
      <c r="E183" s="669" t="e">
        <f>HLOOKUP($D$2,'2020 Data(H)'!$C$1:$CZ$426,136,FALSE)</f>
        <v>#N/A</v>
      </c>
      <c r="F183" s="292">
        <v>0</v>
      </c>
      <c r="G183" s="727" t="e">
        <f>IF(F149-F182-F183=E149,,"Error: Beginning Balance does not agree with our records.  Acct #s (83-50-377)=prior year 83 The amount of the formula is in the cell to the right")</f>
        <v>#N/A</v>
      </c>
      <c r="H183" s="730"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08">
        <v>537</v>
      </c>
      <c r="B184" s="671" t="s">
        <v>59</v>
      </c>
      <c r="C184" s="671" t="s">
        <v>1399</v>
      </c>
      <c r="D184" s="668" t="s">
        <v>1406</v>
      </c>
      <c r="E184" s="59" t="e">
        <f>HLOOKUP($D$2,'2020 Data(H)'!$C$1:$CZ$426,250,FALSE)</f>
        <v>#N/A</v>
      </c>
      <c r="F184" s="294"/>
      <c r="G184" s="727"/>
      <c r="H184" s="728"/>
      <c r="I184" s="729"/>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08">
        <v>538</v>
      </c>
      <c r="B185" s="671" t="s">
        <v>59</v>
      </c>
      <c r="C185" s="671" t="s">
        <v>1399</v>
      </c>
      <c r="D185" s="668" t="s">
        <v>1407</v>
      </c>
      <c r="E185" s="669" t="e">
        <f>HLOOKUP($D$2,'2020 Data(H)'!$C$1:$CZ$426,251,FALSE)</f>
        <v>#N/A</v>
      </c>
      <c r="F185" s="294"/>
      <c r="G185" s="727"/>
      <c r="H185" s="728"/>
      <c r="I185" s="729"/>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customHeight="1" x14ac:dyDescent="0.3">
      <c r="A186" s="108"/>
      <c r="B186" s="848" t="s">
        <v>6</v>
      </c>
      <c r="C186" s="849"/>
      <c r="D186" s="828"/>
      <c r="E186" s="828"/>
      <c r="F186" s="845"/>
      <c r="G186" s="846"/>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customHeight="1" x14ac:dyDescent="0.3">
      <c r="A187" s="108">
        <v>97</v>
      </c>
      <c r="B187" s="4" t="s">
        <v>68</v>
      </c>
      <c r="C187" s="4" t="s">
        <v>1408</v>
      </c>
      <c r="D187" s="29" t="s">
        <v>163</v>
      </c>
      <c r="E187" s="669" t="e">
        <f>HLOOKUP($D$2,'2020 Data(H)'!$C$1:$CZ$426,57,FALSE)</f>
        <v>#N/A</v>
      </c>
      <c r="F187" s="292">
        <v>0</v>
      </c>
      <c r="G187" s="736"/>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customHeight="1" x14ac:dyDescent="0.3">
      <c r="A188" s="108">
        <v>93</v>
      </c>
      <c r="B188" s="4" t="s">
        <v>66</v>
      </c>
      <c r="C188" s="4" t="s">
        <v>1408</v>
      </c>
      <c r="D188" s="29" t="s">
        <v>159</v>
      </c>
      <c r="E188" s="669" t="e">
        <f>HLOOKUP($D$2,'2020 Data(H)'!$C$1:$CZ$426,55,FALSE)</f>
        <v>#N/A</v>
      </c>
      <c r="F188" s="293">
        <v>0</v>
      </c>
      <c r="G188" s="727">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customHeight="1" x14ac:dyDescent="0.3">
      <c r="A189" s="108">
        <v>99</v>
      </c>
      <c r="B189" s="4" t="s">
        <v>58</v>
      </c>
      <c r="C189" s="4" t="s">
        <v>1408</v>
      </c>
      <c r="D189" s="29" t="s">
        <v>164</v>
      </c>
      <c r="E189" s="669" t="e">
        <f>HLOOKUP($D$2,'2020 Data(H)'!$C$1:$CZ$426,59,FALSE)</f>
        <v>#N/A</v>
      </c>
      <c r="F189" s="293">
        <v>0</v>
      </c>
      <c r="G189" s="727">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customHeight="1" x14ac:dyDescent="0.3">
      <c r="A190" s="108">
        <v>52</v>
      </c>
      <c r="B190" s="4" t="s">
        <v>58</v>
      </c>
      <c r="C190" s="4" t="s">
        <v>1408</v>
      </c>
      <c r="D190" s="29" t="s">
        <v>160</v>
      </c>
      <c r="E190" s="669" t="e">
        <f>HLOOKUP($D$2,'2020 Data(H)'!$C$1:$CZ$426,39,FALSE)</f>
        <v>#N/A</v>
      </c>
      <c r="F190" s="293">
        <v>0</v>
      </c>
      <c r="G190" s="727">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customHeight="1" x14ac:dyDescent="0.3">
      <c r="A191" s="108">
        <v>94</v>
      </c>
      <c r="B191" s="4" t="s">
        <v>66</v>
      </c>
      <c r="C191" s="4" t="s">
        <v>1408</v>
      </c>
      <c r="D191" s="29" t="s">
        <v>161</v>
      </c>
      <c r="E191" s="669" t="e">
        <f>HLOOKUP($D$2,'2020 Data(H)'!$C$1:$CZ$426,56,FALSE)</f>
        <v>#N/A</v>
      </c>
      <c r="F191" s="293">
        <v>0</v>
      </c>
      <c r="G191" s="727">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customHeight="1" x14ac:dyDescent="0.3">
      <c r="A192" s="108">
        <v>98</v>
      </c>
      <c r="B192" s="4" t="s">
        <v>66</v>
      </c>
      <c r="C192" s="4" t="s">
        <v>1408</v>
      </c>
      <c r="D192" s="29" t="s">
        <v>162</v>
      </c>
      <c r="E192" s="669" t="e">
        <f>HLOOKUP($D$2,'2020 Data(H)'!$C$1:$CZ$426,58,FALSE)</f>
        <v>#N/A</v>
      </c>
      <c r="F192" s="293">
        <v>0</v>
      </c>
      <c r="G192" s="727">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customHeight="1" x14ac:dyDescent="0.3">
      <c r="A193" s="108">
        <v>363</v>
      </c>
      <c r="B193" s="4" t="s">
        <v>56</v>
      </c>
      <c r="C193" s="4" t="s">
        <v>1408</v>
      </c>
      <c r="D193" s="24" t="s">
        <v>1409</v>
      </c>
      <c r="E193" s="669" t="e">
        <f>HLOOKUP($D$2,'2020 Data(H)'!$C$1:$CZ$426,124,FALSE)</f>
        <v>#N/A</v>
      </c>
      <c r="F193" s="293">
        <v>0</v>
      </c>
      <c r="G193" s="727">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customHeight="1" x14ac:dyDescent="0.3">
      <c r="A194" s="108">
        <v>364</v>
      </c>
      <c r="B194" s="4" t="s">
        <v>56</v>
      </c>
      <c r="C194" s="4" t="s">
        <v>1408</v>
      </c>
      <c r="D194" s="24" t="s">
        <v>1410</v>
      </c>
      <c r="E194" s="669" t="e">
        <f>HLOOKUP($D$2,'2020 Data(H)'!$C$1:$CZ$426,125,FALSE)</f>
        <v>#N/A</v>
      </c>
      <c r="F194" s="293">
        <v>0</v>
      </c>
      <c r="G194" s="727">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customHeight="1" x14ac:dyDescent="0.3">
      <c r="A195" s="108">
        <v>192</v>
      </c>
      <c r="B195" s="4" t="s">
        <v>58</v>
      </c>
      <c r="C195" s="4" t="s">
        <v>1408</v>
      </c>
      <c r="D195" s="24" t="s">
        <v>1411</v>
      </c>
      <c r="E195" s="669" t="e">
        <f>HLOOKUP($D$2,'2020 Data(H)'!$C$1:$CZ$426,73,FALSE)</f>
        <v>#N/A</v>
      </c>
      <c r="F195" s="293">
        <v>0</v>
      </c>
      <c r="G195" s="727">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customHeight="1" x14ac:dyDescent="0.3">
      <c r="A196" s="108">
        <v>365</v>
      </c>
      <c r="B196" s="4" t="s">
        <v>66</v>
      </c>
      <c r="C196" s="4" t="s">
        <v>1408</v>
      </c>
      <c r="D196" s="24" t="s">
        <v>1412</v>
      </c>
      <c r="E196" s="669" t="e">
        <f>HLOOKUP($D$2,'2020 Data(H)'!$C$1:$CZ$426,126,FALSE)</f>
        <v>#N/A</v>
      </c>
      <c r="F196" s="293">
        <v>0</v>
      </c>
      <c r="G196" s="727">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customHeight="1" x14ac:dyDescent="0.3">
      <c r="A197" s="108">
        <v>366</v>
      </c>
      <c r="B197" s="4" t="s">
        <v>66</v>
      </c>
      <c r="C197" s="4" t="s">
        <v>1408</v>
      </c>
      <c r="D197" s="24" t="s">
        <v>1413</v>
      </c>
      <c r="E197" s="669" t="e">
        <f>HLOOKUP($D$2,'2020 Data(H)'!$C$1:$CZ$426,127,FALSE)</f>
        <v>#N/A</v>
      </c>
      <c r="F197" s="293">
        <v>0</v>
      </c>
      <c r="G197" s="727">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customHeight="1" x14ac:dyDescent="0.3">
      <c r="A198" s="108">
        <v>53</v>
      </c>
      <c r="B198" s="671" t="s">
        <v>66</v>
      </c>
      <c r="C198" s="671" t="s">
        <v>1408</v>
      </c>
      <c r="D198" s="705" t="s">
        <v>1414</v>
      </c>
      <c r="E198" s="669" t="e">
        <f>HLOOKUP($D$2,'2020 Data(H)'!$C$1:$CZ$426,40,FALSE)</f>
        <v>#N/A</v>
      </c>
      <c r="F198" s="294">
        <v>0</v>
      </c>
      <c r="G198" s="727">
        <f>IF(H198=0,,"Error: Total revenues less total expenses do not equal total change in net position. Account number 93-94+363-364+192+365-366-53=0  The amount of the formula is in the cell to the right")</f>
        <v>0</v>
      </c>
      <c r="H198" s="730">
        <f>+F188-F191+F193-F194+F195+F196-F197-F198</f>
        <v>0</v>
      </c>
      <c r="I198" s="79"/>
      <c r="N198" s="295"/>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customHeight="1" x14ac:dyDescent="0.3">
      <c r="A199" s="108">
        <v>378</v>
      </c>
      <c r="B199" s="5" t="s">
        <v>56</v>
      </c>
      <c r="C199" s="4" t="s">
        <v>1408</v>
      </c>
      <c r="D199" s="705" t="s">
        <v>1415</v>
      </c>
      <c r="E199" s="669" t="e">
        <f>HLOOKUP($D$2,'2020 Data(H)'!$C$1:$CZ$426,137,FALSE)</f>
        <v>#N/A</v>
      </c>
      <c r="F199" s="292">
        <v>0</v>
      </c>
      <c r="G199" s="727" t="e">
        <f>IF(F168-F198-F199=E168,,"Error: Beginning Balance does not agree with our records.  Acct #s (362-53-378)=prior year 362  The amount of the formula is in the cell to the right")</f>
        <v>#N/A</v>
      </c>
      <c r="H199" s="730" t="e">
        <f>+F168-F198-F199-E168</f>
        <v>#N/A</v>
      </c>
      <c r="I199" s="79"/>
      <c r="N199" s="295"/>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08"/>
      <c r="B200" s="848" t="s">
        <v>751</v>
      </c>
      <c r="C200" s="848"/>
      <c r="D200" s="851"/>
      <c r="E200" s="834"/>
      <c r="F200" s="852"/>
      <c r="G200" s="836"/>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08"/>
      <c r="B201" s="853" t="s">
        <v>1416</v>
      </c>
      <c r="C201" s="849"/>
      <c r="D201" s="828"/>
      <c r="E201" s="828"/>
      <c r="F201" s="854"/>
      <c r="G201" s="846"/>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08"/>
      <c r="B202" s="849" t="s">
        <v>1417</v>
      </c>
      <c r="C202" s="849"/>
      <c r="D202" s="841"/>
      <c r="E202" s="826"/>
      <c r="F202" s="855"/>
      <c r="G202" s="847"/>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08"/>
      <c r="B203" s="849" t="s">
        <v>23</v>
      </c>
      <c r="C203" s="849"/>
      <c r="D203" s="841"/>
      <c r="E203" s="826"/>
      <c r="F203" s="855"/>
      <c r="G203" s="847"/>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08">
        <v>51</v>
      </c>
      <c r="B204" s="4" t="s">
        <v>523</v>
      </c>
      <c r="C204" s="816" t="s">
        <v>1418</v>
      </c>
      <c r="D204" s="24" t="s">
        <v>1419</v>
      </c>
      <c r="E204" s="669" t="e">
        <f>HLOOKUP($D$2,'2020 Data(H)'!$C$1:$CZ$426,38,FALSE)</f>
        <v>#N/A</v>
      </c>
      <c r="F204" s="293">
        <v>0</v>
      </c>
      <c r="G204" s="736"/>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08">
        <v>332</v>
      </c>
      <c r="B205" s="4" t="s">
        <v>37</v>
      </c>
      <c r="C205" s="816" t="s">
        <v>1418</v>
      </c>
      <c r="D205" s="24" t="s">
        <v>1420</v>
      </c>
      <c r="E205" s="669" t="e">
        <f>HLOOKUP($D$2,'2020 Data(H)'!$C$1:$CZ$426,98,FALSE)</f>
        <v>#N/A</v>
      </c>
      <c r="F205" s="293">
        <v>0</v>
      </c>
      <c r="G205" s="727">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08">
        <v>331</v>
      </c>
      <c r="B206" s="4" t="s">
        <v>523</v>
      </c>
      <c r="C206" s="816" t="s">
        <v>1418</v>
      </c>
      <c r="D206" s="24" t="s">
        <v>1421</v>
      </c>
      <c r="E206" s="669" t="e">
        <f>HLOOKUP($D$2,'2020 Data(H)'!$C$1:$CZ$426,97,FALSE)</f>
        <v>#N/A</v>
      </c>
      <c r="F206" s="293">
        <v>0</v>
      </c>
      <c r="G206" s="727">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x14ac:dyDescent="0.3">
      <c r="A207" s="108"/>
      <c r="B207" s="848" t="s">
        <v>6</v>
      </c>
      <c r="C207" s="849"/>
      <c r="D207" s="849"/>
      <c r="E207" s="828"/>
      <c r="F207" s="854"/>
      <c r="G207" s="856"/>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customHeight="1" x14ac:dyDescent="0.3">
      <c r="A208" s="108">
        <v>55</v>
      </c>
      <c r="B208" s="4" t="s">
        <v>59</v>
      </c>
      <c r="C208" s="816" t="s">
        <v>1422</v>
      </c>
      <c r="D208" s="24" t="s">
        <v>1423</v>
      </c>
      <c r="E208" s="669" t="e">
        <f>HLOOKUP($D$2,'2020 Data(H)'!$C$1:$CZ$426,42,FALSE)</f>
        <v>#N/A</v>
      </c>
      <c r="F208" s="293">
        <v>0</v>
      </c>
      <c r="G208" s="736"/>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customHeight="1" x14ac:dyDescent="0.3">
      <c r="A209" s="108">
        <v>101</v>
      </c>
      <c r="B209" s="4" t="s">
        <v>65</v>
      </c>
      <c r="C209" s="816" t="s">
        <v>1422</v>
      </c>
      <c r="D209" s="24" t="s">
        <v>1424</v>
      </c>
      <c r="E209" s="669" t="e">
        <f>HLOOKUP($D$2,'2020 Data(H)'!$C$1:$CZ$426,61,FALSE)</f>
        <v>#N/A</v>
      </c>
      <c r="F209" s="293">
        <v>0</v>
      </c>
      <c r="G209" s="727">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customHeight="1" x14ac:dyDescent="0.3">
      <c r="A210" s="108">
        <v>100</v>
      </c>
      <c r="B210" s="4" t="s">
        <v>66</v>
      </c>
      <c r="C210" s="816" t="s">
        <v>1422</v>
      </c>
      <c r="D210" s="24" t="s">
        <v>1421</v>
      </c>
      <c r="E210" s="669" t="e">
        <f>HLOOKUP($D$2,'2020 Data(H)'!$C$1:$CZ$426,60,FALSE)</f>
        <v>#N/A</v>
      </c>
      <c r="F210" s="293">
        <v>0</v>
      </c>
      <c r="G210" s="727">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hidden="1" x14ac:dyDescent="0.3">
      <c r="A211" s="108"/>
      <c r="B211" s="828" t="s">
        <v>71</v>
      </c>
      <c r="C211" s="841"/>
      <c r="D211" s="828"/>
      <c r="E211" s="828"/>
      <c r="F211" s="857"/>
      <c r="G211" s="844"/>
      <c r="H211" s="17"/>
      <c r="I211" s="79"/>
      <c r="J211" s="575"/>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hidden="1" customHeight="1" x14ac:dyDescent="0.3">
      <c r="A212" s="108">
        <v>512</v>
      </c>
      <c r="B212" s="559"/>
      <c r="C212" s="816" t="s">
        <v>165</v>
      </c>
      <c r="D212" s="24" t="s">
        <v>1425</v>
      </c>
      <c r="E212" s="669" t="e">
        <f>HLOOKUP($D$2,'2020 Data(H)'!$C$1:$CZ$426,162,FALSE)</f>
        <v>#N/A</v>
      </c>
      <c r="F212" s="293">
        <v>0</v>
      </c>
      <c r="G212" s="727">
        <f>IF(F212&lt;0,"Error: Enter as positive.",)</f>
        <v>0</v>
      </c>
      <c r="H212" s="17"/>
      <c r="I212" s="79"/>
      <c r="J212" s="575"/>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848" t="s">
        <v>737</v>
      </c>
      <c r="C213" s="849"/>
      <c r="D213" s="851"/>
      <c r="E213" s="858"/>
      <c r="F213" s="857"/>
      <c r="G213" s="844"/>
      <c r="H213" s="728"/>
      <c r="I213" s="729"/>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306">
        <v>656</v>
      </c>
      <c r="B214" s="306"/>
      <c r="C214" s="306"/>
      <c r="D214" s="749" t="s">
        <v>738</v>
      </c>
      <c r="E214" s="669" t="e">
        <f>HLOOKUP($D$2,'2020 Data(H)'!$C$1:$CZ$426,309,FALSE)</f>
        <v>#N/A</v>
      </c>
      <c r="F214" s="293">
        <v>0</v>
      </c>
      <c r="G214" s="727"/>
      <c r="H214" s="17"/>
      <c r="I214" s="79"/>
      <c r="J214" s="575"/>
      <c r="Z214" s="306"/>
      <c r="AA214" s="306"/>
      <c r="AB214" s="306"/>
      <c r="AC214" s="306"/>
      <c r="AD214" s="306"/>
      <c r="AE214" s="306"/>
      <c r="AF214" s="306"/>
      <c r="AG214" s="306"/>
      <c r="AH214" s="306"/>
      <c r="AI214" s="306"/>
      <c r="AJ214" s="306"/>
      <c r="AK214" s="306"/>
      <c r="AL214" s="306"/>
      <c r="AM214" s="306"/>
      <c r="AN214" s="306"/>
      <c r="AO214" s="306"/>
      <c r="AP214" s="306"/>
      <c r="AQ214" s="306"/>
      <c r="AR214" s="306"/>
    </row>
    <row r="215" spans="1:44" hidden="1" x14ac:dyDescent="0.3">
      <c r="A215" s="108"/>
      <c r="B215" s="848" t="s">
        <v>526</v>
      </c>
      <c r="C215" s="849"/>
      <c r="D215" s="851"/>
      <c r="E215" s="858"/>
      <c r="F215" s="857"/>
      <c r="G215" s="844"/>
      <c r="H215" s="728"/>
      <c r="I215" s="729"/>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08">
        <v>535</v>
      </c>
      <c r="B216" s="671" t="s">
        <v>55</v>
      </c>
      <c r="C216" s="671" t="s">
        <v>166</v>
      </c>
      <c r="D216" s="24" t="s">
        <v>1426</v>
      </c>
      <c r="E216" s="669" t="e">
        <f>HLOOKUP($D$2,'2020 Data(H)'!$C$1:$CZ$426,185,FALSE)</f>
        <v>#N/A</v>
      </c>
      <c r="F216" s="293">
        <v>0</v>
      </c>
      <c r="G216" s="727" t="str">
        <f>IF(F216&lt;1,"Reminder: Please make sure you have entered all cash and investments from bond/Debt proceeds, if applicable.",)</f>
        <v>Reminder: Please make sure you have entered all cash and investments from bond/Debt proceeds, if applicable.</v>
      </c>
      <c r="H216" s="728"/>
      <c r="I216" s="729"/>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08"/>
      <c r="B217" s="848" t="s">
        <v>29</v>
      </c>
      <c r="C217" s="849"/>
      <c r="D217" s="829"/>
      <c r="E217" s="829"/>
      <c r="F217" s="854"/>
      <c r="G217" s="846"/>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08"/>
      <c r="B218" s="559"/>
      <c r="C218" s="559"/>
      <c r="D218" s="750" t="s">
        <v>2</v>
      </c>
      <c r="E218" s="1"/>
      <c r="F218" s="164"/>
      <c r="G218" s="736"/>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08"/>
      <c r="B219" s="559"/>
      <c r="C219" s="559"/>
      <c r="D219" s="670" t="s">
        <v>1427</v>
      </c>
      <c r="E219" s="1"/>
      <c r="F219" s="164"/>
      <c r="G219" s="736"/>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08">
        <v>334</v>
      </c>
      <c r="B220" s="4" t="s">
        <v>56</v>
      </c>
      <c r="C220" s="4" t="s">
        <v>173</v>
      </c>
      <c r="D220" s="24" t="s">
        <v>1428</v>
      </c>
      <c r="E220" s="669" t="e">
        <f>HLOOKUP($D$2,'2020 Data(H)'!$C$1:$CZ$426,100,FALSE)</f>
        <v>#N/A</v>
      </c>
      <c r="F220" s="293">
        <v>0</v>
      </c>
      <c r="G220" s="736"/>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08">
        <v>373</v>
      </c>
      <c r="B221" s="4" t="s">
        <v>56</v>
      </c>
      <c r="C221" s="4" t="s">
        <v>173</v>
      </c>
      <c r="D221" s="29" t="s">
        <v>172</v>
      </c>
      <c r="E221" s="669" t="e">
        <f>HLOOKUP($D$2,'2020 Data(H)'!$C$1:$CZ$426,133,FALSE)</f>
        <v>#N/A</v>
      </c>
      <c r="F221" s="293">
        <v>0</v>
      </c>
      <c r="G221" s="727">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08">
        <v>987</v>
      </c>
      <c r="B222" s="815" t="s">
        <v>988</v>
      </c>
      <c r="C222" s="815"/>
      <c r="D222" s="751" t="s">
        <v>1233</v>
      </c>
      <c r="E222" s="669" t="s">
        <v>989</v>
      </c>
      <c r="F222" s="293">
        <v>0</v>
      </c>
      <c r="G222" s="752" t="str">
        <f>IF(F222="","If this question is not applicable please place a zero in the cell to the left","")</f>
        <v/>
      </c>
      <c r="H222" s="706"/>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815" t="s">
        <v>988</v>
      </c>
      <c r="C223" s="815"/>
      <c r="D223" s="751" t="s">
        <v>1231</v>
      </c>
      <c r="E223" s="669" t="s">
        <v>989</v>
      </c>
      <c r="F223" s="293"/>
      <c r="G223" s="727"/>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815" t="s">
        <v>988</v>
      </c>
      <c r="C224" s="815"/>
      <c r="D224" s="751" t="s">
        <v>1483</v>
      </c>
      <c r="E224" s="669" t="s">
        <v>1016</v>
      </c>
      <c r="F224" s="293"/>
      <c r="G224" s="727"/>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08"/>
      <c r="B225" s="859"/>
      <c r="C225" s="859"/>
      <c r="D225" s="860"/>
      <c r="E225" s="861"/>
      <c r="F225" s="862"/>
      <c r="G225" s="863"/>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08"/>
      <c r="B226" s="559"/>
      <c r="C226" s="559"/>
      <c r="D226" s="753" t="s">
        <v>1429</v>
      </c>
      <c r="E226" s="1"/>
      <c r="F226" s="373"/>
      <c r="G226" s="736"/>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08"/>
      <c r="B227" s="559"/>
      <c r="C227" s="559"/>
      <c r="D227" s="24" t="s">
        <v>1430</v>
      </c>
      <c r="E227" s="1"/>
      <c r="F227" s="373"/>
      <c r="G227" s="736"/>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08">
        <v>327</v>
      </c>
      <c r="B228" s="671" t="s">
        <v>37</v>
      </c>
      <c r="C228" s="671" t="s">
        <v>174</v>
      </c>
      <c r="D228" s="754" t="s">
        <v>1431</v>
      </c>
      <c r="E228" s="669" t="e">
        <f>HLOOKUP($D$2,'2020 Data(H)'!$C$1:$CZ$426,94,FALSE)</f>
        <v>#N/A</v>
      </c>
      <c r="F228" s="274">
        <v>0</v>
      </c>
      <c r="G228" s="736"/>
      <c r="H228" s="17"/>
      <c r="I228" s="729"/>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08">
        <v>328</v>
      </c>
      <c r="B229" s="671" t="s">
        <v>37</v>
      </c>
      <c r="C229" s="671" t="s">
        <v>174</v>
      </c>
      <c r="D229" s="30" t="s">
        <v>7</v>
      </c>
      <c r="E229" s="669" t="e">
        <f>HLOOKUP($D$2,'2020 Data(H)'!$C$1:$CZ$426,95,FALSE)</f>
        <v>#N/A</v>
      </c>
      <c r="F229" s="274">
        <v>0</v>
      </c>
      <c r="G229" s="736"/>
      <c r="H229" s="17"/>
      <c r="I229" s="729"/>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08"/>
      <c r="B230" s="559"/>
      <c r="C230" s="559"/>
      <c r="D230" s="31" t="s">
        <v>1432</v>
      </c>
      <c r="E230" s="101" t="e">
        <f>SUM(E228:E229)</f>
        <v>#N/A</v>
      </c>
      <c r="F230" s="101">
        <f>SUM(F228:F229)</f>
        <v>0</v>
      </c>
      <c r="G230" s="736"/>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08"/>
      <c r="B231" s="559"/>
      <c r="C231" s="559"/>
      <c r="D231" s="24" t="s">
        <v>1433</v>
      </c>
      <c r="E231" s="1"/>
      <c r="F231" s="373"/>
      <c r="G231" s="736"/>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08"/>
      <c r="B232" s="559"/>
      <c r="C232" s="559"/>
      <c r="D232" s="28" t="s">
        <v>9</v>
      </c>
      <c r="F232" s="755"/>
      <c r="G232" s="736"/>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08">
        <v>515</v>
      </c>
      <c r="B233" s="671" t="s">
        <v>522</v>
      </c>
      <c r="C233" s="671" t="s">
        <v>175</v>
      </c>
      <c r="D233" s="32" t="s">
        <v>3</v>
      </c>
      <c r="E233" s="669" t="e">
        <f>HLOOKUP($D$2,'2020 Data(H)'!$C$1:$CZ$426,165,FALSE)</f>
        <v>#N/A</v>
      </c>
      <c r="F233" s="293">
        <v>0</v>
      </c>
      <c r="G233" s="727"/>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08">
        <v>516</v>
      </c>
      <c r="B234" s="671" t="s">
        <v>522</v>
      </c>
      <c r="C234" s="671" t="s">
        <v>175</v>
      </c>
      <c r="D234" s="32" t="s">
        <v>4</v>
      </c>
      <c r="E234" s="669" t="e">
        <f>HLOOKUP($D$2,'2020 Data(H)'!$C$1:$CZ$426,166,FALSE)</f>
        <v>#N/A</v>
      </c>
      <c r="F234" s="293">
        <v>0</v>
      </c>
      <c r="G234" s="727"/>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08">
        <v>517</v>
      </c>
      <c r="B235" s="671" t="s">
        <v>522</v>
      </c>
      <c r="C235" s="671" t="s">
        <v>175</v>
      </c>
      <c r="D235" s="32" t="s">
        <v>5</v>
      </c>
      <c r="E235" s="669" t="e">
        <f>HLOOKUP($D$2,'2020 Data(H)'!$C$1:$CZ$426,167,FALSE)</f>
        <v>#N/A</v>
      </c>
      <c r="F235" s="293">
        <v>0</v>
      </c>
      <c r="G235" s="727"/>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08">
        <v>518</v>
      </c>
      <c r="B236" s="671" t="s">
        <v>522</v>
      </c>
      <c r="C236" s="671" t="s">
        <v>175</v>
      </c>
      <c r="D236" s="32" t="s">
        <v>39</v>
      </c>
      <c r="E236" s="669" t="e">
        <f>HLOOKUP($D$2,'2020 Data(H)'!$C$1:$CZ$426,168,FALSE)</f>
        <v>#N/A</v>
      </c>
      <c r="F236" s="293">
        <v>0</v>
      </c>
      <c r="G236" s="727"/>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297"/>
      <c r="B237" s="559"/>
      <c r="C237" s="559"/>
      <c r="D237" s="756" t="s">
        <v>1434</v>
      </c>
      <c r="E237" s="101" t="e">
        <f>SUM(E233:E236)</f>
        <v>#N/A</v>
      </c>
      <c r="F237" s="101">
        <f>SUM(F233:F236)</f>
        <v>0</v>
      </c>
      <c r="G237" s="736"/>
      <c r="H237" s="17"/>
      <c r="I237" s="79"/>
      <c r="Z237" s="297"/>
      <c r="AA237" s="297"/>
      <c r="AB237" s="297"/>
      <c r="AC237" s="297"/>
      <c r="AD237" s="297"/>
      <c r="AE237" s="297"/>
      <c r="AF237" s="297"/>
      <c r="AG237" s="297"/>
      <c r="AH237" s="297"/>
      <c r="AI237" s="297"/>
      <c r="AJ237" s="297"/>
      <c r="AK237" s="297"/>
      <c r="AL237" s="297"/>
      <c r="AM237" s="297"/>
      <c r="AN237" s="297"/>
      <c r="AO237" s="297"/>
      <c r="AP237" s="297"/>
      <c r="AQ237" s="297"/>
      <c r="AR237" s="297"/>
    </row>
    <row r="238" spans="1:44" ht="30.75" hidden="1" customHeight="1" x14ac:dyDescent="0.3">
      <c r="A238" s="108"/>
      <c r="B238" s="559"/>
      <c r="C238" s="559"/>
      <c r="D238" s="28" t="s">
        <v>48</v>
      </c>
      <c r="E238" s="1"/>
      <c r="F238" s="373"/>
      <c r="G238" s="736"/>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08">
        <v>519</v>
      </c>
      <c r="B239" s="671" t="s">
        <v>37</v>
      </c>
      <c r="C239" s="671" t="s">
        <v>176</v>
      </c>
      <c r="D239" s="32" t="s">
        <v>14</v>
      </c>
      <c r="E239" s="669" t="e">
        <f>HLOOKUP($D$2,'2020 Data(H)'!$C$1:$CZ$426,169,FALSE)</f>
        <v>#N/A</v>
      </c>
      <c r="F239" s="293">
        <v>0</v>
      </c>
      <c r="G239" s="727">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08">
        <v>520</v>
      </c>
      <c r="B240" s="671" t="s">
        <v>37</v>
      </c>
      <c r="C240" s="671" t="s">
        <v>176</v>
      </c>
      <c r="D240" s="32" t="s">
        <v>16</v>
      </c>
      <c r="E240" s="669" t="e">
        <f>HLOOKUP($D$2,'2020 Data(H)'!$C$1:$CZ$426,170,FALSE)</f>
        <v>#N/A</v>
      </c>
      <c r="F240" s="293">
        <v>0</v>
      </c>
      <c r="G240" s="727">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08">
        <v>521</v>
      </c>
      <c r="B241" s="671" t="s">
        <v>37</v>
      </c>
      <c r="C241" s="671" t="s">
        <v>176</v>
      </c>
      <c r="D241" s="32" t="s">
        <v>18</v>
      </c>
      <c r="E241" s="669" t="e">
        <f>HLOOKUP($D$2,'2020 Data(H)'!$C$1:$CZ$426,171,FALSE)</f>
        <v>#N/A</v>
      </c>
      <c r="F241" s="293">
        <v>0</v>
      </c>
      <c r="G241" s="727">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08">
        <v>522</v>
      </c>
      <c r="B242" s="671" t="s">
        <v>37</v>
      </c>
      <c r="C242" s="671" t="s">
        <v>176</v>
      </c>
      <c r="D242" s="32" t="s">
        <v>40</v>
      </c>
      <c r="E242" s="669" t="e">
        <f>HLOOKUP($D$2,'2020 Data(H)'!$C$1:$CZ$426,172,FALSE)</f>
        <v>#N/A</v>
      </c>
      <c r="F242" s="293">
        <v>0</v>
      </c>
      <c r="G242" s="727">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6"/>
      <c r="B243" s="559"/>
      <c r="C243" s="559"/>
      <c r="D243" s="757"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559"/>
      <c r="C244" s="559"/>
      <c r="D244" s="28" t="s">
        <v>32</v>
      </c>
      <c r="E244" s="6"/>
      <c r="F244" s="758"/>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8">
        <v>523</v>
      </c>
      <c r="B245" s="671" t="s">
        <v>522</v>
      </c>
      <c r="C245" s="671" t="s">
        <v>177</v>
      </c>
      <c r="D245" s="32" t="s">
        <v>15</v>
      </c>
      <c r="E245" s="669" t="e">
        <f>HLOOKUP($D$2,'2020 Data(H)'!$C$1:$CZ$426,173,FALSE)</f>
        <v>#N/A</v>
      </c>
      <c r="F245" s="293">
        <v>0</v>
      </c>
      <c r="G245" s="727">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08">
        <v>524</v>
      </c>
      <c r="B246" s="671" t="s">
        <v>522</v>
      </c>
      <c r="C246" s="671" t="s">
        <v>177</v>
      </c>
      <c r="D246" s="32" t="s">
        <v>17</v>
      </c>
      <c r="E246" s="669" t="e">
        <f>HLOOKUP($D$2,'2020 Data(H)'!$C$1:$CZ$426,174,FALSE)</f>
        <v>#N/A</v>
      </c>
      <c r="F246" s="293">
        <v>0</v>
      </c>
      <c r="G246" s="727">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08">
        <v>525</v>
      </c>
      <c r="B247" s="671" t="s">
        <v>522</v>
      </c>
      <c r="C247" s="671" t="s">
        <v>177</v>
      </c>
      <c r="D247" s="32" t="s">
        <v>19</v>
      </c>
      <c r="E247" s="669" t="e">
        <f>HLOOKUP($D$2,'2020 Data(H)'!$C$1:$CZ$426,175,FALSE)</f>
        <v>#N/A</v>
      </c>
      <c r="F247" s="293">
        <v>0</v>
      </c>
      <c r="G247" s="727">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08">
        <v>526</v>
      </c>
      <c r="B248" s="671" t="s">
        <v>522</v>
      </c>
      <c r="C248" s="671" t="s">
        <v>177</v>
      </c>
      <c r="D248" s="32" t="s">
        <v>41</v>
      </c>
      <c r="E248" s="669" t="e">
        <f>HLOOKUP($D$2,'2020 Data(H)'!$C$1:$CZ$426,176,FALSE)</f>
        <v>#N/A</v>
      </c>
      <c r="F248" s="293">
        <v>0</v>
      </c>
      <c r="G248" s="727">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08"/>
      <c r="B249" s="817"/>
      <c r="C249" s="817"/>
      <c r="D249" s="757" t="s">
        <v>33</v>
      </c>
      <c r="E249" s="101" t="e">
        <f>SUM(E245:E248)</f>
        <v>#N/A</v>
      </c>
      <c r="F249" s="101">
        <f>SUM(F245:F248)</f>
        <v>0</v>
      </c>
      <c r="G249" s="736"/>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08"/>
      <c r="B250" s="817"/>
      <c r="C250" s="817"/>
      <c r="D250" s="759" t="s">
        <v>35</v>
      </c>
      <c r="E250" s="101" t="e">
        <f>E230+E237-E249</f>
        <v>#N/A</v>
      </c>
      <c r="F250" s="101">
        <f>F230+F237-F249</f>
        <v>0</v>
      </c>
      <c r="G250" s="736"/>
      <c r="H250" s="17"/>
      <c r="I250" s="79"/>
      <c r="J250" s="575"/>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08"/>
      <c r="B251" s="559"/>
      <c r="C251" s="559"/>
      <c r="D251" s="750"/>
      <c r="E251" s="1"/>
      <c r="F251" s="373"/>
      <c r="G251" s="736"/>
      <c r="H251" s="17"/>
      <c r="I251" s="79"/>
      <c r="J251" s="575"/>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customHeight="1" x14ac:dyDescent="0.3">
      <c r="A252" s="108"/>
      <c r="B252" s="859"/>
      <c r="C252" s="859"/>
      <c r="D252" s="850" t="s">
        <v>8</v>
      </c>
      <c r="E252" s="861"/>
      <c r="F252" s="862"/>
      <c r="G252" s="863"/>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customHeight="1" x14ac:dyDescent="0.3">
      <c r="A253" s="108">
        <v>527</v>
      </c>
      <c r="B253" s="671" t="s">
        <v>58</v>
      </c>
      <c r="C253" s="671" t="s">
        <v>178</v>
      </c>
      <c r="D253" s="29" t="s">
        <v>1435</v>
      </c>
      <c r="E253" s="669" t="e">
        <f>HLOOKUP($D$2,'2020 Data(H)'!$C$1:$CZ$426,177,FALSE)</f>
        <v>#N/A</v>
      </c>
      <c r="F253" s="293">
        <v>0</v>
      </c>
      <c r="G253" s="736"/>
      <c r="H253" s="17"/>
      <c r="I253" s="729"/>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customHeight="1" x14ac:dyDescent="0.3">
      <c r="A254" s="108">
        <v>356</v>
      </c>
      <c r="B254" s="671" t="s">
        <v>66</v>
      </c>
      <c r="C254" s="671" t="s">
        <v>178</v>
      </c>
      <c r="D254" s="107" t="s">
        <v>20</v>
      </c>
      <c r="E254" s="669" t="e">
        <f>HLOOKUP($D$2,'2020 Data(H)'!$C$1:$CZ$426,118,FALSE)</f>
        <v>#N/A</v>
      </c>
      <c r="F254" s="293">
        <v>0</v>
      </c>
      <c r="G254" s="736"/>
      <c r="H254" s="17"/>
      <c r="I254" s="729"/>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customHeight="1" x14ac:dyDescent="0.3">
      <c r="A255" s="108">
        <v>357</v>
      </c>
      <c r="B255" s="671" t="s">
        <v>56</v>
      </c>
      <c r="C255" s="671" t="s">
        <v>179</v>
      </c>
      <c r="D255" s="107" t="s">
        <v>21</v>
      </c>
      <c r="E255" s="669" t="e">
        <f>HLOOKUP($D$2,'2020 Data(H)'!$C$1:$CZ$426,119,FALSE)</f>
        <v>#N/A</v>
      </c>
      <c r="F255" s="293">
        <v>0</v>
      </c>
      <c r="G255" s="727">
        <f>IF(F255&lt;0,"Error: Enter as positive.",)</f>
        <v>0</v>
      </c>
      <c r="H255" s="17"/>
      <c r="I255" s="729"/>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08"/>
      <c r="B256" s="848" t="s">
        <v>10</v>
      </c>
      <c r="C256" s="849"/>
      <c r="D256" s="828"/>
      <c r="E256" s="829"/>
      <c r="F256" s="864"/>
      <c r="G256" s="846"/>
      <c r="H256" s="17"/>
      <c r="I256" s="79"/>
      <c r="N256" s="295"/>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08">
        <v>337</v>
      </c>
      <c r="B257" s="4" t="s">
        <v>56</v>
      </c>
      <c r="C257" s="4" t="s">
        <v>1436</v>
      </c>
      <c r="D257" s="24" t="s">
        <v>1234</v>
      </c>
      <c r="E257" s="669" t="e">
        <f>HLOOKUP($D$2,'2020 Data(H)'!$C$1:$CZ$426,103,FALSE)</f>
        <v>#N/A</v>
      </c>
      <c r="F257" s="293">
        <v>0</v>
      </c>
      <c r="G257" s="727">
        <f>IF(F257&lt;0,"Error: Enter as positive.",)</f>
        <v>0</v>
      </c>
      <c r="H257" s="17"/>
      <c r="I257" s="79"/>
      <c r="N257" s="295"/>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08">
        <v>343</v>
      </c>
      <c r="B258" s="4" t="s">
        <v>56</v>
      </c>
      <c r="C258" s="4" t="s">
        <v>617</v>
      </c>
      <c r="D258" s="29" t="s">
        <v>1437</v>
      </c>
      <c r="E258" s="669" t="e">
        <f>HLOOKUP($D$2,'2020 Data(H)'!$C$1:$CZ$426,109,FALSE)</f>
        <v>#N/A</v>
      </c>
      <c r="F258" s="293">
        <v>0</v>
      </c>
      <c r="G258" s="727">
        <f>IF(F258&lt;0,"Error: Enter as positive.",)</f>
        <v>0</v>
      </c>
      <c r="H258" s="17"/>
      <c r="I258" s="79"/>
      <c r="M258" s="98"/>
      <c r="N258" s="295"/>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08">
        <v>82</v>
      </c>
      <c r="B259" s="4" t="s">
        <v>61</v>
      </c>
      <c r="C259" s="4" t="s">
        <v>1438</v>
      </c>
      <c r="D259" s="24" t="s">
        <v>815</v>
      </c>
      <c r="E259" s="669" t="e">
        <f>HLOOKUP($D$2,'2020 Data(H)'!$C$1:$CZ$426,46,FALSE)</f>
        <v>#N/A</v>
      </c>
      <c r="F259" s="293">
        <v>0</v>
      </c>
      <c r="G259" s="727">
        <f>IF(F259&lt;0,"Error: Enter as positive.",)</f>
        <v>0</v>
      </c>
      <c r="H259" s="17"/>
      <c r="I259" s="760"/>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08">
        <v>359</v>
      </c>
      <c r="B260" s="4" t="s">
        <v>56</v>
      </c>
      <c r="C260" s="4" t="s">
        <v>1439</v>
      </c>
      <c r="D260" s="24" t="s">
        <v>815</v>
      </c>
      <c r="E260" s="669" t="e">
        <f>HLOOKUP($D$2,'2020 Data(H)'!$C$1:$CZ$426,120,FALSE)</f>
        <v>#N/A</v>
      </c>
      <c r="F260" s="293">
        <v>0</v>
      </c>
      <c r="G260" s="727">
        <f>IF(F260&lt;0,"Error: Enter as positive.",)</f>
        <v>0</v>
      </c>
      <c r="H260" s="17"/>
      <c r="I260" s="760"/>
      <c r="J260" s="575"/>
      <c r="L260" s="761"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63" customFormat="1" ht="33" customHeight="1" x14ac:dyDescent="0.3">
      <c r="A261" s="108"/>
      <c r="B261" s="813" t="s">
        <v>646</v>
      </c>
      <c r="C261" s="814"/>
      <c r="D261" s="96"/>
      <c r="E261" s="762"/>
      <c r="F261" s="748"/>
      <c r="G261" s="726"/>
      <c r="H261" s="17"/>
      <c r="I261" s="760"/>
      <c r="J261" s="18"/>
      <c r="K261" s="18"/>
      <c r="L261" s="18"/>
      <c r="M261" s="18"/>
      <c r="N261" s="295"/>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63" customFormat="1" ht="110.25" customHeight="1" x14ac:dyDescent="0.3">
      <c r="A262" s="124">
        <v>622</v>
      </c>
      <c r="B262" s="764" t="s">
        <v>570</v>
      </c>
      <c r="C262" s="124" t="s">
        <v>645</v>
      </c>
      <c r="D262" s="124" t="s">
        <v>1332</v>
      </c>
      <c r="E262" s="669" t="e">
        <f>HLOOKUP($D$2,'2020 Data(H)'!$C$1:$CZ$426,282,FALSE)</f>
        <v>#N/A</v>
      </c>
      <c r="F262" s="293">
        <v>0</v>
      </c>
      <c r="G262" s="727"/>
      <c r="H262" s="17"/>
      <c r="I262" s="760"/>
      <c r="J262" s="18"/>
      <c r="K262" s="18"/>
      <c r="L262" s="18"/>
      <c r="M262" s="18"/>
      <c r="N262" s="295"/>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63" customFormat="1" ht="225" customHeight="1" x14ac:dyDescent="0.3">
      <c r="A263" s="108">
        <v>577</v>
      </c>
      <c r="B263" s="671"/>
      <c r="C263" s="671" t="s">
        <v>537</v>
      </c>
      <c r="D263" s="350" t="s">
        <v>614</v>
      </c>
      <c r="E263" s="374"/>
      <c r="F263" s="293"/>
      <c r="G263" s="1077" t="str">
        <f>IF(F263="Yes","In this cell - Please include the name of the plan, a brief description of the benefit and the population group that received the benefits."," ")</f>
        <v xml:space="preserve"> </v>
      </c>
      <c r="H263" s="17"/>
      <c r="I263" s="760"/>
      <c r="J263" s="575"/>
      <c r="K263" s="18"/>
      <c r="L263" s="18"/>
      <c r="M263" s="18"/>
      <c r="N263" s="295"/>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63" customFormat="1" ht="30.75" hidden="1" customHeight="1" x14ac:dyDescent="0.3">
      <c r="A264" s="108"/>
      <c r="B264" s="813" t="s">
        <v>524</v>
      </c>
      <c r="C264" s="814"/>
      <c r="D264" s="96"/>
      <c r="E264" s="762"/>
      <c r="F264" s="765"/>
      <c r="G264" s="726"/>
      <c r="H264" s="17"/>
      <c r="I264" s="79"/>
      <c r="J264" s="18"/>
      <c r="K264" s="18"/>
      <c r="L264" s="18"/>
      <c r="M264" s="18"/>
      <c r="N264" s="295"/>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63" customFormat="1" ht="81.75" hidden="1" customHeight="1" x14ac:dyDescent="0.3">
      <c r="A265" s="108">
        <v>598</v>
      </c>
      <c r="B265" s="671" t="s">
        <v>59</v>
      </c>
      <c r="C265" s="671" t="s">
        <v>525</v>
      </c>
      <c r="D265" s="705" t="s">
        <v>618</v>
      </c>
      <c r="E265" s="669" t="e">
        <f>HLOOKUP($D$2,'2020 Data(H)'!$C$1:$CZ$426,258,FALSE)</f>
        <v>#N/A</v>
      </c>
      <c r="F265" s="293">
        <v>0</v>
      </c>
      <c r="G265" s="727">
        <f>IF(F265&lt;0,"Error: Enter as positive.",)</f>
        <v>0</v>
      </c>
      <c r="H265" s="727"/>
      <c r="I265" s="760"/>
      <c r="J265" s="575"/>
      <c r="K265" s="18"/>
      <c r="L265" s="18"/>
      <c r="M265" s="18"/>
      <c r="N265" s="295"/>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63" customFormat="1" ht="53.25" hidden="1" customHeight="1" x14ac:dyDescent="0.3">
      <c r="A266" s="108">
        <v>599</v>
      </c>
      <c r="B266" s="671" t="s">
        <v>59</v>
      </c>
      <c r="C266" s="671" t="s">
        <v>525</v>
      </c>
      <c r="D266" s="29" t="s">
        <v>619</v>
      </c>
      <c r="E266" s="669" t="e">
        <f>HLOOKUP($D$2,'2020 Data(H)'!$C$1:$CZ$426,259,FALSE)</f>
        <v>#N/A</v>
      </c>
      <c r="F266" s="293">
        <v>0</v>
      </c>
      <c r="G266" s="767" t="str">
        <f>IF(ISBLANK(F266),"Please do not leave blank","")</f>
        <v/>
      </c>
      <c r="H266" s="727">
        <f>IF(F266&lt;0,"Error: Enter as positive.",)</f>
        <v>0</v>
      </c>
      <c r="I266" s="79"/>
      <c r="J266" s="761"/>
      <c r="K266" s="18"/>
      <c r="L266" s="18"/>
      <c r="M266" s="18"/>
      <c r="N266" s="295"/>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63" customFormat="1" ht="78.75" hidden="1" customHeight="1" x14ac:dyDescent="0.3">
      <c r="A267" s="108">
        <v>602</v>
      </c>
      <c r="B267" s="671" t="s">
        <v>59</v>
      </c>
      <c r="C267" s="671" t="s">
        <v>525</v>
      </c>
      <c r="D267" s="107" t="s">
        <v>623</v>
      </c>
      <c r="E267" s="669" t="e">
        <f>HLOOKUP($D$2,'2020 Data(H)'!$C$1:$CZ$426,262,FALSE)</f>
        <v>#N/A</v>
      </c>
      <c r="F267" s="293">
        <v>0</v>
      </c>
      <c r="G267" s="767" t="str">
        <f>IF(ISBLANK(F267),"Please do not leave blank","")</f>
        <v/>
      </c>
      <c r="H267" s="727">
        <f>IF(F267&lt;0,"Note: Number is normally positive.",)</f>
        <v>0</v>
      </c>
      <c r="I267" s="79"/>
      <c r="J267" s="575"/>
      <c r="K267" s="18"/>
      <c r="L267" s="18"/>
      <c r="M267" s="18"/>
      <c r="N267" s="295"/>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63" customFormat="1" ht="90" hidden="1" customHeight="1" x14ac:dyDescent="0.3">
      <c r="A268" s="108">
        <v>619</v>
      </c>
      <c r="B268" s="671" t="s">
        <v>59</v>
      </c>
      <c r="C268" s="671" t="s">
        <v>638</v>
      </c>
      <c r="D268" s="94" t="s">
        <v>643</v>
      </c>
      <c r="E268" s="35" t="e">
        <f>HLOOKUP($D$2,'2020 Data(H)'!$C$1:$CZ$426,279,FALSE)</f>
        <v>#N/A</v>
      </c>
      <c r="F268" s="881">
        <v>0</v>
      </c>
      <c r="G268" s="767" t="str">
        <f>IF(ISBLANK(F268),"Please do not leave blank ",IF(F268=H268,"","Please review percentage"))</f>
        <v/>
      </c>
      <c r="H268" s="768">
        <f>ROUND(IFERROR((F267/F266)*100,0),1)</f>
        <v>0</v>
      </c>
      <c r="I268" s="295"/>
      <c r="J268" s="18"/>
      <c r="K268" s="18"/>
      <c r="L268" s="18"/>
      <c r="M268" s="18"/>
      <c r="N268" s="295"/>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48" t="s">
        <v>25</v>
      </c>
      <c r="C269" s="849"/>
      <c r="D269" s="851"/>
      <c r="E269" s="865"/>
      <c r="F269" s="866"/>
      <c r="G269" s="836"/>
      <c r="H269" s="17"/>
      <c r="I269" s="79"/>
      <c r="J269" s="575"/>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3">
      <c r="A270" s="125">
        <v>621</v>
      </c>
      <c r="B270" s="125" t="s">
        <v>570</v>
      </c>
      <c r="C270" s="124" t="s">
        <v>647</v>
      </c>
      <c r="D270" s="124" t="s">
        <v>1333</v>
      </c>
      <c r="E270" s="669" t="e">
        <f>HLOOKUP($D$2,'2020 Data(H)'!$C$1:$CZ$426,281,FALSE)</f>
        <v>#N/A</v>
      </c>
      <c r="F270" s="293">
        <v>0</v>
      </c>
      <c r="G270" s="767" t="s">
        <v>1334</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71"/>
      <c r="C271" s="671" t="s">
        <v>167</v>
      </c>
      <c r="D271" s="668" t="s">
        <v>528</v>
      </c>
      <c r="E271" s="669" t="e">
        <f>HLOOKUP($D$2,'2020 Data(H)'!$C$1:$CZ$426,197,FALSE)</f>
        <v>#N/A</v>
      </c>
      <c r="F271" s="735"/>
      <c r="G271" s="766" t="str">
        <f>IF(F271&lt;1,"Please answer this question","")</f>
        <v>Please answer this question</v>
      </c>
      <c r="H271" s="728"/>
      <c r="I271" s="729"/>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6">
        <v>659</v>
      </c>
      <c r="B272" s="811" t="s">
        <v>59</v>
      </c>
      <c r="C272" s="811" t="s">
        <v>633</v>
      </c>
      <c r="D272" s="309" t="s">
        <v>1335</v>
      </c>
      <c r="E272" s="669" t="e">
        <f>HLOOKUP($D$2,'2020 Data(H)'!$C$1:$CZ$426,312,FALSE)</f>
        <v>#N/A</v>
      </c>
      <c r="F272" s="294">
        <v>0</v>
      </c>
      <c r="G272" s="767" t="s">
        <v>1336</v>
      </c>
      <c r="H272" s="727">
        <f>IF(F269&lt;0,"Error: Enter as positive.",)</f>
        <v>0</v>
      </c>
      <c r="I272" s="372"/>
      <c r="N272" s="295"/>
      <c r="Z272" s="306"/>
      <c r="AA272" s="306"/>
      <c r="AB272" s="306"/>
      <c r="AC272" s="306"/>
      <c r="AD272" s="306"/>
      <c r="AE272" s="306"/>
      <c r="AF272" s="306"/>
      <c r="AG272" s="306"/>
      <c r="AH272" s="306"/>
      <c r="AI272" s="306"/>
      <c r="AJ272" s="306"/>
      <c r="AK272" s="306"/>
      <c r="AL272" s="306"/>
      <c r="AM272" s="306"/>
      <c r="AN272" s="306"/>
      <c r="AO272" s="306"/>
      <c r="AP272" s="306"/>
      <c r="AQ272" s="306"/>
      <c r="AR272" s="306"/>
    </row>
    <row r="273" spans="1:44" ht="65.25" customHeight="1" x14ac:dyDescent="0.3">
      <c r="A273" s="306">
        <v>660</v>
      </c>
      <c r="B273" s="811" t="s">
        <v>59</v>
      </c>
      <c r="C273" s="811" t="s">
        <v>633</v>
      </c>
      <c r="D273" s="309" t="s">
        <v>1337</v>
      </c>
      <c r="E273" s="669" t="e">
        <f>HLOOKUP($D$2,'2020 Data(H)'!$C$1:$CZ$426,313,FALSE)</f>
        <v>#N/A</v>
      </c>
      <c r="F273" s="294">
        <v>0</v>
      </c>
      <c r="G273" s="767" t="str">
        <f>IF(ISBLANK(F273),"Please do not leave blank","")</f>
        <v/>
      </c>
      <c r="H273" s="727">
        <f>IF(F270&lt;0,"Note: Number is normally positive.",)</f>
        <v>0</v>
      </c>
      <c r="I273" s="17"/>
      <c r="Z273" s="306"/>
      <c r="AA273" s="306"/>
      <c r="AB273" s="306"/>
      <c r="AC273" s="306"/>
      <c r="AD273" s="306"/>
      <c r="AE273" s="306"/>
      <c r="AF273" s="306"/>
      <c r="AG273" s="306"/>
      <c r="AH273" s="306"/>
      <c r="AI273" s="306"/>
      <c r="AJ273" s="306"/>
      <c r="AK273" s="306"/>
      <c r="AL273" s="306"/>
      <c r="AM273" s="306"/>
      <c r="AN273" s="306"/>
      <c r="AO273" s="306"/>
      <c r="AP273" s="306"/>
      <c r="AQ273" s="306"/>
      <c r="AR273" s="306"/>
    </row>
    <row r="274" spans="1:44" ht="94.5" customHeight="1" x14ac:dyDescent="0.3">
      <c r="A274" s="306">
        <v>661</v>
      </c>
      <c r="B274" s="811" t="s">
        <v>59</v>
      </c>
      <c r="C274" s="811" t="s">
        <v>637</v>
      </c>
      <c r="D274" s="636" t="s">
        <v>1338</v>
      </c>
      <c r="E274" s="375" t="e">
        <f>HLOOKUP($D$2,'2020 Data(H)'!$C$1:$CZ$426,314,FALSE)</f>
        <v>#N/A</v>
      </c>
      <c r="F274" s="273">
        <v>0</v>
      </c>
      <c r="G274" s="767" t="str">
        <f>IF(ISBLANK(F274),"Please do not leave blank ",IF(F274=H274,"","Please review percentage"))</f>
        <v/>
      </c>
      <c r="H274" s="768">
        <f>ROUND(IFERROR((F273/F272)*100,0),1)</f>
        <v>0</v>
      </c>
      <c r="I274" s="768"/>
      <c r="Z274" s="306"/>
      <c r="AA274" s="306"/>
      <c r="AB274" s="306"/>
      <c r="AC274" s="306"/>
      <c r="AD274" s="306"/>
      <c r="AE274" s="306"/>
      <c r="AF274" s="306"/>
      <c r="AG274" s="306"/>
      <c r="AH274" s="306"/>
      <c r="AI274" s="306"/>
      <c r="AJ274" s="306"/>
      <c r="AK274" s="306"/>
      <c r="AL274" s="306"/>
      <c r="AM274" s="306"/>
      <c r="AN274" s="306"/>
      <c r="AO274" s="306"/>
      <c r="AP274" s="306"/>
      <c r="AQ274" s="306"/>
      <c r="AR274" s="306"/>
    </row>
    <row r="275" spans="1:44" ht="111.75" customHeight="1" x14ac:dyDescent="0.3">
      <c r="A275" s="108"/>
      <c r="B275" s="671"/>
      <c r="C275" s="671"/>
      <c r="D275" s="27" t="s">
        <v>26</v>
      </c>
      <c r="E275" s="673"/>
      <c r="F275" s="676"/>
      <c r="G275" s="767"/>
      <c r="H275" s="768"/>
      <c r="I275" s="769"/>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08"/>
      <c r="B276" s="848" t="s">
        <v>27</v>
      </c>
      <c r="C276" s="849"/>
      <c r="D276" s="851"/>
      <c r="E276" s="865"/>
      <c r="F276" s="865"/>
      <c r="G276" s="836"/>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33">
        <v>371</v>
      </c>
      <c r="B277" s="4" t="s">
        <v>56</v>
      </c>
      <c r="C277" s="4" t="s">
        <v>168</v>
      </c>
      <c r="D277" s="24" t="s">
        <v>1440</v>
      </c>
      <c r="E277" s="669" t="e">
        <f>HLOOKUP($D$2,'2020 Data(H)'!$C$1:$CZ$426,132,FALSE)</f>
        <v>#N/A</v>
      </c>
      <c r="F277" s="294">
        <v>0</v>
      </c>
      <c r="G277" s="727">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08">
        <v>513</v>
      </c>
      <c r="B278" s="809" t="s">
        <v>58</v>
      </c>
      <c r="C278" s="4" t="s">
        <v>168</v>
      </c>
      <c r="D278" s="24" t="s">
        <v>1441</v>
      </c>
      <c r="E278" s="669" t="e">
        <f>HLOOKUP($D$2,'2020 Data(H)'!$C$1:$CZ$426,163,FALSE)</f>
        <v>#N/A</v>
      </c>
      <c r="F278" s="294">
        <v>0</v>
      </c>
      <c r="G278" s="727">
        <f>IF(F278&lt;0,"Error: Enter as positive.",)</f>
        <v>0</v>
      </c>
      <c r="H278" s="728"/>
      <c r="I278" s="729"/>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08">
        <v>514</v>
      </c>
      <c r="B279" s="809" t="s">
        <v>58</v>
      </c>
      <c r="C279" s="4" t="s">
        <v>168</v>
      </c>
      <c r="D279" s="24" t="s">
        <v>1442</v>
      </c>
      <c r="E279" s="669" t="e">
        <f>HLOOKUP($D$2,'2020 Data(H)'!$C$1:$CZ$426,164,FALSE)</f>
        <v>#N/A</v>
      </c>
      <c r="F279" s="294">
        <v>0</v>
      </c>
      <c r="G279" s="727">
        <f>IF(F279&lt;0,"Error: Enter as positive.",)</f>
        <v>0</v>
      </c>
      <c r="H279" s="17"/>
      <c r="I279" s="729"/>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08">
        <v>990</v>
      </c>
      <c r="B280" s="818" t="s">
        <v>981</v>
      </c>
      <c r="C280" s="815" t="s">
        <v>168</v>
      </c>
      <c r="D280" s="751" t="s">
        <v>982</v>
      </c>
      <c r="E280" s="671" t="s">
        <v>958</v>
      </c>
      <c r="F280" s="294">
        <v>0</v>
      </c>
      <c r="G280" s="727"/>
      <c r="H280" s="17"/>
      <c r="I280" s="729"/>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hidden="1" customHeight="1" x14ac:dyDescent="0.3">
      <c r="A281" s="108"/>
      <c r="B281" s="848" t="s">
        <v>28</v>
      </c>
      <c r="C281" s="849"/>
      <c r="D281" s="851"/>
      <c r="E281" s="865"/>
      <c r="F281" s="836"/>
      <c r="G281" s="836"/>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hidden="1" customHeight="1" x14ac:dyDescent="0.3">
      <c r="A282" s="108">
        <v>6</v>
      </c>
      <c r="B282" s="4" t="s">
        <v>55</v>
      </c>
      <c r="C282" s="4" t="s">
        <v>169</v>
      </c>
      <c r="D282" s="24" t="s">
        <v>1443</v>
      </c>
      <c r="E282" s="669" t="e">
        <f>HLOOKUP($D$2,'2020 Data(H)'!$C$1:$CZ$426,5,FALSE)</f>
        <v>#N/A</v>
      </c>
      <c r="F282" s="294">
        <v>0</v>
      </c>
      <c r="G282" s="727">
        <f>IF(F282&lt;0,"Error: Enter as positive.",)</f>
        <v>0</v>
      </c>
      <c r="H282" s="17"/>
      <c r="I282" s="79"/>
      <c r="J282" s="575"/>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08"/>
      <c r="B283" s="848" t="s">
        <v>180</v>
      </c>
      <c r="C283" s="849"/>
      <c r="D283" s="851"/>
      <c r="E283" s="867"/>
      <c r="F283" s="844"/>
      <c r="G283" s="844"/>
      <c r="H283" s="728"/>
      <c r="I283" s="729"/>
      <c r="J283" s="575"/>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08">
        <v>541</v>
      </c>
      <c r="B284" s="671" t="s">
        <v>59</v>
      </c>
      <c r="C284" s="671" t="s">
        <v>1444</v>
      </c>
      <c r="D284" s="668" t="s">
        <v>1445</v>
      </c>
      <c r="E284" s="669" t="e">
        <f>HLOOKUP($D$2,'2020 Data(H)'!$C$1:$CZ$426,191,FALSE)</f>
        <v>#N/A</v>
      </c>
      <c r="F284" s="294">
        <v>0</v>
      </c>
      <c r="G284" s="727"/>
      <c r="H284" s="728"/>
      <c r="I284" s="729"/>
      <c r="J284" s="575"/>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08"/>
      <c r="B285" s="849" t="s">
        <v>50</v>
      </c>
      <c r="C285" s="849"/>
      <c r="D285" s="851"/>
      <c r="E285" s="867"/>
      <c r="F285" s="863"/>
      <c r="G285" s="863"/>
      <c r="H285" s="728"/>
      <c r="I285" s="729"/>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08">
        <v>542</v>
      </c>
      <c r="B286" s="671" t="s">
        <v>59</v>
      </c>
      <c r="C286" s="819" t="s">
        <v>1446</v>
      </c>
      <c r="D286" s="29" t="s">
        <v>170</v>
      </c>
      <c r="E286" s="669" t="e">
        <f>HLOOKUP($D$2,'2020 Data(H)'!$C$1:$CZ$426,192,FALSE)</f>
        <v>#N/A</v>
      </c>
      <c r="F286" s="294">
        <v>0</v>
      </c>
      <c r="G286" s="727"/>
      <c r="H286" s="728"/>
      <c r="I286" s="770"/>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08"/>
      <c r="B287" s="848" t="s">
        <v>1447</v>
      </c>
      <c r="C287" s="848"/>
      <c r="D287" s="828"/>
      <c r="E287" s="829"/>
      <c r="F287" s="846"/>
      <c r="G287" s="846"/>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08"/>
      <c r="B288" s="868" t="s">
        <v>12</v>
      </c>
      <c r="C288" s="868"/>
      <c r="D288" s="828"/>
      <c r="E288" s="829"/>
      <c r="F288" s="869"/>
      <c r="G288" s="846"/>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34">
        <v>528</v>
      </c>
      <c r="B289" s="671" t="s">
        <v>55</v>
      </c>
      <c r="C289" s="4" t="s">
        <v>171</v>
      </c>
      <c r="D289" s="608" t="s">
        <v>1484</v>
      </c>
      <c r="E289" s="669" t="e">
        <f>HLOOKUP($D$2,'2020 Data(H)'!$C$1:$CZ$426,178,FALSE)</f>
        <v>#N/A</v>
      </c>
      <c r="F289" s="294">
        <v>0</v>
      </c>
      <c r="G289" s="727">
        <f>IF(F289="","Error: Unit must enter this information if they levy taxes.",)</f>
        <v>0</v>
      </c>
      <c r="H289" s="771"/>
      <c r="I289" s="79"/>
      <c r="J289" s="772"/>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34">
        <v>529</v>
      </c>
      <c r="B290" s="671" t="s">
        <v>55</v>
      </c>
      <c r="C290" s="4" t="s">
        <v>171</v>
      </c>
      <c r="D290" s="608" t="s">
        <v>1448</v>
      </c>
      <c r="E290" s="669" t="e">
        <f>HLOOKUP($D$2,'2020 Data(H)'!$C$1:$CZ$426,179,FALSE)</f>
        <v>#N/A</v>
      </c>
      <c r="F290" s="294">
        <v>0</v>
      </c>
      <c r="G290" s="727">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34">
        <v>530</v>
      </c>
      <c r="B291" s="671" t="s">
        <v>55</v>
      </c>
      <c r="C291" s="4" t="s">
        <v>171</v>
      </c>
      <c r="D291" s="820" t="s">
        <v>1449</v>
      </c>
      <c r="E291" s="669" t="e">
        <f>HLOOKUP($D$2,'2020 Data(H)'!$C$1:$CZ$426,180,FALSE)</f>
        <v>#N/A</v>
      </c>
      <c r="F291" s="294">
        <v>0</v>
      </c>
      <c r="G291" s="727">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34">
        <v>531</v>
      </c>
      <c r="B292" s="671" t="s">
        <v>55</v>
      </c>
      <c r="C292" s="4" t="s">
        <v>171</v>
      </c>
      <c r="D292" s="820" t="s">
        <v>1450</v>
      </c>
      <c r="E292" s="669" t="e">
        <f>HLOOKUP($D$2,'2020 Data(H)'!$C$1:$CZ$426,181,FALSE)</f>
        <v>#N/A</v>
      </c>
      <c r="F292" s="294">
        <v>0</v>
      </c>
      <c r="G292" s="727">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08">
        <v>61</v>
      </c>
      <c r="B293" s="4" t="s">
        <v>59</v>
      </c>
      <c r="C293" s="4" t="s">
        <v>171</v>
      </c>
      <c r="D293" s="29" t="s">
        <v>1451</v>
      </c>
      <c r="E293" s="35" t="e">
        <f>HLOOKUP($D$2,'2020 Data(H)'!$C$1:$CZ$426,43,FALSE)</f>
        <v>#N/A</v>
      </c>
      <c r="F293" s="281">
        <v>0</v>
      </c>
      <c r="G293" s="727" t="e">
        <f>IF(F293=H293," ","Please check values in account 528, 529, 530 and  531.")</f>
        <v>#DIV/0!</v>
      </c>
      <c r="H293" s="773"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08">
        <v>102</v>
      </c>
      <c r="B294" s="4" t="s">
        <v>59</v>
      </c>
      <c r="C294" s="4" t="s">
        <v>171</v>
      </c>
      <c r="D294" s="60" t="s">
        <v>1452</v>
      </c>
      <c r="E294" s="35" t="e">
        <f>HLOOKUP($D$2,'2020 Data(H)'!$C$1:$CZ$426,62,FALSE)</f>
        <v>#N/A</v>
      </c>
      <c r="F294" s="281">
        <v>0</v>
      </c>
      <c r="G294" s="727" t="e">
        <f>IF(F294=H294," ","Please check values in account 528 and 530.")</f>
        <v>#DIV/0!</v>
      </c>
      <c r="H294" s="773"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08">
        <v>103</v>
      </c>
      <c r="B295" s="4" t="s">
        <v>59</v>
      </c>
      <c r="C295" s="4" t="s">
        <v>171</v>
      </c>
      <c r="D295" s="29" t="s">
        <v>1453</v>
      </c>
      <c r="E295" s="35" t="e">
        <f>HLOOKUP($D$2,'2020 Data(H)'!$C$1:$CZ$426,63,FALSE)</f>
        <v>#N/A</v>
      </c>
      <c r="F295" s="281">
        <v>0</v>
      </c>
      <c r="G295" s="727" t="e">
        <f>IF(F295=H295," ","Please check values in account 529 and 531.")</f>
        <v>#DIV/0!</v>
      </c>
      <c r="H295" s="773" t="e">
        <f>ROUND((F290-F292)/F290*100,2)</f>
        <v>#DIV/0!</v>
      </c>
      <c r="I295" s="79"/>
      <c r="M295" s="18" t="s">
        <v>959</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08">
        <v>544</v>
      </c>
      <c r="B296" s="671" t="s">
        <v>59</v>
      </c>
      <c r="C296" s="671" t="s">
        <v>171</v>
      </c>
      <c r="D296" s="24" t="s">
        <v>1454</v>
      </c>
      <c r="E296" s="36" t="e">
        <f>HLOOKUP($D$2,'2020 Data(H)'!$C$1:$CZ$426,194,FALSE)</f>
        <v>#N/A</v>
      </c>
      <c r="F296" s="363">
        <v>0</v>
      </c>
      <c r="G296" s="727"/>
      <c r="H296" s="17"/>
      <c r="I296" s="108"/>
      <c r="J296" s="821"/>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08">
        <v>545</v>
      </c>
      <c r="B297" s="671" t="s">
        <v>59</v>
      </c>
      <c r="C297" s="671" t="s">
        <v>171</v>
      </c>
      <c r="D297" s="24" t="s">
        <v>1455</v>
      </c>
      <c r="E297" s="36"/>
      <c r="F297" s="363">
        <v>0</v>
      </c>
      <c r="G297" s="727"/>
      <c r="H297" s="17"/>
      <c r="I297" s="137"/>
      <c r="J297" s="821"/>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648</v>
      </c>
      <c r="E298" s="36"/>
      <c r="F298" s="272"/>
      <c r="G298" s="766" t="str">
        <f>IF(+F298&lt;1,"Please answer this question","")</f>
        <v>Please answer this question</v>
      </c>
      <c r="H298" s="17"/>
      <c r="I298" s="108"/>
      <c r="J298" s="821"/>
      <c r="M298" s="18" t="s">
        <v>960</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672">
        <v>648</v>
      </c>
      <c r="B299" s="313" t="s">
        <v>1054</v>
      </c>
      <c r="C299" s="815" t="s">
        <v>171</v>
      </c>
      <c r="D299" s="313" t="s">
        <v>1317</v>
      </c>
      <c r="E299" s="671" t="s">
        <v>958</v>
      </c>
      <c r="F299" s="363">
        <v>0</v>
      </c>
      <c r="G299" s="766"/>
      <c r="H299" s="17"/>
      <c r="I299" s="108"/>
      <c r="J299" s="821"/>
      <c r="Z299" s="672"/>
      <c r="AA299" s="672"/>
      <c r="AB299" s="672"/>
      <c r="AC299" s="672"/>
      <c r="AD299" s="672"/>
      <c r="AE299" s="672"/>
      <c r="AF299" s="672"/>
      <c r="AG299" s="672"/>
      <c r="AH299" s="672"/>
      <c r="AI299" s="672"/>
      <c r="AJ299" s="672"/>
      <c r="AK299" s="672"/>
      <c r="AL299" s="672"/>
      <c r="AM299" s="672"/>
      <c r="AN299" s="672"/>
      <c r="AO299" s="672"/>
      <c r="AP299" s="672"/>
      <c r="AQ299" s="672"/>
      <c r="AR299" s="672"/>
    </row>
    <row r="300" spans="1:44" ht="171" hidden="1" customHeight="1" x14ac:dyDescent="0.3">
      <c r="A300" s="672">
        <v>991</v>
      </c>
      <c r="B300" s="312" t="s">
        <v>988</v>
      </c>
      <c r="C300" s="313"/>
      <c r="D300" s="774" t="s">
        <v>1248</v>
      </c>
      <c r="E300" s="671" t="s">
        <v>958</v>
      </c>
      <c r="F300" s="272"/>
      <c r="G300" s="766"/>
      <c r="H300" s="775" t="s">
        <v>984</v>
      </c>
      <c r="I300" s="254"/>
      <c r="J300" s="821"/>
      <c r="M300" s="18" t="s">
        <v>985</v>
      </c>
      <c r="Z300" s="672"/>
      <c r="AA300" s="672"/>
      <c r="AB300" s="672"/>
      <c r="AC300" s="672"/>
      <c r="AD300" s="672"/>
      <c r="AE300" s="672"/>
      <c r="AF300" s="672"/>
      <c r="AG300" s="672"/>
      <c r="AH300" s="672"/>
      <c r="AI300" s="672"/>
      <c r="AJ300" s="672"/>
      <c r="AK300" s="672"/>
      <c r="AL300" s="672"/>
      <c r="AM300" s="672"/>
      <c r="AN300" s="672"/>
      <c r="AO300" s="672"/>
      <c r="AP300" s="672"/>
      <c r="AQ300" s="672"/>
      <c r="AR300" s="672"/>
    </row>
    <row r="301" spans="1:44" ht="27.75" customHeight="1" x14ac:dyDescent="0.3">
      <c r="A301" s="108"/>
      <c r="B301" s="848" t="s">
        <v>641</v>
      </c>
      <c r="C301" s="848"/>
      <c r="D301" s="848"/>
      <c r="E301" s="870"/>
      <c r="F301" s="870"/>
      <c r="G301" s="871"/>
      <c r="H301" s="17"/>
      <c r="I301" s="108"/>
      <c r="J301" s="821"/>
      <c r="M301" s="18" t="s">
        <v>986</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71" t="s">
        <v>59</v>
      </c>
      <c r="C302" s="671"/>
      <c r="D302" s="24" t="s">
        <v>640</v>
      </c>
      <c r="E302" s="889"/>
      <c r="F302" s="272"/>
      <c r="G302" s="766" t="str">
        <f>IF(F302&lt;1,"Please answer this question","")</f>
        <v>Please answer this question</v>
      </c>
      <c r="H302" s="17"/>
      <c r="I302" s="108"/>
      <c r="J302" s="821"/>
      <c r="M302" s="18" t="s">
        <v>987</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22"/>
      <c r="B303" s="1129" t="s">
        <v>823</v>
      </c>
      <c r="C303" s="1129"/>
      <c r="D303" s="1129"/>
      <c r="E303" s="882"/>
      <c r="F303" s="882"/>
      <c r="G303" s="882"/>
      <c r="H303" s="17"/>
      <c r="I303" s="108"/>
      <c r="J303" s="821"/>
      <c r="M303" s="18" t="s">
        <v>831</v>
      </c>
      <c r="Z303" s="822"/>
      <c r="AA303" s="822"/>
      <c r="AB303" s="822"/>
      <c r="AC303" s="822"/>
      <c r="AD303" s="822"/>
      <c r="AE303" s="822"/>
      <c r="AF303" s="822"/>
      <c r="AG303" s="822"/>
      <c r="AH303" s="822"/>
      <c r="AI303" s="822"/>
      <c r="AJ303" s="822"/>
      <c r="AK303" s="822"/>
      <c r="AL303" s="822"/>
      <c r="AM303" s="822"/>
      <c r="AN303" s="822"/>
      <c r="AO303" s="822"/>
      <c r="AP303" s="822"/>
      <c r="AQ303" s="822"/>
      <c r="AR303" s="822"/>
    </row>
    <row r="304" spans="1:44" ht="63" customHeight="1" x14ac:dyDescent="0.3">
      <c r="A304" s="306">
        <v>947</v>
      </c>
      <c r="B304" s="823"/>
      <c r="C304" s="823"/>
      <c r="D304" s="174" t="s">
        <v>746</v>
      </c>
      <c r="E304" s="674"/>
      <c r="F304" s="776"/>
      <c r="G304" s="766" t="str">
        <f>IF(ISBLANK(F304),"Please do not leave blank","")</f>
        <v>Please do not leave blank</v>
      </c>
      <c r="H304" s="17"/>
      <c r="I304" s="295"/>
      <c r="J304" s="706"/>
      <c r="K304" s="295"/>
      <c r="L304" s="295"/>
      <c r="M304" s="295"/>
      <c r="O304" s="295"/>
      <c r="Z304" s="306"/>
      <c r="AA304" s="306"/>
      <c r="AB304" s="306"/>
      <c r="AC304" s="306"/>
      <c r="AD304" s="306"/>
      <c r="AE304" s="306"/>
      <c r="AF304" s="306"/>
      <c r="AG304" s="306"/>
      <c r="AH304" s="306"/>
      <c r="AI304" s="306"/>
      <c r="AJ304" s="306"/>
      <c r="AK304" s="306"/>
      <c r="AL304" s="306"/>
      <c r="AM304" s="306"/>
      <c r="AN304" s="306"/>
      <c r="AO304" s="306"/>
      <c r="AP304" s="306"/>
      <c r="AQ304" s="306"/>
      <c r="AR304" s="306"/>
    </row>
    <row r="305" spans="1:44" ht="65.25" customHeight="1" x14ac:dyDescent="0.3">
      <c r="A305" s="306">
        <v>948</v>
      </c>
      <c r="B305" s="823"/>
      <c r="C305" s="823"/>
      <c r="D305" s="174" t="s">
        <v>747</v>
      </c>
      <c r="E305" s="674"/>
      <c r="F305" s="776"/>
      <c r="G305" s="766" t="str">
        <f t="shared" ref="G305:G311" si="3">IF(ISBLANK(F305),"Please do not leave blank","")</f>
        <v>Please do not leave blank</v>
      </c>
      <c r="H305" s="17"/>
      <c r="I305" s="295"/>
      <c r="J305" s="706"/>
      <c r="K305" s="295"/>
      <c r="L305" s="295"/>
      <c r="M305" s="295"/>
      <c r="O305" s="295"/>
      <c r="Z305" s="306"/>
      <c r="AA305" s="306"/>
      <c r="AB305" s="306"/>
      <c r="AC305" s="306"/>
      <c r="AD305" s="306"/>
      <c r="AE305" s="306"/>
      <c r="AF305" s="306"/>
      <c r="AG305" s="306"/>
      <c r="AH305" s="306"/>
      <c r="AI305" s="306"/>
      <c r="AJ305" s="306"/>
      <c r="AK305" s="306"/>
      <c r="AL305" s="306"/>
      <c r="AM305" s="306"/>
      <c r="AN305" s="306"/>
      <c r="AO305" s="306"/>
      <c r="AP305" s="306"/>
      <c r="AQ305" s="306"/>
      <c r="AR305" s="306"/>
    </row>
    <row r="306" spans="1:44" ht="76.5" customHeight="1" x14ac:dyDescent="0.3">
      <c r="A306" s="306">
        <v>949</v>
      </c>
      <c r="B306" s="823"/>
      <c r="C306" s="823"/>
      <c r="D306" s="174" t="s">
        <v>748</v>
      </c>
      <c r="E306" s="674"/>
      <c r="F306" s="776"/>
      <c r="G306" s="766" t="str">
        <f t="shared" si="3"/>
        <v>Please do not leave blank</v>
      </c>
      <c r="H306" s="17"/>
      <c r="I306" s="295"/>
      <c r="J306" s="706"/>
      <c r="K306" s="295"/>
      <c r="L306" s="295"/>
      <c r="M306" s="295"/>
      <c r="O306" s="295"/>
      <c r="Z306" s="306"/>
      <c r="AA306" s="306"/>
      <c r="AB306" s="306"/>
      <c r="AC306" s="306"/>
      <c r="AD306" s="306"/>
      <c r="AE306" s="306"/>
      <c r="AF306" s="306"/>
      <c r="AG306" s="306"/>
      <c r="AH306" s="306"/>
      <c r="AI306" s="306"/>
      <c r="AJ306" s="306"/>
      <c r="AK306" s="306"/>
      <c r="AL306" s="306"/>
      <c r="AM306" s="306"/>
      <c r="AN306" s="306"/>
      <c r="AO306" s="306"/>
      <c r="AP306" s="306"/>
      <c r="AQ306" s="306"/>
      <c r="AR306" s="306"/>
    </row>
    <row r="307" spans="1:44" ht="60" customHeight="1" x14ac:dyDescent="0.3">
      <c r="A307" s="306">
        <v>950</v>
      </c>
      <c r="B307" s="823"/>
      <c r="C307" s="823"/>
      <c r="D307" s="174" t="s">
        <v>730</v>
      </c>
      <c r="E307" s="674"/>
      <c r="F307" s="776"/>
      <c r="G307" s="766" t="str">
        <f t="shared" si="3"/>
        <v>Please do not leave blank</v>
      </c>
      <c r="H307" s="17"/>
      <c r="I307" s="295"/>
      <c r="J307" s="706"/>
      <c r="K307" s="295"/>
      <c r="L307" s="295"/>
      <c r="M307" s="295"/>
      <c r="O307" s="295"/>
      <c r="Z307" s="306"/>
      <c r="AA307" s="306"/>
      <c r="AB307" s="306"/>
      <c r="AC307" s="306"/>
      <c r="AD307" s="306"/>
      <c r="AE307" s="306"/>
      <c r="AF307" s="306"/>
      <c r="AG307" s="306"/>
      <c r="AH307" s="306"/>
      <c r="AI307" s="306"/>
      <c r="AJ307" s="306"/>
      <c r="AK307" s="306"/>
      <c r="AL307" s="306"/>
      <c r="AM307" s="306"/>
      <c r="AN307" s="306"/>
      <c r="AO307" s="306"/>
      <c r="AP307" s="306"/>
      <c r="AQ307" s="306"/>
      <c r="AR307" s="306"/>
    </row>
    <row r="308" spans="1:44" ht="72" x14ac:dyDescent="0.3">
      <c r="A308" s="306">
        <v>952</v>
      </c>
      <c r="B308" s="823"/>
      <c r="C308" s="823"/>
      <c r="D308" s="777" t="s">
        <v>1339</v>
      </c>
      <c r="E308" s="674"/>
      <c r="F308" s="778"/>
      <c r="G308" s="766" t="s">
        <v>1485</v>
      </c>
      <c r="H308" s="17"/>
      <c r="I308" s="779"/>
      <c r="J308" s="706"/>
      <c r="K308" s="295"/>
      <c r="L308" s="295"/>
      <c r="M308" s="295"/>
      <c r="O308" s="295"/>
      <c r="Z308" s="306"/>
      <c r="AA308" s="306"/>
      <c r="AB308" s="306"/>
      <c r="AC308" s="306"/>
      <c r="AD308" s="306"/>
      <c r="AE308" s="306"/>
      <c r="AF308" s="306"/>
      <c r="AG308" s="306"/>
      <c r="AH308" s="306"/>
      <c r="AI308" s="306"/>
      <c r="AJ308" s="306"/>
      <c r="AK308" s="306"/>
      <c r="AL308" s="306"/>
      <c r="AM308" s="306"/>
      <c r="AN308" s="306"/>
      <c r="AO308" s="306"/>
      <c r="AP308" s="306"/>
      <c r="AQ308" s="306"/>
      <c r="AR308" s="306"/>
    </row>
    <row r="309" spans="1:44" ht="93" customHeight="1" x14ac:dyDescent="0.3">
      <c r="A309" s="306">
        <v>954</v>
      </c>
      <c r="B309" s="823"/>
      <c r="C309" s="823"/>
      <c r="D309" s="777" t="s">
        <v>731</v>
      </c>
      <c r="E309" s="674"/>
      <c r="F309" s="776"/>
      <c r="G309" s="766" t="str">
        <f t="shared" si="3"/>
        <v>Please do not leave blank</v>
      </c>
      <c r="H309" s="17"/>
      <c r="I309" s="295"/>
      <c r="J309" s="706"/>
      <c r="K309" s="295"/>
      <c r="L309" s="295"/>
      <c r="M309" s="295"/>
      <c r="O309" s="295"/>
      <c r="Z309" s="306"/>
      <c r="AA309" s="306"/>
      <c r="AB309" s="306"/>
      <c r="AC309" s="306"/>
      <c r="AD309" s="306"/>
      <c r="AE309" s="306"/>
      <c r="AF309" s="306"/>
      <c r="AG309" s="306"/>
      <c r="AH309" s="306"/>
      <c r="AI309" s="306"/>
      <c r="AJ309" s="306"/>
      <c r="AK309" s="306"/>
      <c r="AL309" s="306"/>
      <c r="AM309" s="306"/>
      <c r="AN309" s="306"/>
      <c r="AO309" s="306"/>
      <c r="AP309" s="306"/>
      <c r="AQ309" s="306"/>
      <c r="AR309" s="306"/>
    </row>
    <row r="310" spans="1:44" ht="98.25" customHeight="1" x14ac:dyDescent="0.3">
      <c r="A310" s="306">
        <v>956</v>
      </c>
      <c r="B310" s="823"/>
      <c r="C310" s="823"/>
      <c r="D310" s="777" t="s">
        <v>732</v>
      </c>
      <c r="E310" s="674"/>
      <c r="F310" s="776"/>
      <c r="G310" s="766" t="str">
        <f t="shared" si="3"/>
        <v>Please do not leave blank</v>
      </c>
      <c r="H310" s="17"/>
      <c r="I310" s="295"/>
      <c r="J310" s="299"/>
      <c r="K310" s="295"/>
      <c r="L310" s="295"/>
      <c r="M310" s="295"/>
      <c r="O310" s="295"/>
      <c r="Z310" s="306"/>
      <c r="AA310" s="306"/>
      <c r="AB310" s="306"/>
      <c r="AC310" s="306"/>
      <c r="AD310" s="306"/>
      <c r="AE310" s="306"/>
      <c r="AF310" s="306"/>
      <c r="AG310" s="306"/>
      <c r="AH310" s="306"/>
      <c r="AI310" s="306"/>
      <c r="AJ310" s="306"/>
      <c r="AK310" s="306"/>
      <c r="AL310" s="306"/>
      <c r="AM310" s="306"/>
      <c r="AN310" s="306"/>
      <c r="AO310" s="306"/>
      <c r="AP310" s="306"/>
      <c r="AQ310" s="306"/>
      <c r="AR310" s="306"/>
    </row>
    <row r="311" spans="1:44" ht="218.25" customHeight="1" x14ac:dyDescent="0.3">
      <c r="A311" s="306">
        <v>958</v>
      </c>
      <c r="B311" s="823"/>
      <c r="C311" s="823"/>
      <c r="D311" s="774" t="s">
        <v>1190</v>
      </c>
      <c r="E311" s="674"/>
      <c r="F311" s="776"/>
      <c r="G311" s="766" t="str">
        <f t="shared" si="3"/>
        <v>Please do not leave blank</v>
      </c>
      <c r="H311" s="17"/>
      <c r="I311" s="295"/>
      <c r="J311" s="295"/>
      <c r="K311" s="295"/>
      <c r="L311" s="295"/>
      <c r="M311" s="295"/>
      <c r="O311" s="295"/>
      <c r="Z311" s="306"/>
      <c r="AA311" s="306"/>
      <c r="AB311" s="306"/>
      <c r="AC311" s="306"/>
      <c r="AD311" s="306"/>
      <c r="AE311" s="306"/>
      <c r="AF311" s="306"/>
      <c r="AG311" s="306"/>
      <c r="AH311" s="306"/>
      <c r="AI311" s="306"/>
      <c r="AJ311" s="306"/>
      <c r="AK311" s="306"/>
      <c r="AL311" s="306"/>
      <c r="AM311" s="306"/>
      <c r="AN311" s="306"/>
      <c r="AO311" s="306"/>
      <c r="AP311" s="306"/>
      <c r="AQ311" s="306"/>
      <c r="AR311" s="306"/>
    </row>
    <row r="312" spans="1:44" ht="15" thickBot="1" x14ac:dyDescent="0.35">
      <c r="A312" s="108"/>
      <c r="B312" s="872"/>
      <c r="C312" s="873"/>
      <c r="D312" s="874" t="s">
        <v>734</v>
      </c>
      <c r="E312" s="858"/>
      <c r="F312" s="875"/>
      <c r="G312" s="876"/>
      <c r="H312" s="877"/>
      <c r="I312" s="295"/>
      <c r="J312" s="295"/>
      <c r="K312" s="295"/>
      <c r="L312" s="295"/>
      <c r="M312" s="295"/>
      <c r="O312" s="295"/>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126" t="s">
        <v>824</v>
      </c>
      <c r="C313" s="1127"/>
      <c r="D313" s="1127"/>
      <c r="E313" s="1128"/>
      <c r="F313" s="79"/>
      <c r="G313" s="766"/>
      <c r="H313" s="17"/>
      <c r="I313" s="108"/>
      <c r="Z313" s="18"/>
    </row>
    <row r="314" spans="1:44" ht="75.75" customHeight="1" x14ac:dyDescent="0.3">
      <c r="B314" s="1114" t="s">
        <v>825</v>
      </c>
      <c r="C314" s="1114"/>
      <c r="D314" s="1114"/>
      <c r="E314" s="1114"/>
      <c r="F314" s="79"/>
      <c r="G314" s="766"/>
      <c r="H314" s="17"/>
      <c r="I314" s="108"/>
      <c r="Z314" s="18"/>
    </row>
    <row r="315" spans="1:44" ht="15" thickBot="1" x14ac:dyDescent="0.35">
      <c r="A315" s="780"/>
      <c r="B315" s="781"/>
      <c r="C315" s="781"/>
      <c r="D315" s="782"/>
      <c r="E315" s="669"/>
      <c r="F315" s="79"/>
      <c r="G315" s="766"/>
      <c r="H315" s="17"/>
      <c r="I315" s="108"/>
      <c r="Z315" s="780"/>
      <c r="AA315" s="780"/>
      <c r="AB315" s="780"/>
      <c r="AC315" s="780"/>
      <c r="AD315" s="780"/>
      <c r="AE315" s="780"/>
      <c r="AF315" s="780"/>
      <c r="AG315" s="780"/>
      <c r="AH315" s="780"/>
      <c r="AI315" s="780"/>
      <c r="AJ315" s="780"/>
      <c r="AK315" s="780"/>
      <c r="AL315" s="780"/>
      <c r="AM315" s="780"/>
      <c r="AN315" s="780"/>
      <c r="AO315" s="780"/>
      <c r="AP315" s="780"/>
      <c r="AQ315" s="780"/>
      <c r="AR315" s="780"/>
    </row>
    <row r="316" spans="1:44" ht="15" thickBot="1" x14ac:dyDescent="0.35">
      <c r="B316" s="159" t="s">
        <v>712</v>
      </c>
      <c r="C316" s="160" t="s">
        <v>713</v>
      </c>
      <c r="D316" s="783"/>
      <c r="E316" s="784"/>
      <c r="F316" s="100"/>
      <c r="G316" s="766"/>
      <c r="H316" s="17"/>
      <c r="I316" s="108"/>
      <c r="Z316" s="18"/>
    </row>
    <row r="317" spans="1:44" ht="44.25" customHeight="1" thickBot="1" x14ac:dyDescent="0.35">
      <c r="B317" s="163" t="s">
        <v>752</v>
      </c>
      <c r="C317" s="162"/>
      <c r="D317" s="161"/>
      <c r="E317" s="675"/>
      <c r="F317" s="785"/>
      <c r="G317" s="766"/>
      <c r="H317" s="17"/>
      <c r="I317" s="108"/>
      <c r="Z317" s="18"/>
    </row>
    <row r="318" spans="1:44" ht="44.25" customHeight="1" thickBot="1" x14ac:dyDescent="0.35">
      <c r="B318" s="163"/>
      <c r="C318" s="173"/>
      <c r="D318" s="786" t="s">
        <v>813</v>
      </c>
      <c r="E318" s="787"/>
      <c r="F318" s="788"/>
      <c r="G318" s="788"/>
      <c r="H318" s="17"/>
      <c r="I318" s="108"/>
      <c r="Z318" s="18"/>
    </row>
    <row r="319" spans="1:44" ht="64.5" customHeight="1" thickBot="1" x14ac:dyDescent="0.35">
      <c r="A319" s="559">
        <v>960</v>
      </c>
      <c r="B319" s="1119" t="s">
        <v>753</v>
      </c>
      <c r="C319" s="1120"/>
      <c r="D319" s="789"/>
      <c r="E319" s="883" t="str">
        <f>IF(ISBLANK($D319),"&lt;&lt;&lt;&lt;&lt;&lt;&lt;&lt;&lt;&lt;&lt;&lt;&lt;&lt;&lt;","")</f>
        <v>&lt;&lt;&lt;&lt;&lt;&lt;&lt;&lt;&lt;&lt;&lt;&lt;&lt;&lt;&lt;</v>
      </c>
      <c r="F319" s="884" t="str">
        <f>IF(ISBLANK($D319),"Required","")</f>
        <v>Required</v>
      </c>
      <c r="G319" s="886"/>
      <c r="H319" s="728"/>
      <c r="I319" s="108"/>
      <c r="Z319" s="559"/>
      <c r="AA319" s="559"/>
      <c r="AB319" s="559"/>
      <c r="AC319" s="559"/>
      <c r="AD319" s="559"/>
      <c r="AE319" s="559"/>
      <c r="AF319" s="559"/>
      <c r="AG319" s="559"/>
      <c r="AH319" s="559"/>
      <c r="AI319" s="559"/>
      <c r="AJ319" s="559"/>
      <c r="AK319" s="559"/>
      <c r="AL319" s="559"/>
      <c r="AM319" s="559"/>
      <c r="AN319" s="559"/>
      <c r="AO319" s="559"/>
      <c r="AP319" s="559"/>
      <c r="AQ319" s="559"/>
      <c r="AR319" s="559"/>
    </row>
    <row r="320" spans="1:44" ht="30.75" customHeight="1" thickBot="1" x14ac:dyDescent="0.35">
      <c r="A320" s="559">
        <v>962</v>
      </c>
      <c r="B320" s="1115" t="s">
        <v>714</v>
      </c>
      <c r="C320" s="1116"/>
      <c r="D320" s="789"/>
      <c r="E320" s="883" t="str">
        <f>IF(ISBLANK($D320),"&lt;&lt;&lt;&lt;&lt;&lt;&lt;&lt;&lt;&lt;&lt;&lt;&lt;&lt;&lt;","")</f>
        <v>&lt;&lt;&lt;&lt;&lt;&lt;&lt;&lt;&lt;&lt;&lt;&lt;&lt;&lt;&lt;</v>
      </c>
      <c r="F320" s="884" t="str">
        <f>IF(ISBLANK($D320),"Required","")</f>
        <v>Required</v>
      </c>
      <c r="H320" s="17"/>
      <c r="I320" s="108"/>
      <c r="Z320" s="559"/>
      <c r="AA320" s="559"/>
      <c r="AB320" s="559"/>
      <c r="AC320" s="559"/>
      <c r="AD320" s="559"/>
      <c r="AE320" s="559"/>
      <c r="AF320" s="559"/>
      <c r="AG320" s="559"/>
      <c r="AH320" s="559"/>
      <c r="AI320" s="559"/>
      <c r="AJ320" s="559"/>
      <c r="AK320" s="559"/>
      <c r="AL320" s="559"/>
      <c r="AM320" s="559"/>
      <c r="AN320" s="559"/>
      <c r="AO320" s="559"/>
      <c r="AP320" s="559"/>
      <c r="AQ320" s="559"/>
      <c r="AR320" s="559"/>
    </row>
    <row r="321" spans="1:44" ht="30.75" customHeight="1" thickBot="1" x14ac:dyDescent="0.35">
      <c r="A321" s="559">
        <v>964</v>
      </c>
      <c r="B321" s="1115" t="s">
        <v>715</v>
      </c>
      <c r="C321" s="1116"/>
      <c r="D321" s="790"/>
      <c r="E321" s="883" t="str">
        <f>IF(ISBLANK($D321),"&lt;&lt;&lt;&lt;&lt;&lt;&lt;&lt;&lt;&lt;&lt;&lt;&lt;&lt;&lt;","")</f>
        <v>&lt;&lt;&lt;&lt;&lt;&lt;&lt;&lt;&lt;&lt;&lt;&lt;&lt;&lt;&lt;</v>
      </c>
      <c r="F321" s="884" t="str">
        <f>IF(ISBLANK($D321),"Required","")</f>
        <v>Required</v>
      </c>
      <c r="H321" s="17"/>
      <c r="I321" s="364"/>
      <c r="Z321" s="559"/>
      <c r="AA321" s="559"/>
      <c r="AB321" s="559"/>
      <c r="AC321" s="559"/>
      <c r="AD321" s="559"/>
      <c r="AE321" s="559"/>
      <c r="AF321" s="559"/>
      <c r="AG321" s="559"/>
      <c r="AH321" s="559"/>
      <c r="AI321" s="559"/>
      <c r="AJ321" s="559"/>
      <c r="AK321" s="559"/>
      <c r="AL321" s="559"/>
      <c r="AM321" s="559"/>
      <c r="AN321" s="559"/>
      <c r="AO321" s="559"/>
      <c r="AP321" s="559"/>
      <c r="AQ321" s="559"/>
      <c r="AR321" s="559"/>
    </row>
    <row r="322" spans="1:44" ht="30.75" customHeight="1" thickBot="1" x14ac:dyDescent="0.35">
      <c r="A322" s="559">
        <v>966</v>
      </c>
      <c r="B322" s="1115" t="s">
        <v>716</v>
      </c>
      <c r="C322" s="1116"/>
      <c r="D322" s="789"/>
      <c r="E322" s="883" t="str">
        <f>IF(ISBLANK($D322),"&lt;&lt;&lt;&lt;&lt;&lt;&lt;&lt;&lt;&lt;&lt;&lt;&lt;&lt;&lt;","")</f>
        <v>&lt;&lt;&lt;&lt;&lt;&lt;&lt;&lt;&lt;&lt;&lt;&lt;&lt;&lt;&lt;</v>
      </c>
      <c r="F322" s="884" t="str">
        <f>IF(ISBLANK($D322),"Required","")</f>
        <v>Required</v>
      </c>
      <c r="H322" s="17"/>
      <c r="I322" s="108"/>
      <c r="Z322" s="559"/>
      <c r="AA322" s="559"/>
      <c r="AB322" s="559"/>
      <c r="AC322" s="559"/>
      <c r="AD322" s="559"/>
      <c r="AE322" s="559"/>
      <c r="AF322" s="559"/>
      <c r="AG322" s="559"/>
      <c r="AH322" s="559"/>
      <c r="AI322" s="559"/>
      <c r="AJ322" s="559"/>
      <c r="AK322" s="559"/>
      <c r="AL322" s="559"/>
      <c r="AM322" s="559"/>
      <c r="AN322" s="559"/>
      <c r="AO322" s="559"/>
      <c r="AP322" s="559"/>
      <c r="AQ322" s="559"/>
      <c r="AR322" s="559"/>
    </row>
    <row r="323" spans="1:44" ht="30.75" customHeight="1" thickBot="1" x14ac:dyDescent="0.35">
      <c r="A323" s="559">
        <v>968</v>
      </c>
      <c r="B323" s="1117" t="s">
        <v>717</v>
      </c>
      <c r="C323" s="1118"/>
      <c r="D323" s="1078"/>
      <c r="E323" s="885" t="str">
        <f>IF(ISBLANK($D323),"&lt;&lt;&lt;&lt;&lt;&lt;&lt;&lt;&lt;&lt;&lt;&lt;&lt;&lt;&lt;","")</f>
        <v>&lt;&lt;&lt;&lt;&lt;&lt;&lt;&lt;&lt;&lt;&lt;&lt;&lt;&lt;&lt;</v>
      </c>
      <c r="F323" s="884" t="str">
        <f>IF(ISBLANK($D323),"Required","")</f>
        <v>Required</v>
      </c>
      <c r="H323" s="17"/>
      <c r="I323" s="108"/>
      <c r="Z323" s="559"/>
      <c r="AA323" s="559"/>
      <c r="AB323" s="559"/>
      <c r="AC323" s="559"/>
      <c r="AD323" s="559"/>
      <c r="AE323" s="559"/>
      <c r="AF323" s="559"/>
      <c r="AG323" s="559"/>
      <c r="AH323" s="559"/>
      <c r="AI323" s="559"/>
      <c r="AJ323" s="559"/>
      <c r="AK323" s="559"/>
      <c r="AL323" s="559"/>
      <c r="AM323" s="559"/>
      <c r="AN323" s="559"/>
      <c r="AO323" s="559"/>
      <c r="AP323" s="559"/>
      <c r="AQ323" s="559"/>
      <c r="AR323" s="559"/>
    </row>
    <row r="324" spans="1:44" x14ac:dyDescent="0.3">
      <c r="A324" s="108"/>
      <c r="B324" s="878"/>
      <c r="C324" s="878"/>
      <c r="D324" s="887" t="s">
        <v>46</v>
      </c>
      <c r="E324" s="879"/>
      <c r="F324" s="879"/>
      <c r="G324" s="879"/>
      <c r="H324" s="880"/>
      <c r="I324" s="108"/>
    </row>
    <row r="325" spans="1:44" x14ac:dyDescent="0.3">
      <c r="A325" s="108"/>
      <c r="B325" s="671"/>
      <c r="C325" s="671"/>
      <c r="D325" s="171"/>
      <c r="E325" s="297"/>
      <c r="F325" s="791"/>
      <c r="G325" s="791"/>
      <c r="H325" s="17"/>
      <c r="I325" s="108"/>
    </row>
    <row r="326" spans="1:44" x14ac:dyDescent="0.3">
      <c r="A326" s="108"/>
      <c r="B326" s="671"/>
      <c r="C326" s="671"/>
      <c r="D326" s="24"/>
      <c r="E326" s="669"/>
      <c r="F326" s="791"/>
      <c r="G326" s="791"/>
      <c r="H326" s="17"/>
      <c r="I326" s="108"/>
    </row>
    <row r="327" spans="1:44" x14ac:dyDescent="0.3">
      <c r="A327" s="968">
        <f>SUBTOTAL(109,A7:A323)</f>
        <v>31944</v>
      </c>
      <c r="E327" s="1063"/>
    </row>
    <row r="328" spans="1:44" x14ac:dyDescent="0.3">
      <c r="A328" s="108"/>
      <c r="B328" s="824"/>
      <c r="C328" s="824"/>
      <c r="D328" s="792"/>
      <c r="E328" s="405"/>
      <c r="F328" s="18"/>
      <c r="G328" s="793"/>
      <c r="H328" s="17"/>
      <c r="I328" s="108"/>
    </row>
    <row r="329" spans="1:44" x14ac:dyDescent="0.3">
      <c r="A329" s="559"/>
      <c r="B329" s="559"/>
      <c r="C329" s="559"/>
      <c r="D329" s="792"/>
      <c r="E329" s="405"/>
      <c r="F329" s="295"/>
      <c r="G329" s="793"/>
      <c r="H329" s="17"/>
      <c r="I329" s="108"/>
    </row>
    <row r="330" spans="1:44" x14ac:dyDescent="0.3">
      <c r="A330" s="559"/>
      <c r="B330" s="559"/>
      <c r="C330" s="559"/>
      <c r="D330" s="794"/>
      <c r="E330" s="405"/>
      <c r="F330" s="295"/>
      <c r="G330" s="793"/>
      <c r="H330" s="17"/>
      <c r="I330" s="108"/>
    </row>
    <row r="331" spans="1:44" x14ac:dyDescent="0.3">
      <c r="A331" s="559"/>
      <c r="B331" s="559"/>
      <c r="C331" s="559"/>
      <c r="D331" s="794"/>
      <c r="E331" s="405"/>
      <c r="F331" s="295"/>
      <c r="G331" s="793"/>
      <c r="H331" s="17"/>
      <c r="I331" s="108"/>
    </row>
    <row r="332" spans="1:44" x14ac:dyDescent="0.3">
      <c r="A332" s="559"/>
      <c r="B332" s="559"/>
      <c r="C332" s="559"/>
      <c r="D332" s="794"/>
      <c r="E332" s="405"/>
      <c r="F332" s="295"/>
      <c r="G332" s="793"/>
      <c r="H332" s="17"/>
      <c r="I332" s="108"/>
    </row>
    <row r="333" spans="1:44" x14ac:dyDescent="0.3">
      <c r="A333" s="559"/>
      <c r="B333" s="559"/>
      <c r="C333" s="559"/>
      <c r="D333" s="794"/>
      <c r="E333" s="405"/>
      <c r="F333" s="295"/>
      <c r="G333" s="793"/>
      <c r="H333" s="17"/>
      <c r="I333" s="108"/>
    </row>
    <row r="334" spans="1:44" x14ac:dyDescent="0.3">
      <c r="A334" s="559"/>
      <c r="D334" s="599"/>
      <c r="E334" s="405"/>
      <c r="F334" s="295"/>
      <c r="H334" s="17"/>
      <c r="I334" s="108"/>
    </row>
    <row r="335" spans="1:44" x14ac:dyDescent="0.3">
      <c r="D335" s="599"/>
      <c r="E335" s="406"/>
      <c r="F335" s="295"/>
      <c r="H335" s="17"/>
      <c r="I335" s="108"/>
    </row>
    <row r="336" spans="1:44" x14ac:dyDescent="0.3">
      <c r="D336" s="599"/>
      <c r="E336" s="297"/>
      <c r="F336" s="295"/>
      <c r="H336" s="17"/>
      <c r="I336" s="108"/>
    </row>
    <row r="337" spans="4:12" x14ac:dyDescent="0.3">
      <c r="D337" s="599"/>
      <c r="E337" s="297"/>
      <c r="F337" s="295"/>
      <c r="I337" s="108"/>
    </row>
    <row r="338" spans="4:12" x14ac:dyDescent="0.3">
      <c r="E338" s="297"/>
      <c r="F338" s="295"/>
      <c r="G338" s="796"/>
      <c r="I338" s="108"/>
    </row>
    <row r="339" spans="4:12" x14ac:dyDescent="0.3">
      <c r="E339" s="297"/>
      <c r="F339" s="295"/>
      <c r="I339" s="108"/>
    </row>
    <row r="340" spans="4:12" x14ac:dyDescent="0.3">
      <c r="E340" s="297"/>
      <c r="F340" s="295"/>
      <c r="I340" s="108"/>
    </row>
    <row r="341" spans="4:12" x14ac:dyDescent="0.3">
      <c r="E341" s="297"/>
      <c r="F341" s="295"/>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5"/>
    </row>
    <row r="350" spans="4:12" x14ac:dyDescent="0.3">
      <c r="I350" s="295"/>
      <c r="K350" s="297"/>
      <c r="L350" s="297"/>
    </row>
    <row r="351" spans="4:12" x14ac:dyDescent="0.3">
      <c r="I351" s="295"/>
      <c r="K351" s="297"/>
      <c r="L351" s="297"/>
    </row>
    <row r="352" spans="4:12" x14ac:dyDescent="0.3">
      <c r="I352" s="295"/>
      <c r="K352" s="297"/>
      <c r="L352" s="297"/>
    </row>
    <row r="353" spans="9:12" x14ac:dyDescent="0.3">
      <c r="I353" s="295"/>
      <c r="K353" s="297"/>
      <c r="L353" s="297"/>
    </row>
    <row r="354" spans="9:12" x14ac:dyDescent="0.3">
      <c r="I354" s="295"/>
      <c r="K354" s="297"/>
      <c r="L354" s="297"/>
    </row>
    <row r="355" spans="9:12" x14ac:dyDescent="0.3">
      <c r="I355" s="295"/>
      <c r="K355" s="297"/>
      <c r="L355" s="297"/>
    </row>
    <row r="356" spans="9:12" x14ac:dyDescent="0.3">
      <c r="I356" s="108"/>
      <c r="K356" s="297"/>
      <c r="L356" s="297"/>
    </row>
    <row r="357" spans="9:12" x14ac:dyDescent="0.3">
      <c r="I357" s="108"/>
      <c r="K357" s="297"/>
      <c r="L357" s="297"/>
    </row>
    <row r="358" spans="9:12" x14ac:dyDescent="0.3">
      <c r="I358" s="108"/>
      <c r="J358" s="297"/>
      <c r="K358" s="297"/>
      <c r="L358" s="297"/>
    </row>
    <row r="359" spans="9:12" x14ac:dyDescent="0.3">
      <c r="I359" s="108"/>
      <c r="J359" s="297"/>
      <c r="K359" s="297"/>
      <c r="L359" s="297"/>
    </row>
    <row r="360" spans="9:12" x14ac:dyDescent="0.3">
      <c r="I360" s="108"/>
      <c r="J360" s="297"/>
      <c r="K360" s="297"/>
      <c r="L360" s="297"/>
    </row>
    <row r="361" spans="9:12" x14ac:dyDescent="0.3">
      <c r="I361" s="108"/>
      <c r="J361" s="297"/>
      <c r="K361" s="297"/>
      <c r="L361" s="297"/>
    </row>
    <row r="362" spans="9:12" x14ac:dyDescent="0.3">
      <c r="I362" s="108"/>
      <c r="J362" s="297"/>
      <c r="K362" s="297"/>
      <c r="L362" s="297"/>
    </row>
    <row r="363" spans="9:12" x14ac:dyDescent="0.3">
      <c r="I363" s="108"/>
      <c r="J363" s="297"/>
      <c r="K363" s="297"/>
      <c r="L363" s="297"/>
    </row>
    <row r="364" spans="9:12" x14ac:dyDescent="0.3">
      <c r="I364" s="108"/>
      <c r="J364" s="297"/>
      <c r="K364" s="297"/>
      <c r="L364" s="297"/>
    </row>
    <row r="365" spans="9:12" x14ac:dyDescent="0.3">
      <c r="I365" s="295"/>
      <c r="J365" s="297"/>
      <c r="K365" s="297"/>
      <c r="L365" s="297"/>
    </row>
    <row r="366" spans="9:12" x14ac:dyDescent="0.3">
      <c r="I366" s="295"/>
      <c r="J366" s="297"/>
      <c r="K366" s="297"/>
      <c r="L366" s="297"/>
    </row>
    <row r="367" spans="9:12" x14ac:dyDescent="0.3">
      <c r="I367" s="295"/>
      <c r="J367" s="297"/>
      <c r="K367" s="297"/>
      <c r="L367" s="297"/>
    </row>
    <row r="368" spans="9:12" x14ac:dyDescent="0.3">
      <c r="I368" s="295"/>
      <c r="J368" s="297"/>
      <c r="K368" s="297"/>
      <c r="L368" s="297"/>
    </row>
    <row r="369" spans="9:12" x14ac:dyDescent="0.3">
      <c r="I369" s="295"/>
      <c r="J369" s="297"/>
      <c r="K369" s="297"/>
      <c r="L369" s="297"/>
    </row>
    <row r="370" spans="9:12" x14ac:dyDescent="0.3">
      <c r="I370" s="295"/>
      <c r="J370" s="297"/>
      <c r="K370" s="297"/>
      <c r="L370" s="297"/>
    </row>
    <row r="371" spans="9:12" x14ac:dyDescent="0.3">
      <c r="I371" s="295"/>
      <c r="J371" s="297"/>
      <c r="K371" s="297"/>
      <c r="L371" s="297"/>
    </row>
    <row r="372" spans="9:12" x14ac:dyDescent="0.3">
      <c r="I372" s="295"/>
      <c r="J372" s="297"/>
      <c r="K372" s="297"/>
      <c r="L372" s="297"/>
    </row>
    <row r="373" spans="9:12" x14ac:dyDescent="0.3">
      <c r="I373" s="295"/>
      <c r="J373" s="297"/>
      <c r="K373" s="297"/>
      <c r="L373" s="297"/>
    </row>
    <row r="374" spans="9:12" x14ac:dyDescent="0.3">
      <c r="I374" s="295"/>
      <c r="J374" s="297"/>
      <c r="K374" s="297"/>
      <c r="L374" s="297"/>
    </row>
    <row r="375" spans="9:12" x14ac:dyDescent="0.3">
      <c r="I375" s="295"/>
      <c r="J375" s="297"/>
      <c r="K375" s="297"/>
      <c r="L375" s="297"/>
    </row>
    <row r="376" spans="9:12" x14ac:dyDescent="0.3">
      <c r="I376" s="295"/>
      <c r="J376" s="297"/>
      <c r="K376" s="297"/>
      <c r="L376" s="297"/>
    </row>
    <row r="377" spans="9:12" x14ac:dyDescent="0.3">
      <c r="I377" s="295"/>
      <c r="J377" s="297"/>
      <c r="K377" s="297"/>
      <c r="L377" s="297"/>
    </row>
    <row r="378" spans="9:12" x14ac:dyDescent="0.3">
      <c r="I378" s="295"/>
      <c r="J378" s="297"/>
      <c r="K378" s="297"/>
      <c r="L378" s="297"/>
    </row>
    <row r="379" spans="9:12" x14ac:dyDescent="0.3">
      <c r="I379" s="295"/>
      <c r="J379" s="297"/>
      <c r="K379" s="297"/>
      <c r="L379" s="297"/>
    </row>
    <row r="380" spans="9:12" x14ac:dyDescent="0.3">
      <c r="I380" s="295"/>
      <c r="J380" s="297"/>
      <c r="K380" s="297"/>
      <c r="L380" s="297"/>
    </row>
    <row r="381" spans="9:12" x14ac:dyDescent="0.3">
      <c r="I381" s="295"/>
      <c r="J381" s="297"/>
      <c r="K381" s="297"/>
      <c r="L381" s="297"/>
    </row>
    <row r="382" spans="9:12" x14ac:dyDescent="0.3">
      <c r="I382" s="295"/>
      <c r="J382" s="297"/>
      <c r="K382" s="297"/>
      <c r="L382" s="297"/>
    </row>
    <row r="383" spans="9:12" x14ac:dyDescent="0.3">
      <c r="I383" s="295"/>
      <c r="J383" s="297"/>
      <c r="K383" s="297"/>
      <c r="L383" s="297"/>
    </row>
    <row r="384" spans="9:12" x14ac:dyDescent="0.3">
      <c r="I384" s="295"/>
      <c r="J384" s="297"/>
      <c r="K384" s="297"/>
      <c r="L384" s="297"/>
    </row>
    <row r="385" spans="9:12" x14ac:dyDescent="0.3">
      <c r="I385" s="295"/>
      <c r="J385" s="297"/>
      <c r="K385" s="297"/>
      <c r="L385" s="297"/>
    </row>
    <row r="386" spans="9:12" x14ac:dyDescent="0.3">
      <c r="I386" s="295"/>
      <c r="J386" s="297"/>
      <c r="K386" s="297"/>
      <c r="L386" s="297"/>
    </row>
    <row r="387" spans="9:12" x14ac:dyDescent="0.3">
      <c r="I387" s="295"/>
      <c r="J387" s="297"/>
      <c r="K387" s="297"/>
      <c r="L387" s="297"/>
    </row>
    <row r="388" spans="9:12" x14ac:dyDescent="0.3">
      <c r="I388" s="295"/>
      <c r="J388" s="297"/>
      <c r="K388" s="297"/>
      <c r="L388" s="297"/>
    </row>
    <row r="389" spans="9:12" x14ac:dyDescent="0.3">
      <c r="I389" s="295"/>
      <c r="J389" s="297"/>
      <c r="K389" s="297"/>
      <c r="L389" s="297"/>
    </row>
    <row r="390" spans="9:12" x14ac:dyDescent="0.3">
      <c r="I390" s="295"/>
      <c r="J390" s="297"/>
      <c r="K390" s="297"/>
      <c r="L390" s="297"/>
    </row>
    <row r="391" spans="9:12" x14ac:dyDescent="0.3">
      <c r="I391" s="295"/>
      <c r="J391" s="297"/>
      <c r="K391" s="297"/>
      <c r="L391" s="297"/>
    </row>
    <row r="392" spans="9:12" x14ac:dyDescent="0.3">
      <c r="I392" s="295"/>
      <c r="J392" s="297"/>
      <c r="K392" s="297"/>
      <c r="L392" s="297"/>
    </row>
    <row r="393" spans="9:12" x14ac:dyDescent="0.3">
      <c r="I393" s="295"/>
      <c r="J393" s="297"/>
      <c r="K393" s="297"/>
      <c r="L393" s="297"/>
    </row>
    <row r="394" spans="9:12" x14ac:dyDescent="0.3">
      <c r="I394" s="295"/>
      <c r="J394" s="297"/>
      <c r="K394" s="297"/>
      <c r="L394" s="297"/>
    </row>
    <row r="395" spans="9:12" x14ac:dyDescent="0.3">
      <c r="I395" s="295"/>
      <c r="J395" s="297"/>
      <c r="K395" s="297"/>
      <c r="L395" s="297"/>
    </row>
    <row r="396" spans="9:12" x14ac:dyDescent="0.3">
      <c r="I396" s="295"/>
      <c r="J396" s="297"/>
      <c r="K396" s="297"/>
      <c r="L396" s="297"/>
    </row>
    <row r="397" spans="9:12" x14ac:dyDescent="0.3">
      <c r="I397" s="295"/>
      <c r="J397" s="297"/>
      <c r="K397" s="297"/>
      <c r="L397" s="297"/>
    </row>
    <row r="398" spans="9:12" x14ac:dyDescent="0.3">
      <c r="I398" s="295"/>
      <c r="J398" s="297"/>
      <c r="K398" s="297"/>
      <c r="L398" s="297"/>
    </row>
    <row r="399" spans="9:12" x14ac:dyDescent="0.3">
      <c r="I399" s="295"/>
      <c r="J399" s="297"/>
      <c r="K399" s="297"/>
      <c r="L399" s="297"/>
    </row>
    <row r="400" spans="9:12" x14ac:dyDescent="0.3">
      <c r="I400" s="295"/>
      <c r="J400" s="297"/>
      <c r="K400" s="297"/>
      <c r="L400" s="297"/>
    </row>
    <row r="401" spans="9:12" x14ac:dyDescent="0.3">
      <c r="I401" s="295"/>
      <c r="J401" s="297"/>
      <c r="K401" s="297"/>
      <c r="L401" s="297"/>
    </row>
    <row r="402" spans="9:12" x14ac:dyDescent="0.3">
      <c r="I402" s="295"/>
      <c r="J402" s="297"/>
      <c r="K402" s="297"/>
      <c r="L402" s="297"/>
    </row>
    <row r="403" spans="9:12" x14ac:dyDescent="0.3">
      <c r="I403" s="295"/>
      <c r="J403" s="297"/>
      <c r="K403" s="297"/>
      <c r="L403" s="297"/>
    </row>
    <row r="404" spans="9:12" x14ac:dyDescent="0.3">
      <c r="I404" s="295"/>
      <c r="J404" s="297"/>
      <c r="K404" s="297"/>
      <c r="L404" s="297"/>
    </row>
    <row r="405" spans="9:12" x14ac:dyDescent="0.3">
      <c r="I405" s="295"/>
      <c r="J405" s="297"/>
      <c r="K405" s="297"/>
      <c r="L405" s="297"/>
    </row>
    <row r="406" spans="9:12" x14ac:dyDescent="0.3">
      <c r="I406" s="295"/>
      <c r="J406" s="297"/>
      <c r="K406" s="297"/>
      <c r="L406" s="297"/>
    </row>
    <row r="407" spans="9:12" x14ac:dyDescent="0.3">
      <c r="I407" s="295"/>
      <c r="J407" s="297"/>
      <c r="K407" s="297"/>
      <c r="L407" s="297"/>
    </row>
    <row r="408" spans="9:12" x14ac:dyDescent="0.3">
      <c r="I408" s="295"/>
      <c r="J408" s="297"/>
      <c r="K408" s="297"/>
      <c r="L408" s="297"/>
    </row>
    <row r="409" spans="9:12" x14ac:dyDescent="0.3">
      <c r="I409" s="295"/>
      <c r="J409" s="297"/>
      <c r="K409" s="297"/>
      <c r="L409" s="297"/>
    </row>
    <row r="410" spans="9:12" x14ac:dyDescent="0.3">
      <c r="I410" s="295"/>
      <c r="J410" s="297"/>
      <c r="K410" s="297"/>
      <c r="L410" s="297"/>
    </row>
    <row r="411" spans="9:12" x14ac:dyDescent="0.3">
      <c r="I411" s="295"/>
      <c r="J411" s="297"/>
      <c r="K411" s="297"/>
      <c r="L411" s="297"/>
    </row>
    <row r="412" spans="9:12" x14ac:dyDescent="0.3">
      <c r="I412" s="295"/>
      <c r="J412" s="297"/>
      <c r="K412" s="297"/>
      <c r="L412" s="297"/>
    </row>
    <row r="413" spans="9:12" x14ac:dyDescent="0.3">
      <c r="I413" s="295"/>
      <c r="J413" s="297"/>
      <c r="K413" s="297"/>
      <c r="L413" s="297"/>
    </row>
    <row r="414" spans="9:12" x14ac:dyDescent="0.3">
      <c r="I414" s="295"/>
      <c r="J414" s="297"/>
      <c r="K414" s="297"/>
      <c r="L414" s="297"/>
    </row>
    <row r="415" spans="9:12" x14ac:dyDescent="0.3">
      <c r="I415" s="295"/>
      <c r="J415" s="297"/>
      <c r="K415" s="297"/>
      <c r="L415" s="297"/>
    </row>
    <row r="416" spans="9:12" x14ac:dyDescent="0.3">
      <c r="I416" s="295"/>
      <c r="J416" s="297"/>
      <c r="K416" s="297"/>
      <c r="L416" s="297"/>
    </row>
    <row r="417" spans="9:12" x14ac:dyDescent="0.3">
      <c r="I417" s="295"/>
      <c r="J417" s="297"/>
      <c r="K417" s="297"/>
      <c r="L417" s="297"/>
    </row>
    <row r="418" spans="9:12" x14ac:dyDescent="0.3">
      <c r="I418" s="295"/>
      <c r="J418" s="297"/>
      <c r="K418" s="297"/>
      <c r="L418" s="297"/>
    </row>
    <row r="419" spans="9:12" x14ac:dyDescent="0.3">
      <c r="I419" s="295"/>
      <c r="J419" s="297"/>
    </row>
    <row r="420" spans="9:12" x14ac:dyDescent="0.3">
      <c r="I420" s="295"/>
      <c r="J420" s="297"/>
    </row>
    <row r="421" spans="9:12" x14ac:dyDescent="0.3">
      <c r="I421" s="295"/>
      <c r="J421" s="297"/>
    </row>
    <row r="422" spans="9:12" x14ac:dyDescent="0.3">
      <c r="I422" s="295"/>
      <c r="J422" s="297"/>
    </row>
    <row r="423" spans="9:12" x14ac:dyDescent="0.3">
      <c r="I423" s="295"/>
      <c r="J423" s="297"/>
    </row>
    <row r="424" spans="9:12" x14ac:dyDescent="0.3">
      <c r="I424" s="295"/>
      <c r="J424" s="297"/>
    </row>
    <row r="425" spans="9:12" x14ac:dyDescent="0.3">
      <c r="I425" s="295"/>
      <c r="J425" s="297"/>
    </row>
    <row r="426" spans="9:12" x14ac:dyDescent="0.3">
      <c r="I426" s="295"/>
      <c r="J426" s="297"/>
    </row>
    <row r="427" spans="9:12" x14ac:dyDescent="0.3">
      <c r="I427" s="295"/>
    </row>
    <row r="428" spans="9:12" x14ac:dyDescent="0.3">
      <c r="I428" s="295"/>
    </row>
    <row r="429" spans="9:12" x14ac:dyDescent="0.3">
      <c r="I429" s="295"/>
    </row>
    <row r="430" spans="9:12" x14ac:dyDescent="0.3">
      <c r="I430" s="295"/>
    </row>
    <row r="431" spans="9:12" x14ac:dyDescent="0.3">
      <c r="I431" s="295"/>
    </row>
    <row r="432" spans="9:12" x14ac:dyDescent="0.3">
      <c r="I432" s="295"/>
    </row>
    <row r="433" spans="9:9" x14ac:dyDescent="0.3">
      <c r="I433" s="295"/>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ed7e1DpA7DfxFyHUn/WHea8jB0DNXIM6E5Jdp5AqeLzfUZwrOSd9evZO/LVgFT23di1YiHqhsP6/dmSp6amj4g==" saltValue="exa3i3/xgURzbbjVyXOqdA==" spinCount="100000" sheet="1"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5" type="noConversion"/>
  <conditionalFormatting sqref="H198 H87:H98">
    <cfRule type="cellIs" dxfId="116" priority="107" stopIfTrue="1" operator="notEqual">
      <formula>0</formula>
    </cfRule>
  </conditionalFormatting>
  <conditionalFormatting sqref="H199">
    <cfRule type="cellIs" dxfId="115" priority="105" stopIfTrue="1" operator="notEqual">
      <formula>0</formula>
    </cfRule>
  </conditionalFormatting>
  <conditionalFormatting sqref="G289:G292 G296:G297">
    <cfRule type="cellIs" dxfId="114" priority="104" stopIfTrue="1" operator="notEqual">
      <formula>0</formula>
    </cfRule>
  </conditionalFormatting>
  <conditionalFormatting sqref="H23">
    <cfRule type="cellIs" dxfId="113" priority="103" stopIfTrue="1" operator="notEqual">
      <formula>0</formula>
    </cfRule>
  </conditionalFormatting>
  <conditionalFormatting sqref="H37:H38">
    <cfRule type="cellIs" dxfId="112" priority="102" stopIfTrue="1" operator="notEqual">
      <formula>0</formula>
    </cfRule>
  </conditionalFormatting>
  <conditionalFormatting sqref="H72">
    <cfRule type="cellIs" dxfId="111" priority="101" stopIfTrue="1" operator="notEqual">
      <formula>0</formula>
    </cfRule>
  </conditionalFormatting>
  <conditionalFormatting sqref="H149">
    <cfRule type="cellIs" dxfId="110" priority="99" stopIfTrue="1" operator="notEqual">
      <formula>0</formula>
    </cfRule>
  </conditionalFormatting>
  <conditionalFormatting sqref="H168">
    <cfRule type="cellIs" dxfId="109" priority="98" stopIfTrue="1" operator="notEqual">
      <formula>0</formula>
    </cfRule>
  </conditionalFormatting>
  <conditionalFormatting sqref="H182">
    <cfRule type="cellIs" dxfId="108" priority="97" stopIfTrue="1" operator="notEqual">
      <formula>0</formula>
    </cfRule>
  </conditionalFormatting>
  <conditionalFormatting sqref="H183">
    <cfRule type="cellIs" dxfId="107"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06" priority="67" stopIfTrue="1" operator="equal">
      <formula>0</formula>
    </cfRule>
  </conditionalFormatting>
  <conditionalFormatting sqref="L260">
    <cfRule type="cellIs" dxfId="105" priority="66" stopIfTrue="1" operator="equal">
      <formula>0</formula>
    </cfRule>
  </conditionalFormatting>
  <conditionalFormatting sqref="G274">
    <cfRule type="cellIs" priority="65" stopIfTrue="1" operator="equal">
      <formula>";;;"</formula>
    </cfRule>
  </conditionalFormatting>
  <conditionalFormatting sqref="G274">
    <cfRule type="cellIs" dxfId="104" priority="64" stopIfTrue="1" operator="equal">
      <formula>0</formula>
    </cfRule>
  </conditionalFormatting>
  <conditionalFormatting sqref="G274">
    <cfRule type="cellIs" dxfId="103" priority="63" stopIfTrue="1" operator="equal">
      <formula>0</formula>
    </cfRule>
  </conditionalFormatting>
  <conditionalFormatting sqref="G273">
    <cfRule type="cellIs" priority="53" stopIfTrue="1" operator="equal">
      <formula>";;;"</formula>
    </cfRule>
  </conditionalFormatting>
  <conditionalFormatting sqref="G273">
    <cfRule type="cellIs" dxfId="102" priority="52" stopIfTrue="1" operator="equal">
      <formula>0</formula>
    </cfRule>
  </conditionalFormatting>
  <conditionalFormatting sqref="G273">
    <cfRule type="cellIs" dxfId="101" priority="51" stopIfTrue="1" operator="equal">
      <formula>0</formula>
    </cfRule>
  </conditionalFormatting>
  <conditionalFormatting sqref="J266">
    <cfRule type="cellIs" priority="50" stopIfTrue="1" operator="equal">
      <formula>";;;"</formula>
    </cfRule>
  </conditionalFormatting>
  <conditionalFormatting sqref="J266">
    <cfRule type="cellIs" dxfId="100" priority="49" stopIfTrue="1" operator="equal">
      <formula>0</formula>
    </cfRule>
  </conditionalFormatting>
  <conditionalFormatting sqref="J266">
    <cfRule type="cellIs" dxfId="99" priority="48" stopIfTrue="1" operator="equal">
      <formula>0</formula>
    </cfRule>
  </conditionalFormatting>
  <conditionalFormatting sqref="G268">
    <cfRule type="cellIs" priority="20" stopIfTrue="1" operator="equal">
      <formula>";;;"</formula>
    </cfRule>
  </conditionalFormatting>
  <conditionalFormatting sqref="G268">
    <cfRule type="cellIs" dxfId="98" priority="19" stopIfTrue="1" operator="equal">
      <formula>0</formula>
    </cfRule>
  </conditionalFormatting>
  <conditionalFormatting sqref="G268">
    <cfRule type="cellIs" dxfId="97" priority="18" stopIfTrue="1" operator="equal">
      <formula>0</formula>
    </cfRule>
  </conditionalFormatting>
  <conditionalFormatting sqref="G266">
    <cfRule type="cellIs" priority="17" stopIfTrue="1" operator="equal">
      <formula>";;;"</formula>
    </cfRule>
  </conditionalFormatting>
  <conditionalFormatting sqref="G266">
    <cfRule type="cellIs" dxfId="96" priority="16" stopIfTrue="1" operator="equal">
      <formula>0</formula>
    </cfRule>
  </conditionalFormatting>
  <conditionalFormatting sqref="G266">
    <cfRule type="cellIs" dxfId="95" priority="15" stopIfTrue="1" operator="equal">
      <formula>0</formula>
    </cfRule>
  </conditionalFormatting>
  <conditionalFormatting sqref="G267">
    <cfRule type="cellIs" priority="14" stopIfTrue="1" operator="equal">
      <formula>";;;"</formula>
    </cfRule>
  </conditionalFormatting>
  <conditionalFormatting sqref="G267">
    <cfRule type="cellIs" dxfId="94" priority="13" stopIfTrue="1" operator="equal">
      <formula>0</formula>
    </cfRule>
  </conditionalFormatting>
  <conditionalFormatting sqref="G267">
    <cfRule type="cellIs" dxfId="93" priority="12" stopIfTrue="1" operator="equal">
      <formula>0</formula>
    </cfRule>
  </conditionalFormatting>
  <conditionalFormatting sqref="G270">
    <cfRule type="cellIs" priority="11" stopIfTrue="1" operator="equal">
      <formula>";;;"</formula>
    </cfRule>
  </conditionalFormatting>
  <conditionalFormatting sqref="G270">
    <cfRule type="cellIs" dxfId="92" priority="10" stopIfTrue="1" operator="equal">
      <formula>0</formula>
    </cfRule>
  </conditionalFormatting>
  <conditionalFormatting sqref="G270">
    <cfRule type="cellIs" dxfId="91" priority="9" stopIfTrue="1" operator="equal">
      <formula>0</formula>
    </cfRule>
  </conditionalFormatting>
  <conditionalFormatting sqref="G272">
    <cfRule type="cellIs" priority="3" stopIfTrue="1" operator="equal">
      <formula>";;;"</formula>
    </cfRule>
  </conditionalFormatting>
  <conditionalFormatting sqref="G272">
    <cfRule type="cellIs" dxfId="90" priority="2" stopIfTrue="1" operator="equal">
      <formula>0</formula>
    </cfRule>
  </conditionalFormatting>
  <conditionalFormatting sqref="G272">
    <cfRule type="cellIs" dxfId="89" priority="1" stopIfTrue="1" operator="equal">
      <formula>0</formula>
    </cfRule>
  </conditionalFormatting>
  <dataValidations xWindow="829" yWindow="690" count="24">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prompt="Select from drop down list" sqref="G88" xr:uid="{03FCCE46-B0EA-4672-8B51-281D65C01346}">
      <formula1>#REF!</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3" max="43" width="9.33203125" style="195"/>
    <col min="44" max="16384" width="9.33203125" style="194"/>
  </cols>
  <sheetData>
    <row r="1" spans="1:43" ht="87" customHeight="1" thickBot="1" x14ac:dyDescent="0.35">
      <c r="B1" s="1130" t="s">
        <v>1709</v>
      </c>
      <c r="C1" s="1131"/>
      <c r="D1" s="1131"/>
      <c r="E1" s="1131"/>
      <c r="F1" s="1131"/>
      <c r="G1" s="1131"/>
      <c r="H1" s="1131"/>
      <c r="I1" s="1131"/>
      <c r="J1" s="1132"/>
    </row>
    <row r="2" spans="1:43" s="196" customFormat="1" ht="16.8" hidden="1" thickBot="1" x14ac:dyDescent="0.35">
      <c r="B2" s="1133" t="s">
        <v>832</v>
      </c>
      <c r="C2" s="1134"/>
      <c r="D2" s="1134"/>
      <c r="E2" s="1134"/>
      <c r="F2" s="1134"/>
      <c r="G2" s="1134"/>
      <c r="H2" s="1134"/>
      <c r="I2" s="1134"/>
      <c r="J2" s="1135"/>
      <c r="K2"/>
      <c r="L2"/>
      <c r="M2"/>
      <c r="N2"/>
      <c r="O2"/>
      <c r="P2"/>
      <c r="Q2"/>
      <c r="R2"/>
      <c r="S2"/>
      <c r="T2"/>
      <c r="U2"/>
      <c r="V2"/>
      <c r="W2"/>
      <c r="X2"/>
      <c r="Y2"/>
      <c r="Z2"/>
      <c r="AA2"/>
      <c r="AB2"/>
      <c r="AC2"/>
      <c r="AD2"/>
      <c r="AE2"/>
      <c r="AF2"/>
      <c r="AG2"/>
      <c r="AH2"/>
      <c r="AI2"/>
      <c r="AJ2"/>
      <c r="AK2"/>
      <c r="AL2"/>
      <c r="AM2"/>
      <c r="AN2"/>
      <c r="AO2"/>
      <c r="AP2"/>
      <c r="AQ2" s="195"/>
    </row>
    <row r="3" spans="1:43" s="198" customFormat="1" ht="39" hidden="1" customHeight="1" thickBot="1" x14ac:dyDescent="0.35">
      <c r="A3" s="194"/>
      <c r="B3" s="1136" t="s">
        <v>833</v>
      </c>
      <c r="C3" s="1137"/>
      <c r="D3" s="1137"/>
      <c r="E3" s="1137"/>
      <c r="F3" s="1137"/>
      <c r="G3" s="1137"/>
      <c r="H3" s="1137"/>
      <c r="I3" s="1137"/>
      <c r="J3" s="1138"/>
      <c r="K3"/>
      <c r="L3"/>
      <c r="M3"/>
      <c r="N3"/>
      <c r="O3"/>
      <c r="P3"/>
      <c r="Q3"/>
      <c r="R3"/>
      <c r="S3"/>
      <c r="T3"/>
      <c r="U3"/>
      <c r="V3"/>
      <c r="W3"/>
      <c r="X3"/>
      <c r="Y3"/>
      <c r="Z3"/>
      <c r="AA3"/>
      <c r="AB3"/>
      <c r="AC3"/>
      <c r="AD3"/>
      <c r="AE3"/>
      <c r="AF3"/>
      <c r="AG3"/>
      <c r="AH3"/>
      <c r="AI3"/>
      <c r="AJ3"/>
      <c r="AK3"/>
      <c r="AL3"/>
      <c r="AM3"/>
      <c r="AN3"/>
      <c r="AO3"/>
      <c r="AP3"/>
      <c r="AQ3" s="197"/>
    </row>
    <row r="4" spans="1:43" ht="20.399999999999999" customHeight="1" x14ac:dyDescent="0.3">
      <c r="B4" s="1105" t="s">
        <v>1710</v>
      </c>
      <c r="C4" s="1106"/>
      <c r="D4" s="1106"/>
      <c r="E4" s="1106"/>
      <c r="F4" s="1107"/>
      <c r="G4" s="1107"/>
      <c r="H4" s="1107"/>
      <c r="I4" s="1107"/>
      <c r="J4" s="1108"/>
    </row>
    <row r="5" spans="1:43" ht="27" hidden="1" customHeight="1" x14ac:dyDescent="0.3">
      <c r="B5" s="1148" t="s">
        <v>1505</v>
      </c>
      <c r="C5" s="1149"/>
      <c r="D5" s="1149"/>
      <c r="E5" s="1149"/>
      <c r="F5" s="1149"/>
      <c r="G5" s="1149"/>
      <c r="H5" s="1149"/>
      <c r="I5" s="1149"/>
      <c r="J5" s="1150"/>
    </row>
    <row r="6" spans="1:43" ht="27" hidden="1" customHeight="1" x14ac:dyDescent="0.3">
      <c r="B6" s="925"/>
      <c r="C6" s="926"/>
      <c r="D6" s="926"/>
      <c r="E6" s="926"/>
      <c r="F6" s="926"/>
      <c r="G6" s="926"/>
      <c r="H6" s="926"/>
      <c r="I6" s="926"/>
      <c r="J6" s="927"/>
    </row>
    <row r="7" spans="1:43" ht="20.25" customHeight="1" thickBot="1" x14ac:dyDescent="0.35">
      <c r="B7" s="1145" t="s">
        <v>1711</v>
      </c>
      <c r="C7" s="1146"/>
      <c r="D7" s="1146"/>
      <c r="E7" s="1146"/>
      <c r="F7" s="1146"/>
      <c r="G7" s="1146"/>
      <c r="H7" s="1146"/>
      <c r="I7" s="1146"/>
      <c r="J7" s="1147"/>
    </row>
    <row r="8" spans="1:43" ht="39" hidden="1" customHeight="1" thickBot="1" x14ac:dyDescent="0.35">
      <c r="B8" s="199"/>
      <c r="C8" s="200"/>
      <c r="D8" s="201" t="s">
        <v>834</v>
      </c>
      <c r="E8" s="202"/>
      <c r="F8" s="203"/>
      <c r="G8" s="203"/>
      <c r="H8" s="203"/>
      <c r="I8" s="203"/>
      <c r="J8" s="204"/>
    </row>
    <row r="9" spans="1:43" s="205" customFormat="1" ht="15" hidden="1" thickBot="1" x14ac:dyDescent="0.35">
      <c r="B9" s="206"/>
      <c r="C9" s="207"/>
      <c r="D9" s="256" t="s">
        <v>683</v>
      </c>
      <c r="E9" s="208"/>
      <c r="F9" s="208"/>
      <c r="G9" s="208"/>
      <c r="H9" s="209"/>
      <c r="I9" s="209"/>
      <c r="J9" s="210"/>
      <c r="K9"/>
      <c r="L9"/>
      <c r="M9"/>
      <c r="N9"/>
      <c r="O9"/>
      <c r="P9"/>
      <c r="Q9"/>
      <c r="R9"/>
      <c r="S9"/>
      <c r="T9"/>
      <c r="U9"/>
      <c r="V9"/>
      <c r="W9"/>
      <c r="X9"/>
      <c r="Y9"/>
      <c r="Z9"/>
      <c r="AA9"/>
      <c r="AB9"/>
      <c r="AC9"/>
      <c r="AD9"/>
      <c r="AE9"/>
      <c r="AF9"/>
      <c r="AG9"/>
      <c r="AH9"/>
      <c r="AI9"/>
      <c r="AJ9"/>
      <c r="AK9"/>
      <c r="AL9"/>
      <c r="AM9"/>
      <c r="AN9"/>
      <c r="AO9"/>
      <c r="AP9"/>
      <c r="AQ9" s="195"/>
    </row>
    <row r="10" spans="1:43" ht="19.5" hidden="1" customHeight="1" thickBot="1" x14ac:dyDescent="0.35">
      <c r="B10" s="211"/>
      <c r="C10" s="212"/>
      <c r="D10" s="303" t="s">
        <v>1058</v>
      </c>
      <c r="E10" s="1143" t="s">
        <v>835</v>
      </c>
      <c r="F10" s="1143"/>
      <c r="G10" s="1140"/>
      <c r="H10" s="1141"/>
      <c r="I10" s="1142"/>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4" t="s">
        <v>1059</v>
      </c>
      <c r="E12" s="1143" t="s">
        <v>1250</v>
      </c>
      <c r="F12" s="1143"/>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143" t="s">
        <v>836</v>
      </c>
      <c r="F14" s="1143"/>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999</v>
      </c>
      <c r="E16" s="1139" t="s">
        <v>837</v>
      </c>
      <c r="F16" s="1139"/>
      <c r="G16" s="1144"/>
      <c r="H16" s="1141"/>
      <c r="I16" s="1142"/>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1000</v>
      </c>
      <c r="E18" s="1139" t="s">
        <v>838</v>
      </c>
      <c r="F18" s="1139"/>
      <c r="G18" s="1140"/>
      <c r="H18" s="1141"/>
      <c r="I18" s="1142"/>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1001</v>
      </c>
      <c r="E20" s="1139" t="s">
        <v>839</v>
      </c>
      <c r="F20" s="1139"/>
      <c r="G20" s="1140"/>
      <c r="H20" s="1141"/>
      <c r="I20" s="1142"/>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1002</v>
      </c>
      <c r="E22" s="1139" t="s">
        <v>840</v>
      </c>
      <c r="F22" s="1139"/>
      <c r="G22" s="1144"/>
      <c r="H22" s="1141"/>
      <c r="I22" s="1142"/>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1003</v>
      </c>
      <c r="E24" s="1139" t="s">
        <v>841</v>
      </c>
      <c r="F24" s="1139"/>
      <c r="G24" s="1144"/>
      <c r="H24" s="1141"/>
      <c r="I24" s="1142"/>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1060</v>
      </c>
      <c r="E26" s="1143" t="s">
        <v>842</v>
      </c>
      <c r="F26" s="1143"/>
      <c r="G26" s="1154"/>
      <c r="H26" s="1155"/>
      <c r="I26" s="219"/>
      <c r="J26" s="213"/>
    </row>
    <row r="27" spans="2:10" ht="28.5" hidden="1" customHeight="1" thickBot="1" x14ac:dyDescent="0.35">
      <c r="B27" s="211"/>
      <c r="C27" s="212"/>
      <c r="D27" s="262"/>
      <c r="E27" s="1156" t="str">
        <f>IF(G26="Housing Authority", CONCATENATE("SKIP Questions ",D28,"-",D66),"")</f>
        <v/>
      </c>
      <c r="F27" s="1156"/>
      <c r="G27" s="1156"/>
      <c r="H27" s="1156"/>
      <c r="I27" s="219"/>
      <c r="J27" s="213"/>
    </row>
    <row r="28" spans="2:10" ht="28.5" hidden="1" customHeight="1" thickBot="1" x14ac:dyDescent="0.35">
      <c r="B28" s="211"/>
      <c r="C28" s="212"/>
      <c r="D28" s="262" t="s">
        <v>1005</v>
      </c>
      <c r="E28" s="1143" t="s">
        <v>843</v>
      </c>
      <c r="F28" s="1143"/>
      <c r="G28" s="220"/>
      <c r="H28" s="1157">
        <f>+O28</f>
        <v>0</v>
      </c>
      <c r="I28" s="1158"/>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1004</v>
      </c>
      <c r="E30" s="1143" t="s">
        <v>844</v>
      </c>
      <c r="F30" s="1143"/>
      <c r="G30" s="223"/>
      <c r="H30" s="1159"/>
      <c r="I30" s="1159"/>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1006</v>
      </c>
      <c r="E32" s="1160" t="s">
        <v>845</v>
      </c>
      <c r="F32" s="1161"/>
      <c r="G32" s="1151"/>
      <c r="H32" s="1152"/>
      <c r="I32" s="1153"/>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1007</v>
      </c>
      <c r="E34" s="217" t="s">
        <v>846</v>
      </c>
      <c r="F34" s="217"/>
      <c r="G34" s="1140"/>
      <c r="H34" s="1141"/>
      <c r="I34" s="1142"/>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1008</v>
      </c>
      <c r="E36" s="1143" t="s">
        <v>847</v>
      </c>
      <c r="F36" s="1163"/>
      <c r="G36" s="1140"/>
      <c r="H36" s="1141"/>
      <c r="I36" s="1142"/>
      <c r="J36" s="213"/>
    </row>
    <row r="37" spans="2:10" ht="8.25" hidden="1" customHeight="1" thickBot="1" x14ac:dyDescent="0.35">
      <c r="B37" s="211"/>
      <c r="C37" s="212"/>
      <c r="D37" s="256"/>
      <c r="E37" s="1164"/>
      <c r="F37" s="1164"/>
      <c r="G37" s="1164"/>
      <c r="H37" s="1164"/>
      <c r="I37" s="219"/>
      <c r="J37" s="213"/>
    </row>
    <row r="38" spans="2:10" ht="39" customHeight="1" thickBot="1" x14ac:dyDescent="0.35">
      <c r="B38" s="1165" t="s">
        <v>1504</v>
      </c>
      <c r="C38" s="1166"/>
      <c r="D38" s="1166"/>
      <c r="E38" s="1166"/>
      <c r="F38" s="1166"/>
      <c r="G38" s="1166"/>
      <c r="H38" s="1166"/>
      <c r="I38" s="1166"/>
      <c r="J38" s="1167"/>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143" t="s">
        <v>848</v>
      </c>
      <c r="F41" s="1143"/>
      <c r="G41" s="220"/>
      <c r="H41" s="301"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143" t="s">
        <v>849</v>
      </c>
      <c r="F43" s="1143"/>
      <c r="G43" s="220"/>
      <c r="H43" s="301"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143" t="s">
        <v>850</v>
      </c>
      <c r="F45" s="1143"/>
      <c r="G45" s="220"/>
      <c r="H45" s="301"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143" t="s">
        <v>851</v>
      </c>
      <c r="F47" s="1143"/>
      <c r="G47" s="220"/>
      <c r="H47" s="301"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143" t="s">
        <v>852</v>
      </c>
      <c r="F49" s="1143"/>
      <c r="G49" s="225"/>
      <c r="H49" s="301"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143" t="s">
        <v>853</v>
      </c>
      <c r="F51" s="1143"/>
      <c r="G51" s="225"/>
      <c r="H51" s="301" t="str">
        <f>IF(G51="","This Question must be answered before uploading, the report will not be processed if left blank","")</f>
        <v>This Question must be answered before uploading, the report will not be processed if left blank</v>
      </c>
      <c r="I51" s="226"/>
      <c r="J51" s="227"/>
    </row>
    <row r="52" spans="2:43" ht="9.75" hidden="1" customHeight="1" thickBot="1" x14ac:dyDescent="0.3">
      <c r="B52" s="211"/>
      <c r="C52" s="212"/>
      <c r="D52" s="257"/>
      <c r="E52" s="208"/>
      <c r="F52" s="208"/>
      <c r="G52" s="212"/>
      <c r="H52" s="212"/>
      <c r="I52" s="212"/>
      <c r="J52" s="213"/>
    </row>
    <row r="53" spans="2:43" ht="35.1" hidden="1" customHeight="1" thickBot="1" x14ac:dyDescent="0.35">
      <c r="B53" s="211"/>
      <c r="C53" s="212"/>
      <c r="D53" s="256">
        <v>959</v>
      </c>
      <c r="E53" s="1162" t="s">
        <v>1245</v>
      </c>
      <c r="F53" s="1162"/>
      <c r="G53" s="220"/>
      <c r="H53" s="301" t="str">
        <f>IF(G53="","This Question must be answered before uploading, the report will not be processed if left blank","")</f>
        <v>This Question must be answered before uploading, the report will not be processed if left blank</v>
      </c>
      <c r="I53" s="212"/>
      <c r="J53" s="213"/>
    </row>
    <row r="54" spans="2:43" ht="8.25" hidden="1" customHeight="1" thickBot="1" x14ac:dyDescent="0.3">
      <c r="B54" s="211"/>
      <c r="C54" s="212"/>
      <c r="D54" s="256"/>
      <c r="E54" s="379"/>
      <c r="F54" s="379"/>
      <c r="G54" s="212"/>
      <c r="H54" s="212"/>
      <c r="I54" s="212"/>
      <c r="J54" s="213"/>
    </row>
    <row r="55" spans="2:43" ht="67.5" hidden="1" customHeight="1" thickBot="1" x14ac:dyDescent="0.35">
      <c r="B55" s="211"/>
      <c r="C55" s="228"/>
      <c r="D55" s="256">
        <v>973</v>
      </c>
      <c r="E55" s="1162" t="s">
        <v>1316</v>
      </c>
      <c r="F55" s="1162"/>
      <c r="G55" s="384"/>
      <c r="H55" s="301" t="str">
        <f>IF(G55="","This Question must be answered before uploading, the report will not be processed if left blank","")</f>
        <v>This Question must be answered before uploading, the report will not be processed if left blank</v>
      </c>
      <c r="I55" s="280"/>
      <c r="J55" s="213"/>
    </row>
    <row r="56" spans="2:43" ht="6.75" customHeight="1" thickBot="1" x14ac:dyDescent="0.35">
      <c r="B56" s="211"/>
      <c r="C56" s="228"/>
      <c r="D56" s="259"/>
      <c r="E56" s="208"/>
      <c r="F56" s="208"/>
      <c r="G56" s="255"/>
      <c r="H56" s="212"/>
      <c r="I56" s="212"/>
      <c r="J56" s="213"/>
    </row>
    <row r="57" spans="2:43" ht="98.25" customHeight="1" thickBot="1" x14ac:dyDescent="0.35">
      <c r="B57" s="211"/>
      <c r="C57" s="212"/>
      <c r="D57" s="256">
        <v>974</v>
      </c>
      <c r="E57" s="1143" t="s">
        <v>1249</v>
      </c>
      <c r="F57" s="1168"/>
      <c r="G57" s="220"/>
      <c r="H57" s="300" t="str">
        <f>IF(G57="","This Question must be answered before uploading, the report will not be processed if left blank","")</f>
        <v>This Question must be answered before uploading, the report will not be processed if left blank</v>
      </c>
      <c r="I57" s="229"/>
      <c r="J57" s="213"/>
    </row>
    <row r="58" spans="2:43" ht="6.75" customHeight="1" x14ac:dyDescent="0.3">
      <c r="B58" s="211"/>
      <c r="C58" s="212"/>
      <c r="D58" s="256"/>
      <c r="E58" s="217"/>
      <c r="F58" s="217"/>
      <c r="G58" s="221"/>
      <c r="H58" s="212"/>
      <c r="I58" s="212"/>
      <c r="J58" s="213"/>
    </row>
    <row r="59" spans="2:43" ht="6.75" hidden="1" customHeight="1" thickBot="1" x14ac:dyDescent="0.3">
      <c r="B59" s="211"/>
      <c r="C59" s="212"/>
      <c r="D59" s="256"/>
      <c r="E59" s="217"/>
      <c r="F59" s="217"/>
      <c r="G59" s="221"/>
      <c r="H59" s="208"/>
      <c r="I59" s="212"/>
      <c r="J59" s="213"/>
    </row>
    <row r="60" spans="2:43" ht="29.25" hidden="1" customHeight="1" thickBot="1" x14ac:dyDescent="0.35">
      <c r="B60" s="211"/>
      <c r="C60" s="212"/>
      <c r="D60" s="256">
        <v>965</v>
      </c>
      <c r="E60" s="1143" t="s">
        <v>854</v>
      </c>
      <c r="F60" s="1143"/>
      <c r="G60" s="223"/>
      <c r="H60" s="301" t="str">
        <f>IF(G60="","This Question must be answered before uploading, the report will not be processed if left blank","")</f>
        <v>This Question must be answered before uploading, the report will not be processed if left blank</v>
      </c>
      <c r="I60" s="222"/>
      <c r="J60" s="213"/>
    </row>
    <row r="61" spans="2:43" ht="6.75"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1061</v>
      </c>
      <c r="E62" s="232" t="s">
        <v>855</v>
      </c>
      <c r="F62" s="233" t="str">
        <f>IF(G62="Yes", "Please Submit Management Letter","")</f>
        <v/>
      </c>
      <c r="G62" s="220"/>
      <c r="H62" s="301" t="str">
        <f>IF(G62="","This Question must be answered before uploading, the report will not be processed if left blank","")</f>
        <v>This Question must be answered before uploading, the report will not be processed if left blank</v>
      </c>
      <c r="I62" s="279"/>
      <c r="J62" s="213"/>
      <c r="K62"/>
      <c r="L62"/>
      <c r="M62"/>
      <c r="N62"/>
      <c r="O62"/>
      <c r="P62"/>
      <c r="Q62"/>
      <c r="R62"/>
      <c r="S62"/>
      <c r="T62"/>
      <c r="U62"/>
      <c r="V62"/>
      <c r="W62"/>
      <c r="X62"/>
      <c r="Y62"/>
      <c r="Z62"/>
      <c r="AA62"/>
      <c r="AB62"/>
      <c r="AC62"/>
      <c r="AD62"/>
      <c r="AE62"/>
      <c r="AF62"/>
      <c r="AG62"/>
      <c r="AH62"/>
      <c r="AI62"/>
      <c r="AJ62"/>
      <c r="AK62"/>
      <c r="AL62"/>
      <c r="AM62"/>
      <c r="AN62"/>
      <c r="AO62"/>
      <c r="AP62"/>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c r="AO63"/>
      <c r="AP63"/>
      <c r="AQ63" s="224"/>
    </row>
    <row r="64" spans="2:43" s="234" customFormat="1" ht="31.5" customHeight="1" thickBot="1" x14ac:dyDescent="0.35">
      <c r="B64" s="230"/>
      <c r="C64" s="231"/>
      <c r="D64" s="256" t="s">
        <v>1062</v>
      </c>
      <c r="E64" s="232" t="s">
        <v>856</v>
      </c>
      <c r="F64" s="233" t="str">
        <f>IF(G64="Yes", "Please Submit AU-C 260 Letter","")</f>
        <v/>
      </c>
      <c r="G64" s="220"/>
      <c r="H64" s="301" t="str">
        <f>IF(G64="","This Question must be answered before uploading, the report will not be processed if left blank","")</f>
        <v>This Question must be answered before uploading, the report will not be processed if left blank</v>
      </c>
      <c r="I64" s="279"/>
      <c r="J64" s="213"/>
      <c r="K64"/>
      <c r="L64"/>
      <c r="M64"/>
      <c r="N64"/>
      <c r="O64"/>
      <c r="P64"/>
      <c r="Q64"/>
      <c r="R64"/>
      <c r="S64"/>
      <c r="T64"/>
      <c r="U64"/>
      <c r="V64"/>
      <c r="W64"/>
      <c r="X64"/>
      <c r="Y64"/>
      <c r="Z64"/>
      <c r="AA64"/>
      <c r="AB64"/>
      <c r="AC64"/>
      <c r="AD64"/>
      <c r="AE64"/>
      <c r="AF64"/>
      <c r="AG64"/>
      <c r="AH64"/>
      <c r="AI64"/>
      <c r="AJ64"/>
      <c r="AK64"/>
      <c r="AL64"/>
      <c r="AM64"/>
      <c r="AN64"/>
      <c r="AO64"/>
      <c r="AP6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c r="AO65"/>
      <c r="AP65"/>
      <c r="AQ65" s="224"/>
    </row>
    <row r="66" spans="2:43" s="234" customFormat="1" ht="33.75" customHeight="1" thickBot="1" x14ac:dyDescent="0.35">
      <c r="B66" s="230"/>
      <c r="C66" s="231"/>
      <c r="D66" s="256" t="s">
        <v>1063</v>
      </c>
      <c r="E66" s="232" t="s">
        <v>857</v>
      </c>
      <c r="F66" s="233" t="str">
        <f>IF(G66="Yes", "Please Submit AU-C 265 Letter","")</f>
        <v/>
      </c>
      <c r="G66" s="220"/>
      <c r="H66" s="301" t="str">
        <f>IF(G66="","This Question must be answered before uploading, the report will not be processed if left blank","")</f>
        <v>This Question must be answered before uploading, the report will not be processed if left blank</v>
      </c>
      <c r="I66" s="279"/>
      <c r="J66" s="213"/>
      <c r="K66"/>
      <c r="L66"/>
      <c r="M66"/>
      <c r="N66"/>
      <c r="O66"/>
      <c r="P66"/>
      <c r="Q66"/>
      <c r="R66"/>
      <c r="S66"/>
      <c r="T66"/>
      <c r="U66"/>
      <c r="V66"/>
      <c r="W66"/>
      <c r="X66"/>
      <c r="Y66"/>
      <c r="Z66"/>
      <c r="AA66"/>
      <c r="AB66"/>
      <c r="AC66"/>
      <c r="AD66"/>
      <c r="AE66"/>
      <c r="AF66"/>
      <c r="AG66"/>
      <c r="AH66"/>
      <c r="AI66"/>
      <c r="AJ66"/>
      <c r="AK66"/>
      <c r="AL66"/>
      <c r="AM66"/>
      <c r="AN66"/>
      <c r="AO66"/>
      <c r="AP66"/>
      <c r="AQ66" s="224"/>
    </row>
    <row r="67" spans="2:43" ht="6.75" hidden="1" customHeight="1" thickBot="1" x14ac:dyDescent="0.3">
      <c r="B67" s="211"/>
      <c r="C67" s="212"/>
      <c r="D67" s="257"/>
      <c r="E67" s="238"/>
      <c r="F67" s="238"/>
      <c r="G67" s="215"/>
      <c r="H67" s="208"/>
      <c r="I67" s="208"/>
      <c r="J67" s="213"/>
    </row>
    <row r="68" spans="2:43" s="234" customFormat="1" ht="35.25" hidden="1" customHeight="1" thickBot="1" x14ac:dyDescent="0.35">
      <c r="B68" s="230"/>
      <c r="C68" s="215"/>
      <c r="D68" s="387">
        <v>977</v>
      </c>
      <c r="E68" s="1169" t="s">
        <v>1232</v>
      </c>
      <c r="F68" s="1170"/>
      <c r="G68" s="385"/>
      <c r="H68" s="301"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c r="AO68"/>
      <c r="AP68"/>
      <c r="AQ68" s="224"/>
    </row>
    <row r="69" spans="2:43" s="234" customFormat="1" ht="8.25" hidden="1" customHeight="1" thickBot="1" x14ac:dyDescent="0.3">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c r="AO69"/>
      <c r="AP69"/>
      <c r="AQ69" s="224"/>
    </row>
    <row r="70" spans="2:43" s="234" customFormat="1" ht="30" hidden="1" customHeight="1" thickBot="1" x14ac:dyDescent="0.35">
      <c r="B70" s="230"/>
      <c r="C70" s="215"/>
      <c r="D70" s="387">
        <v>978</v>
      </c>
      <c r="E70" s="1169" t="s">
        <v>1010</v>
      </c>
      <c r="F70" s="1170"/>
      <c r="G70" s="385"/>
      <c r="H70" s="301"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c r="AO70"/>
      <c r="AP70"/>
      <c r="AQ70" s="224"/>
    </row>
    <row r="71" spans="2:43" s="234" customFormat="1" ht="8.25" customHeight="1" thickBot="1" x14ac:dyDescent="0.35">
      <c r="B71" s="230"/>
      <c r="C71" s="215"/>
      <c r="D71" s="387"/>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c r="AO71"/>
      <c r="AP71"/>
      <c r="AQ71" s="224"/>
    </row>
    <row r="72" spans="2:43" s="234" customFormat="1" ht="36.75" hidden="1" customHeight="1" thickBot="1" x14ac:dyDescent="0.35">
      <c r="B72" s="230"/>
      <c r="C72" s="215"/>
      <c r="D72" s="387">
        <v>979</v>
      </c>
      <c r="E72" s="1169" t="s">
        <v>1571</v>
      </c>
      <c r="F72" s="1170"/>
      <c r="G72" s="385"/>
      <c r="H72" s="301"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c r="AO72"/>
      <c r="AP72"/>
      <c r="AQ72" s="224"/>
    </row>
    <row r="73" spans="2:43" s="266" customFormat="1" ht="6.75" hidden="1"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c r="AO73"/>
      <c r="AP73"/>
      <c r="AQ73" s="267"/>
    </row>
    <row r="74" spans="2:43" s="234" customFormat="1" ht="39" hidden="1" customHeight="1" thickBot="1" x14ac:dyDescent="0.35">
      <c r="B74" s="230"/>
      <c r="C74" s="215"/>
      <c r="D74" s="387">
        <v>980</v>
      </c>
      <c r="E74" s="1171" t="s">
        <v>1009</v>
      </c>
      <c r="F74" s="1171"/>
      <c r="G74" s="386"/>
      <c r="H74" s="301"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c r="AO74"/>
      <c r="AP74"/>
      <c r="AQ74" s="224"/>
    </row>
    <row r="75" spans="2:43" s="266" customFormat="1" ht="6.75" hidden="1" customHeight="1" thickBot="1" x14ac:dyDescent="0.35">
      <c r="B75" s="230"/>
      <c r="C75" s="215"/>
      <c r="D75" s="256"/>
      <c r="E75" s="1086"/>
      <c r="F75" s="265"/>
      <c r="G75" s="221"/>
      <c r="H75" s="1085"/>
      <c r="I75" s="222"/>
      <c r="J75" s="213"/>
      <c r="K75"/>
      <c r="L75"/>
      <c r="M75"/>
      <c r="N75"/>
      <c r="O75"/>
      <c r="P75"/>
      <c r="Q75"/>
      <c r="R75"/>
      <c r="S75"/>
      <c r="T75"/>
      <c r="U75"/>
      <c r="V75"/>
      <c r="W75"/>
      <c r="X75"/>
      <c r="Y75"/>
      <c r="Z75"/>
      <c r="AA75"/>
      <c r="AB75"/>
      <c r="AC75"/>
      <c r="AD75"/>
      <c r="AE75"/>
      <c r="AF75"/>
      <c r="AG75"/>
      <c r="AH75"/>
      <c r="AI75"/>
      <c r="AJ75"/>
      <c r="AK75"/>
      <c r="AL75"/>
      <c r="AM75"/>
      <c r="AN75"/>
      <c r="AO75"/>
      <c r="AP75"/>
      <c r="AQ75" s="267"/>
    </row>
    <row r="76" spans="2:43" ht="32.25" customHeight="1" thickBot="1" x14ac:dyDescent="0.35">
      <c r="B76" s="211"/>
      <c r="C76" s="228"/>
      <c r="D76" s="256">
        <v>975</v>
      </c>
      <c r="E76" s="1143" t="s">
        <v>1012</v>
      </c>
      <c r="F76" s="1168"/>
      <c r="G76" s="220"/>
      <c r="H76" s="300" t="str">
        <f>IF(G76="","This Question must be answered before uploading, the report will not be processed if left blank","")</f>
        <v>This Question must be answered before uploading, the report will not be processed if left blank</v>
      </c>
      <c r="I76" s="226"/>
      <c r="J76" s="227"/>
    </row>
    <row r="77" spans="2:43" s="266" customFormat="1" ht="6.75" customHeight="1" thickBot="1" x14ac:dyDescent="0.35">
      <c r="B77" s="230"/>
      <c r="C77" s="215"/>
      <c r="D77" s="256"/>
      <c r="E77" s="1079"/>
      <c r="F77" s="265"/>
      <c r="G77" s="221"/>
      <c r="H77" s="1080"/>
      <c r="I77" s="222"/>
      <c r="J77" s="213"/>
      <c r="K77"/>
      <c r="L77"/>
      <c r="M77"/>
      <c r="N77"/>
      <c r="O77"/>
      <c r="P77"/>
      <c r="Q77"/>
      <c r="R77"/>
      <c r="S77"/>
      <c r="T77"/>
      <c r="U77"/>
      <c r="V77"/>
      <c r="W77"/>
      <c r="X77"/>
      <c r="Y77"/>
      <c r="Z77"/>
      <c r="AA77"/>
      <c r="AB77"/>
      <c r="AC77"/>
      <c r="AD77"/>
      <c r="AE77"/>
      <c r="AF77"/>
      <c r="AG77"/>
      <c r="AH77"/>
      <c r="AI77"/>
      <c r="AJ77"/>
      <c r="AK77"/>
      <c r="AL77"/>
      <c r="AM77"/>
      <c r="AN77"/>
      <c r="AO77"/>
      <c r="AP77"/>
      <c r="AQ77" s="267"/>
    </row>
    <row r="78" spans="2:43" ht="61.5" customHeight="1" thickBot="1" x14ac:dyDescent="0.35">
      <c r="B78" s="211"/>
      <c r="C78" s="228"/>
      <c r="D78" s="256">
        <v>976</v>
      </c>
      <c r="E78" s="1143" t="s">
        <v>1204</v>
      </c>
      <c r="F78" s="1168"/>
      <c r="G78" s="220"/>
      <c r="H78" s="300" t="str">
        <f>IF(G78="","This Question must be answered before uploading, the report will not be processed if left blank","")</f>
        <v>This Question must be answered before uploading, the report will not be processed if left blank</v>
      </c>
      <c r="I78" s="226"/>
      <c r="J78" s="227"/>
    </row>
    <row r="79" spans="2:43" ht="39" customHeight="1" thickBot="1" x14ac:dyDescent="0.35">
      <c r="B79" s="199"/>
      <c r="C79" s="200"/>
      <c r="D79" s="201"/>
      <c r="E79" s="202"/>
      <c r="F79" s="203"/>
      <c r="G79" s="203"/>
      <c r="H79" s="203"/>
      <c r="I79" s="203"/>
      <c r="J79" s="204"/>
    </row>
    <row r="80" spans="2:43" ht="10.5" customHeight="1" thickBot="1" x14ac:dyDescent="0.35">
      <c r="B80" s="211"/>
      <c r="C80" s="212"/>
      <c r="D80" s="257"/>
      <c r="E80" s="208"/>
      <c r="F80" s="208"/>
      <c r="G80" s="215"/>
      <c r="H80" s="212"/>
      <c r="I80" s="212"/>
      <c r="J80" s="213"/>
    </row>
    <row r="81" spans="1:10" ht="35.4" customHeight="1" thickBot="1" x14ac:dyDescent="0.35">
      <c r="B81" s="211"/>
      <c r="C81" s="212"/>
      <c r="D81" s="257" t="s">
        <v>1064</v>
      </c>
      <c r="E81" s="1113" t="str">
        <f>IF(G81="","This Question must be answered before uploading, the report will not be processed if left blank","")</f>
        <v>This Question must be answered before uploading, the report will not be processed if left blank</v>
      </c>
      <c r="F81" s="1112" t="s">
        <v>858</v>
      </c>
      <c r="G81" s="1140"/>
      <c r="H81" s="1141"/>
      <c r="I81" s="1142"/>
      <c r="J81" s="213"/>
    </row>
    <row r="82" spans="1:10" ht="6.75" customHeight="1" thickBot="1" x14ac:dyDescent="0.35">
      <c r="B82" s="211"/>
      <c r="C82" s="212"/>
      <c r="D82" s="257"/>
      <c r="E82" s="238"/>
      <c r="F82" s="238"/>
      <c r="G82" s="215"/>
      <c r="H82" s="215"/>
      <c r="I82" s="215"/>
      <c r="J82" s="213"/>
    </row>
    <row r="83" spans="1:10" ht="34.799999999999997" customHeight="1" thickBot="1" x14ac:dyDescent="0.35">
      <c r="B83" s="211"/>
      <c r="C83" s="212"/>
      <c r="D83" s="257" t="s">
        <v>1065</v>
      </c>
      <c r="E83" s="1113" t="str">
        <f>IF(G83="","This Question must be answered before uploading, the report will not be processed if left blank","")</f>
        <v>This Question must be answered before uploading, the report will not be processed if left blank</v>
      </c>
      <c r="F83" s="1112" t="s">
        <v>859</v>
      </c>
      <c r="G83" s="1140"/>
      <c r="H83" s="1141"/>
      <c r="I83" s="1142"/>
      <c r="J83" s="213"/>
    </row>
    <row r="84" spans="1:10" ht="6.75" customHeight="1" thickBot="1" x14ac:dyDescent="0.35">
      <c r="B84" s="211"/>
      <c r="C84" s="212"/>
      <c r="D84" s="257"/>
      <c r="E84" s="238"/>
      <c r="F84" s="238"/>
      <c r="G84" s="239"/>
      <c r="H84" s="215"/>
      <c r="I84" s="215"/>
      <c r="J84" s="213"/>
    </row>
    <row r="85" spans="1:10" ht="34.799999999999997" customHeight="1" thickBot="1" x14ac:dyDescent="0.35">
      <c r="B85" s="211"/>
      <c r="C85" s="212"/>
      <c r="D85" s="257" t="s">
        <v>1679</v>
      </c>
      <c r="E85" s="1113" t="str">
        <f>IF(G85="","This Question must be answered before uploading, the report will not be processed if left blank","")</f>
        <v>This Question must be answered before uploading, the report will not be processed if left blank</v>
      </c>
      <c r="F85" s="1112" t="s">
        <v>1251</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172"/>
      <c r="F87" s="1172"/>
      <c r="G87" s="240" t="str">
        <f>CONCATENATE(G10," 2021 TD.xlsx")</f>
        <v xml:space="preserve"> 2021 TD.xlsx</v>
      </c>
      <c r="H87" s="240"/>
      <c r="I87" s="241"/>
      <c r="J87" s="213"/>
    </row>
    <row r="88" spans="1:10" ht="16.2" customHeight="1" x14ac:dyDescent="0.3">
      <c r="B88" s="211"/>
      <c r="C88" s="212"/>
      <c r="D88" s="1173"/>
      <c r="E88" s="1173"/>
      <c r="F88" s="1173"/>
      <c r="G88" s="1174" t="str">
        <f>IF(G11="","","Please review the Transmittal Instructions and your answer to Question 1")</f>
        <v/>
      </c>
      <c r="H88" s="1174"/>
      <c r="I88" s="1174"/>
      <c r="J88" s="213"/>
    </row>
    <row r="89" spans="1:10" ht="9" customHeight="1" x14ac:dyDescent="0.3">
      <c r="B89" s="211"/>
      <c r="C89" s="212"/>
      <c r="D89" s="1173"/>
      <c r="E89" s="1173"/>
      <c r="F89" s="1173"/>
      <c r="G89" s="1174" t="str">
        <f>IF(G88="Currently the file name is incorrect, please correct before uploading",CONCATENATE("File current name is ",O89),"")</f>
        <v/>
      </c>
      <c r="H89" s="1174"/>
      <c r="I89" s="242"/>
      <c r="J89" s="243"/>
    </row>
    <row r="90" spans="1:10" ht="6.75" customHeight="1" thickBot="1" x14ac:dyDescent="0.35">
      <c r="B90" s="244"/>
      <c r="C90" s="245"/>
      <c r="D90" s="260"/>
      <c r="E90" s="246"/>
      <c r="F90" s="246"/>
      <c r="G90" s="247"/>
      <c r="H90" s="247"/>
      <c r="I90" s="247"/>
      <c r="J90" s="248"/>
    </row>
    <row r="93" spans="1:10" x14ac:dyDescent="0.3">
      <c r="B93" s="194" t="s">
        <v>860</v>
      </c>
      <c r="D93" s="198"/>
      <c r="E93" s="250">
        <v>1.01</v>
      </c>
      <c r="F93" s="251"/>
    </row>
    <row r="94" spans="1:10" x14ac:dyDescent="0.3">
      <c r="A94" s="198"/>
      <c r="B94" s="194" t="s">
        <v>861</v>
      </c>
      <c r="D94" s="198"/>
      <c r="E94" s="252">
        <v>44427</v>
      </c>
      <c r="F94" s="253"/>
    </row>
    <row r="95" spans="1:10" x14ac:dyDescent="0.3">
      <c r="E95" s="251"/>
      <c r="F95" s="251"/>
    </row>
    <row r="96" spans="1:10" x14ac:dyDescent="0.3">
      <c r="E96" s="261">
        <f>SUBTOTAL(109,D41:D85)</f>
        <v>8554</v>
      </c>
    </row>
  </sheetData>
  <sheetProtection algorithmName="SHA-512" hashValue="eCEZVNAOfZokyjLVfS9VGwHbHbay2uULAzlK0Bjb6gdP3g+NylBjuGFhP8K3zifznSswhO+ADx38Iy5mlExhHw==" saltValue="TdFUKyYRdPIk3MZtVhcYlw==" spinCount="100000" sheet="1" selectLockedCells="1"/>
  <mergeCells count="55">
    <mergeCell ref="G83:I83"/>
    <mergeCell ref="E87:F87"/>
    <mergeCell ref="D88:F89"/>
    <mergeCell ref="G88:I88"/>
    <mergeCell ref="G89:H89"/>
    <mergeCell ref="G81:I81"/>
    <mergeCell ref="E76:F76"/>
    <mergeCell ref="E78:F78"/>
    <mergeCell ref="E57:F57"/>
    <mergeCell ref="E60:F60"/>
    <mergeCell ref="E68:F68"/>
    <mergeCell ref="E70:F70"/>
    <mergeCell ref="E72:F72"/>
    <mergeCell ref="E74:F74"/>
    <mergeCell ref="E55:F55"/>
    <mergeCell ref="G34:I34"/>
    <mergeCell ref="E36:F36"/>
    <mergeCell ref="G36:I36"/>
    <mergeCell ref="E37:H37"/>
    <mergeCell ref="B38:J38"/>
    <mergeCell ref="E41:F41"/>
    <mergeCell ref="E43:F43"/>
    <mergeCell ref="E45:F45"/>
    <mergeCell ref="E47:F47"/>
    <mergeCell ref="E49:F49"/>
    <mergeCell ref="E51:F51"/>
    <mergeCell ref="E53:F53"/>
    <mergeCell ref="G32:I32"/>
    <mergeCell ref="E22:F22"/>
    <mergeCell ref="G22:I22"/>
    <mergeCell ref="E24:F24"/>
    <mergeCell ref="G24:I24"/>
    <mergeCell ref="E26:F26"/>
    <mergeCell ref="G26:H26"/>
    <mergeCell ref="E27:H27"/>
    <mergeCell ref="E28:F28"/>
    <mergeCell ref="H28:I28"/>
    <mergeCell ref="E30:F30"/>
    <mergeCell ref="H30:I30"/>
    <mergeCell ref="E32:F32"/>
    <mergeCell ref="B1:J1"/>
    <mergeCell ref="B2:J2"/>
    <mergeCell ref="B3:J3"/>
    <mergeCell ref="E20:F20"/>
    <mergeCell ref="G20:I20"/>
    <mergeCell ref="E12:F12"/>
    <mergeCell ref="E14:F14"/>
    <mergeCell ref="E16:F16"/>
    <mergeCell ref="G16:I16"/>
    <mergeCell ref="E18:F18"/>
    <mergeCell ref="G18:I18"/>
    <mergeCell ref="B7:J7"/>
    <mergeCell ref="E10:F10"/>
    <mergeCell ref="G10:I10"/>
    <mergeCell ref="B5:J5"/>
  </mergeCells>
  <conditionalFormatting sqref="G10 G41 G43 G45 G47 G49 G57 G66 G60 G51 G76 G78">
    <cfRule type="expression" dxfId="88"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87" priority="41">
      <formula>$T26</formula>
    </cfRule>
  </conditionalFormatting>
  <conditionalFormatting sqref="G41 G43 G45 G47 G49 G60 G62 G64 G66 G30 G32 G76 G51:G57 G78">
    <cfRule type="expression" dxfId="86" priority="40">
      <formula>$G$26="Housing Authority"</formula>
    </cfRule>
  </conditionalFormatting>
  <conditionalFormatting sqref="G14">
    <cfRule type="expression" dxfId="85" priority="39">
      <formula>$T14</formula>
    </cfRule>
  </conditionalFormatting>
  <conditionalFormatting sqref="G12">
    <cfRule type="expression" dxfId="84" priority="38">
      <formula>$T12</formula>
    </cfRule>
  </conditionalFormatting>
  <conditionalFormatting sqref="G85">
    <cfRule type="expression" dxfId="83" priority="37">
      <formula>$T85</formula>
    </cfRule>
  </conditionalFormatting>
  <conditionalFormatting sqref="G81">
    <cfRule type="expression" dxfId="82"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81"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80"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79" priority="25">
      <formula>$G$26="Housing Authority"</formula>
    </cfRule>
  </conditionalFormatting>
  <conditionalFormatting sqref="G64">
    <cfRule type="expression" dxfId="78" priority="30">
      <formula>$T64</formula>
    </cfRule>
  </conditionalFormatting>
  <conditionalFormatting sqref="G64">
    <cfRule type="expression" dxfId="77" priority="29">
      <formula>$G$26="Housing Authority"</formula>
    </cfRule>
  </conditionalFormatting>
  <conditionalFormatting sqref="G66">
    <cfRule type="expression" dxfId="76" priority="28">
      <formula>$G$26="Housing Authority"</formula>
    </cfRule>
  </conditionalFormatting>
  <conditionalFormatting sqref="G62">
    <cfRule type="expression" dxfId="75" priority="27">
      <formula>$T62</formula>
    </cfRule>
  </conditionalFormatting>
  <conditionalFormatting sqref="G62">
    <cfRule type="expression" dxfId="74" priority="26">
      <formula>$G$26="Housing Authority"</formula>
    </cfRule>
  </conditionalFormatting>
  <conditionalFormatting sqref="G31">
    <cfRule type="expression" dxfId="73" priority="24">
      <formula>$T31</formula>
    </cfRule>
  </conditionalFormatting>
  <conditionalFormatting sqref="G28">
    <cfRule type="expression" dxfId="72" priority="23">
      <formula>$T28</formula>
    </cfRule>
  </conditionalFormatting>
  <conditionalFormatting sqref="G28">
    <cfRule type="expression" dxfId="71" priority="22">
      <formula>$G$26="Housing Authority"</formula>
    </cfRule>
  </conditionalFormatting>
  <conditionalFormatting sqref="G30">
    <cfRule type="expression" dxfId="70" priority="21">
      <formula>$T30</formula>
    </cfRule>
  </conditionalFormatting>
  <conditionalFormatting sqref="G16">
    <cfRule type="expression" dxfId="69"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68"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67"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66" priority="12">
      <formula>$G$26="Housing Authority"</formula>
    </cfRule>
  </conditionalFormatting>
  <conditionalFormatting sqref="G32">
    <cfRule type="expression" dxfId="65" priority="13">
      <formula>$P$32</formula>
    </cfRule>
    <cfRule type="expression" dxfId="64" priority="20">
      <formula>$T32</formula>
    </cfRule>
  </conditionalFormatting>
  <conditionalFormatting sqref="G36">
    <cfRule type="expression" dxfId="63" priority="9">
      <formula>$G$26="Housing Authority"</formula>
    </cfRule>
  </conditionalFormatting>
  <conditionalFormatting sqref="G36">
    <cfRule type="expression" dxfId="62" priority="10">
      <formula>$P$32</formula>
    </cfRule>
    <cfRule type="expression" dxfId="61" priority="11">
      <formula>$T36</formula>
    </cfRule>
  </conditionalFormatting>
  <conditionalFormatting sqref="G34">
    <cfRule type="expression" dxfId="60" priority="6">
      <formula>$G$26="Housing Authority"</formula>
    </cfRule>
  </conditionalFormatting>
  <conditionalFormatting sqref="G34">
    <cfRule type="expression" dxfId="59" priority="7">
      <formula>$P$32</formula>
    </cfRule>
    <cfRule type="expression" dxfId="58" priority="8">
      <formula>$T34</formula>
    </cfRule>
  </conditionalFormatting>
  <conditionalFormatting sqref="G24">
    <cfRule type="expression" dxfId="57"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56" priority="3">
      <formula>$T53</formula>
    </cfRule>
  </conditionalFormatting>
  <conditionalFormatting sqref="G76">
    <cfRule type="expression" dxfId="55" priority="1">
      <formula>$G$26="Housing Authority"</formula>
    </cfRule>
  </conditionalFormatting>
  <dataValidations xWindow="873" yWindow="799" count="26">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or No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3 I68:I80 H76:H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G77" xr:uid="{FA296981-A236-46B7-9FFE-5DC3167CFD46}">
      <formula1>44377</formula1>
    </dataValidation>
    <dataValidation type="date" operator="greaterThan" allowBlank="1" showInputMessage="1" showErrorMessage="1" prompt="MM/DD/YYYY" sqref="G74:G75 G77"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8"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sqref="G76 G78" xr:uid="{A408C6BD-A6BB-42F2-B5B8-C4662A3A3A25}">
      <formula1>"Yes,No"</formula1>
    </dataValidation>
    <dataValidation type="list" operator="greaterThan" showInputMessage="1" showErrorMessage="1" promptTitle="MM/DD/YYYY" prompt="This cannot be blank" sqref="G76" xr:uid="{9F67B457-143E-4E83-A47A-7E339FF596C3}">
      <formula1>"6/30/2021"</formula1>
    </dataValidation>
    <dataValidation type="list" showInputMessage="1" showErrorMessage="1" sqref="G78" xr:uid="{1A64890C-A57F-407F-967D-E5F58B393285}">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107" activePane="bottomRight" state="frozen"/>
      <selection activeCell="K179" sqref="K179"/>
      <selection pane="topRight" activeCell="K179" sqref="K179"/>
      <selection pane="bottomLeft" activeCell="K179" sqref="K179"/>
      <selection pane="bottomRight" activeCell="E110" sqref="E110"/>
    </sheetView>
  </sheetViews>
  <sheetFormatPr defaultColWidth="9.109375" defaultRowHeight="14.4" x14ac:dyDescent="0.3"/>
  <cols>
    <col min="1" max="1" width="8.88671875" style="3" customWidth="1"/>
    <col min="2" max="2" width="17.5546875" style="52" bestFit="1" customWidth="1"/>
    <col min="3" max="3" width="36.6640625" style="659" customWidth="1"/>
    <col min="4" max="4" width="20.88671875" style="3" bestFit="1" customWidth="1"/>
    <col min="5" max="5" width="17.5546875" style="3" customWidth="1"/>
    <col min="6" max="6" width="22.6640625" style="3" customWidth="1"/>
    <col min="7" max="7" width="17.44140625" style="556" bestFit="1" customWidth="1"/>
    <col min="8" max="8" width="9.6640625" style="3" bestFit="1" customWidth="1"/>
    <col min="9" max="9" width="1" style="590" customWidth="1"/>
    <col min="10" max="10" width="18.109375" style="5" customWidth="1"/>
    <col min="11" max="11" width="36.88671875" style="9" customWidth="1"/>
    <col min="12" max="12" width="15.44140625" style="667" bestFit="1" customWidth="1"/>
    <col min="13" max="13" width="1.44140625" style="3" customWidth="1"/>
    <col min="14" max="14" width="18.109375" style="3" customWidth="1"/>
    <col min="15" max="15" width="17.88671875" style="3" customWidth="1"/>
    <col min="16" max="16" width="8.6640625" style="297"/>
    <col min="17" max="17" width="10.33203125" style="559"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735</v>
      </c>
      <c r="D1" s="13">
        <f>L65-(L52+L53-L57-L58-L233)-L61</f>
        <v>0</v>
      </c>
      <c r="I1" s="557"/>
      <c r="J1" s="48"/>
      <c r="K1" s="14" t="s">
        <v>47</v>
      </c>
      <c r="L1" s="63"/>
      <c r="M1" s="558"/>
      <c r="S1" s="3">
        <v>100</v>
      </c>
      <c r="T1" s="3">
        <v>1</v>
      </c>
    </row>
    <row r="2" spans="1:25" ht="36" x14ac:dyDescent="0.4">
      <c r="C2" s="74" t="str">
        <f>'Unit Data from Audit Worksheet'!D2</f>
        <v>Select Unit Name from Drop Down List</v>
      </c>
      <c r="D2" s="145">
        <v>2021</v>
      </c>
      <c r="E2" s="12">
        <v>2021</v>
      </c>
      <c r="F2" s="12"/>
      <c r="G2" s="70"/>
      <c r="H2" s="12"/>
      <c r="I2" s="557"/>
      <c r="J2" s="43" t="s">
        <v>43</v>
      </c>
      <c r="K2" s="8" t="s">
        <v>42</v>
      </c>
      <c r="L2" s="68" t="s">
        <v>30</v>
      </c>
      <c r="S2" s="3">
        <v>200</v>
      </c>
      <c r="T2" s="3">
        <v>2</v>
      </c>
    </row>
    <row r="3" spans="1:25" ht="31.2" x14ac:dyDescent="0.3">
      <c r="A3" s="560" t="s">
        <v>43</v>
      </c>
      <c r="B3" s="561"/>
      <c r="C3" s="46" t="s">
        <v>1</v>
      </c>
      <c r="D3" s="15" t="s">
        <v>44</v>
      </c>
      <c r="E3" s="15" t="s">
        <v>45</v>
      </c>
      <c r="F3" s="16" t="s">
        <v>49</v>
      </c>
      <c r="G3" s="75" t="s">
        <v>551</v>
      </c>
      <c r="H3" s="16" t="s">
        <v>636</v>
      </c>
      <c r="I3" s="557"/>
      <c r="J3" s="562"/>
      <c r="K3" s="146"/>
      <c r="L3" s="563"/>
      <c r="O3" s="3" t="s">
        <v>292</v>
      </c>
      <c r="Q3" s="86" t="s">
        <v>552</v>
      </c>
      <c r="S3" s="3">
        <v>300</v>
      </c>
      <c r="T3" s="3">
        <v>3</v>
      </c>
    </row>
    <row r="4" spans="1:25" ht="18" x14ac:dyDescent="0.35">
      <c r="A4" s="564"/>
      <c r="B4" s="565"/>
      <c r="C4" s="50"/>
      <c r="D4" s="7"/>
      <c r="E4" s="7"/>
      <c r="F4" s="7"/>
      <c r="G4" s="71"/>
      <c r="H4" s="7"/>
      <c r="I4" s="557"/>
      <c r="J4" s="45">
        <v>999</v>
      </c>
      <c r="K4" s="11" t="s">
        <v>289</v>
      </c>
      <c r="L4" s="134" t="e">
        <f>'Unit Data from Audit Worksheet'!D3</f>
        <v>#N/A</v>
      </c>
      <c r="S4" s="3">
        <v>400</v>
      </c>
      <c r="T4" s="3">
        <v>4</v>
      </c>
      <c r="W4" s="3" t="b">
        <f t="shared" ref="W4:W35" si="0">EXACT(A4,J4)</f>
        <v>0</v>
      </c>
      <c r="X4" s="566" t="e">
        <f>E4-L4</f>
        <v>#N/A</v>
      </c>
      <c r="Y4" s="566" t="e">
        <f>D4-L4</f>
        <v>#N/A</v>
      </c>
    </row>
    <row r="5" spans="1:25" ht="57" customHeight="1" x14ac:dyDescent="0.3">
      <c r="A5" s="567">
        <f>'Unit Data from Audit Worksheet'!A7</f>
        <v>333</v>
      </c>
      <c r="B5" s="54" t="str">
        <f>'Unit Data from Audit Worksheet'!C7</f>
        <v>Net Position-Governmental Activities</v>
      </c>
      <c r="C5" s="568" t="str">
        <f>'Unit Data from Audit Worksheet'!D7</f>
        <v xml:space="preserve"> All unrestricted Cash and investments.  
Exclude: restricted cash 
                   cash held by a third party. </v>
      </c>
      <c r="D5" s="144"/>
      <c r="E5" s="152">
        <f>'Unit Data from Audit Worksheet'!F7</f>
        <v>0</v>
      </c>
      <c r="F5" s="346">
        <f>IF(L5&lt;0,"Error: Number is normally positive.",)</f>
        <v>0</v>
      </c>
      <c r="G5" s="72"/>
      <c r="H5" s="345">
        <f>'Unit Data from Audit Worksheet'!I7</f>
        <v>0</v>
      </c>
      <c r="I5" s="38"/>
      <c r="J5" s="42">
        <v>333</v>
      </c>
      <c r="K5" s="51" t="s">
        <v>184</v>
      </c>
      <c r="L5" s="569">
        <f>IF(D5="",E5,D5)</f>
        <v>0</v>
      </c>
      <c r="P5" s="314"/>
      <c r="S5" s="3">
        <v>500</v>
      </c>
      <c r="T5" s="3">
        <v>5</v>
      </c>
      <c r="W5" s="3" t="b">
        <f t="shared" si="0"/>
        <v>1</v>
      </c>
      <c r="X5" s="566">
        <f t="shared" ref="X5:X116" si="1">E5-L5</f>
        <v>0</v>
      </c>
      <c r="Y5" s="566">
        <f t="shared" ref="Y5:Y116" si="2">D5-L5</f>
        <v>0</v>
      </c>
    </row>
    <row r="6" spans="1:25" ht="39.75" customHeight="1" x14ac:dyDescent="0.3">
      <c r="A6" s="333">
        <f>'Unit Data from Audit Worksheet'!A8</f>
        <v>500</v>
      </c>
      <c r="B6" s="347" t="str">
        <f>'Unit Data from Audit Worksheet'!C8</f>
        <v>Net Position-Governmental Activities</v>
      </c>
      <c r="C6" s="332" t="str">
        <f>'Unit Data from Audit Worksheet'!D8</f>
        <v xml:space="preserve"> All restricted Cash and investments</v>
      </c>
      <c r="D6" s="144"/>
      <c r="E6" s="353">
        <f>'Unit Data from Audit Worksheet'!F8</f>
        <v>0</v>
      </c>
      <c r="F6" s="346">
        <f>IF(L6&lt;0,"Error: Number is normally positive.",)</f>
        <v>0</v>
      </c>
      <c r="G6" s="348"/>
      <c r="H6" s="345">
        <f>'Unit Data from Audit Worksheet'!I8</f>
        <v>0</v>
      </c>
      <c r="I6" s="38"/>
      <c r="J6" s="344">
        <v>500</v>
      </c>
      <c r="K6" s="343" t="s">
        <v>183</v>
      </c>
      <c r="L6" s="569">
        <f>IF(D6="",E6,D6)</f>
        <v>0</v>
      </c>
      <c r="P6" s="315"/>
      <c r="T6" s="3">
        <v>6</v>
      </c>
      <c r="W6" s="3" t="b">
        <f t="shared" si="0"/>
        <v>1</v>
      </c>
      <c r="X6" s="566">
        <f t="shared" si="1"/>
        <v>0</v>
      </c>
      <c r="Y6" s="566">
        <f t="shared" si="2"/>
        <v>0</v>
      </c>
    </row>
    <row r="7" spans="1:25" ht="43.5" customHeight="1" x14ac:dyDescent="0.3">
      <c r="A7" s="333">
        <f>'Unit Data from Audit Worksheet'!A9</f>
        <v>385</v>
      </c>
      <c r="B7" s="347" t="str">
        <f>'Unit Data from Audit Worksheet'!C9</f>
        <v>Net Position-Governmental Activities</v>
      </c>
      <c r="C7" s="332" t="str">
        <f>'Unit Data from Audit Worksheet'!D9</f>
        <v>Total Assets and deferred outflows</v>
      </c>
      <c r="D7" s="144"/>
      <c r="E7" s="353">
        <f>'Unit Data from Audit Worksheet'!F9</f>
        <v>0</v>
      </c>
      <c r="F7" s="135">
        <f>IF((L5+L6)&gt;L7,"Error: Please review accts (333 + 500) &gt; 385",)</f>
        <v>0</v>
      </c>
      <c r="G7" s="348" t="str">
        <f>IF(Q7=1," Included in error count"," ")</f>
        <v xml:space="preserve"> </v>
      </c>
      <c r="H7" s="345">
        <f>'Unit Data from Audit Worksheet'!I9</f>
        <v>0</v>
      </c>
      <c r="I7" s="38"/>
      <c r="J7" s="76">
        <v>385</v>
      </c>
      <c r="K7" s="77" t="s">
        <v>115</v>
      </c>
      <c r="L7" s="570">
        <f>IF(D7="",E7,D7)+IF(D9="",E9,D9)</f>
        <v>0</v>
      </c>
      <c r="N7" s="78" t="s">
        <v>538</v>
      </c>
      <c r="P7" s="315"/>
      <c r="T7" s="3">
        <v>7</v>
      </c>
      <c r="W7" s="3" t="b">
        <f t="shared" si="0"/>
        <v>1</v>
      </c>
      <c r="X7" s="566">
        <f t="shared" si="1"/>
        <v>0</v>
      </c>
      <c r="Y7" s="566">
        <f t="shared" si="2"/>
        <v>0</v>
      </c>
    </row>
    <row r="8" spans="1:25" ht="90.75" customHeight="1" x14ac:dyDescent="0.3">
      <c r="A8" s="333">
        <f>'Unit Data from Audit Worksheet'!A10</f>
        <v>575</v>
      </c>
      <c r="B8" s="347" t="str">
        <f>'Unit Data from Audit Worksheet'!C10</f>
        <v>Net Position-Governmental Activities</v>
      </c>
      <c r="C8" s="332" t="str">
        <f>'Unit Data from Audit Worksheet'!D10</f>
        <v>Record any positive Internal balances on the net position statements that appear in the Asset Section of the Net Position Statement</v>
      </c>
      <c r="D8" s="144"/>
      <c r="E8" s="353">
        <f>'Unit Data from Audit Worksheet'!F10</f>
        <v>0</v>
      </c>
      <c r="F8" s="346">
        <f>IF(L8&lt;0,"Error: Number is normally positive.",)</f>
        <v>0</v>
      </c>
      <c r="G8" s="348"/>
      <c r="H8" s="345">
        <f>'Unit Data from Audit Worksheet'!I10</f>
        <v>0</v>
      </c>
      <c r="I8" s="38"/>
      <c r="J8" s="344">
        <v>575</v>
      </c>
      <c r="K8" s="350" t="s">
        <v>541</v>
      </c>
      <c r="L8" s="569">
        <f>IF(D8="",E8,D8)</f>
        <v>0</v>
      </c>
      <c r="N8" s="64"/>
      <c r="P8" s="315"/>
      <c r="W8" s="3" t="b">
        <f t="shared" si="0"/>
        <v>1</v>
      </c>
      <c r="X8" s="566">
        <f t="shared" si="1"/>
        <v>0</v>
      </c>
      <c r="Y8" s="566">
        <f t="shared" si="2"/>
        <v>0</v>
      </c>
    </row>
    <row r="9" spans="1:25" ht="103.5" customHeight="1" x14ac:dyDescent="0.3">
      <c r="A9" s="333">
        <f>'Unit Data from Audit Worksheet'!A11</f>
        <v>576</v>
      </c>
      <c r="B9" s="347" t="str">
        <f>'Unit Data from Audit Worksheet'!C11</f>
        <v>Net Position-Governmental Activities</v>
      </c>
      <c r="C9" s="571" t="str">
        <f>'Unit Data from Audit Worksheet'!D11</f>
        <v>Record any negative Internal balances on the net position statements that appear in the Asset Section of the Net Position Statement.
Enter as a positive</v>
      </c>
      <c r="D9" s="110"/>
      <c r="E9" s="155">
        <f>'Unit Data from Audit Worksheet'!F11</f>
        <v>0</v>
      </c>
      <c r="F9" s="342">
        <f>IF(E9&lt;0,"Error: Enter as positive.",)</f>
        <v>0</v>
      </c>
      <c r="G9" s="112"/>
      <c r="H9" s="113">
        <f>'Unit Data from Audit Worksheet'!I11</f>
        <v>0</v>
      </c>
      <c r="I9" s="38"/>
      <c r="J9" s="105">
        <v>576</v>
      </c>
      <c r="K9" s="350" t="s">
        <v>542</v>
      </c>
      <c r="L9" s="569">
        <f>IF(D9="",E9,D9)</f>
        <v>0</v>
      </c>
      <c r="N9" s="64"/>
      <c r="P9" s="316"/>
      <c r="W9" s="3" t="b">
        <f t="shared" si="0"/>
        <v>1</v>
      </c>
      <c r="X9" s="566">
        <f t="shared" si="1"/>
        <v>0</v>
      </c>
      <c r="Y9" s="566">
        <f t="shared" si="2"/>
        <v>0</v>
      </c>
    </row>
    <row r="10" spans="1:25" s="18" customFormat="1" ht="100.5" customHeight="1" x14ac:dyDescent="0.3">
      <c r="A10" s="333">
        <f>'Unit Data from Audit Worksheet'!A12</f>
        <v>626</v>
      </c>
      <c r="B10" s="338" t="str">
        <f>'Unit Data from Audit Worksheet'!C12</f>
        <v>Net Position-Governmental Activities</v>
      </c>
      <c r="C10" s="337"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59">
        <f>'Unit Data from Audit Worksheet'!F12</f>
        <v>0</v>
      </c>
      <c r="F10" s="341">
        <f>IF(L10&lt;0,"Error: Enter as a positive.",)</f>
        <v>0</v>
      </c>
      <c r="G10" s="326"/>
      <c r="H10" s="341">
        <f>'Unit Data from Audit Worksheet'!I12</f>
        <v>0</v>
      </c>
      <c r="I10" s="38"/>
      <c r="J10" s="340">
        <v>626</v>
      </c>
      <c r="K10" s="308" t="s">
        <v>670</v>
      </c>
      <c r="L10" s="572">
        <f>IF(D10="",E10,D10)+IF(D9="",E9,D9)</f>
        <v>0</v>
      </c>
      <c r="M10" s="573"/>
      <c r="N10" s="182" t="s">
        <v>538</v>
      </c>
      <c r="O10" s="573"/>
      <c r="P10" s="317"/>
      <c r="Q10" s="574"/>
      <c r="R10" s="3"/>
      <c r="W10" s="18" t="b">
        <f t="shared" si="0"/>
        <v>1</v>
      </c>
      <c r="X10" s="575">
        <f t="shared" si="1"/>
        <v>0</v>
      </c>
      <c r="Y10" s="575">
        <f t="shared" si="2"/>
        <v>0</v>
      </c>
    </row>
    <row r="11" spans="1:25" s="18" customFormat="1" ht="86.25" customHeight="1" x14ac:dyDescent="0.3">
      <c r="A11" s="333">
        <f>'Unit Data from Audit Worksheet'!A13</f>
        <v>627</v>
      </c>
      <c r="B11" s="338" t="str">
        <f>'Unit Data from Audit Worksheet'!C13</f>
        <v>Net Position-Governmental Activities</v>
      </c>
      <c r="C11" s="337"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59">
        <f>'Unit Data from Audit Worksheet'!F13</f>
        <v>0</v>
      </c>
      <c r="F11" s="341"/>
      <c r="G11" s="326"/>
      <c r="H11" s="341"/>
      <c r="I11" s="38"/>
      <c r="J11" s="340">
        <v>627</v>
      </c>
      <c r="K11" s="308" t="s">
        <v>662</v>
      </c>
      <c r="L11" s="576">
        <f t="shared" ref="L11:L16" si="3">IF(D11="",E11,D11)</f>
        <v>0</v>
      </c>
      <c r="M11" s="573"/>
      <c r="N11" s="181"/>
      <c r="O11" s="573"/>
      <c r="P11" s="317"/>
      <c r="Q11" s="574"/>
      <c r="R11" s="3"/>
      <c r="W11" s="18" t="b">
        <f t="shared" si="0"/>
        <v>1</v>
      </c>
      <c r="X11" s="575">
        <f t="shared" si="1"/>
        <v>0</v>
      </c>
      <c r="Y11" s="575">
        <f t="shared" si="2"/>
        <v>0</v>
      </c>
    </row>
    <row r="12" spans="1:25" s="18" customFormat="1" ht="86.25" customHeight="1" x14ac:dyDescent="0.3">
      <c r="A12" s="333">
        <f>'Unit Data from Audit Worksheet'!A14</f>
        <v>628</v>
      </c>
      <c r="B12" s="338" t="str">
        <f>'Unit Data from Audit Worksheet'!C14</f>
        <v>Net Position-Governmental Activities</v>
      </c>
      <c r="C12" s="337" t="str">
        <f>'Unit Data from Audit Worksheet'!D14</f>
        <v>Please enter any compensated absences that are classified as current liabilities and included in account 626 above (amounts entered should agree to the current amount included in the changes to long-term debt note)</v>
      </c>
      <c r="D12" s="110"/>
      <c r="E12" s="359">
        <f>'Unit Data from Audit Worksheet'!F14</f>
        <v>0</v>
      </c>
      <c r="F12" s="341"/>
      <c r="G12" s="326"/>
      <c r="H12" s="341"/>
      <c r="I12" s="38"/>
      <c r="J12" s="340">
        <v>628</v>
      </c>
      <c r="K12" s="308" t="s">
        <v>667</v>
      </c>
      <c r="L12" s="576">
        <f t="shared" si="3"/>
        <v>0</v>
      </c>
      <c r="M12" s="573"/>
      <c r="N12" s="181"/>
      <c r="O12" s="573"/>
      <c r="P12" s="317"/>
      <c r="Q12" s="574"/>
      <c r="R12" s="3"/>
      <c r="W12" s="18" t="b">
        <f t="shared" si="0"/>
        <v>1</v>
      </c>
      <c r="X12" s="575">
        <f t="shared" si="1"/>
        <v>0</v>
      </c>
      <c r="Y12" s="575">
        <f t="shared" si="2"/>
        <v>0</v>
      </c>
    </row>
    <row r="13" spans="1:25" s="18" customFormat="1" ht="93" customHeight="1" x14ac:dyDescent="0.3">
      <c r="A13" s="333">
        <f>'Unit Data from Audit Worksheet'!A15</f>
        <v>629</v>
      </c>
      <c r="B13" s="338" t="str">
        <f>'Unit Data from Audit Worksheet'!C15</f>
        <v>Net Position-Governmental Activities</v>
      </c>
      <c r="C13" s="337" t="str">
        <f>'Unit Data from Audit Worksheet'!D15</f>
        <v>Please enter any pension liabilities that are classified as current liabilities and included in account 626 above (amounts entered should agree to the current amount included in the changes to long-term debt note)</v>
      </c>
      <c r="D13" s="110"/>
      <c r="E13" s="359">
        <f>'Unit Data from Audit Worksheet'!F15</f>
        <v>0</v>
      </c>
      <c r="F13" s="341"/>
      <c r="G13" s="326"/>
      <c r="H13" s="341"/>
      <c r="I13" s="38"/>
      <c r="J13" s="340">
        <v>629</v>
      </c>
      <c r="K13" s="308" t="s">
        <v>666</v>
      </c>
      <c r="L13" s="576">
        <f t="shared" si="3"/>
        <v>0</v>
      </c>
      <c r="M13" s="573"/>
      <c r="N13" s="181"/>
      <c r="O13" s="573"/>
      <c r="P13" s="317"/>
      <c r="Q13" s="574"/>
      <c r="R13" s="3"/>
      <c r="W13" s="18" t="b">
        <f t="shared" si="0"/>
        <v>1</v>
      </c>
      <c r="X13" s="575">
        <f t="shared" si="1"/>
        <v>0</v>
      </c>
      <c r="Y13" s="575">
        <f t="shared" si="2"/>
        <v>0</v>
      </c>
    </row>
    <row r="14" spans="1:25" s="18" customFormat="1" ht="67.5" customHeight="1" x14ac:dyDescent="0.3">
      <c r="A14" s="333">
        <f>'Unit Data from Audit Worksheet'!A16</f>
        <v>630</v>
      </c>
      <c r="B14" s="338" t="str">
        <f>'Unit Data from Audit Worksheet'!C16</f>
        <v>Net Position-Governmental Activities</v>
      </c>
      <c r="C14" s="337" t="str">
        <f>'Unit Data from Audit Worksheet'!D16</f>
        <v>Please enter any current liabilities that are payable from restricted assets and included in account 626 above</v>
      </c>
      <c r="D14" s="110"/>
      <c r="E14" s="359">
        <f>'Unit Data from Audit Worksheet'!F16</f>
        <v>0</v>
      </c>
      <c r="F14" s="341"/>
      <c r="G14" s="326"/>
      <c r="H14" s="341"/>
      <c r="I14" s="38"/>
      <c r="J14" s="340">
        <v>630</v>
      </c>
      <c r="K14" s="308" t="s">
        <v>665</v>
      </c>
      <c r="L14" s="576">
        <f t="shared" si="3"/>
        <v>0</v>
      </c>
      <c r="M14" s="573"/>
      <c r="N14" s="181"/>
      <c r="O14" s="573"/>
      <c r="P14" s="317"/>
      <c r="Q14" s="574"/>
      <c r="R14" s="3"/>
      <c r="W14" s="18" t="b">
        <f t="shared" si="0"/>
        <v>1</v>
      </c>
      <c r="X14" s="575">
        <f t="shared" si="1"/>
        <v>0</v>
      </c>
      <c r="Y14" s="575">
        <f t="shared" si="2"/>
        <v>0</v>
      </c>
    </row>
    <row r="15" spans="1:25" s="18" customFormat="1" ht="102.75" customHeight="1" x14ac:dyDescent="0.3">
      <c r="A15" s="333">
        <f>'Unit Data from Audit Worksheet'!A17</f>
        <v>631</v>
      </c>
      <c r="B15" s="347" t="str">
        <f>'Unit Data from Audit Worksheet'!C17</f>
        <v>Net Position-Governmental Activities</v>
      </c>
      <c r="C15" s="327" t="str">
        <f>'Unit Data from Audit Worksheet'!D17</f>
        <v>Please enter any OPEB liabilities that are classified as current liabilities and included in account 626 above (amounts entered should agree to the current amount included in the changes to long-term debt note)</v>
      </c>
      <c r="D15" s="110"/>
      <c r="E15" s="359">
        <f>'Unit Data from Audit Worksheet'!F17</f>
        <v>0</v>
      </c>
      <c r="F15" s="341"/>
      <c r="G15" s="326"/>
      <c r="H15" s="341"/>
      <c r="I15" s="38"/>
      <c r="J15" s="340">
        <v>631</v>
      </c>
      <c r="K15" s="308" t="s">
        <v>664</v>
      </c>
      <c r="L15" s="576">
        <f t="shared" si="3"/>
        <v>0</v>
      </c>
      <c r="M15" s="573"/>
      <c r="N15" s="181"/>
      <c r="O15" s="573"/>
      <c r="P15" s="317"/>
      <c r="Q15" s="574"/>
      <c r="R15" s="3"/>
      <c r="W15" s="18" t="b">
        <f t="shared" si="0"/>
        <v>1</v>
      </c>
      <c r="X15" s="575">
        <f t="shared" si="1"/>
        <v>0</v>
      </c>
      <c r="Y15" s="575">
        <f t="shared" si="2"/>
        <v>0</v>
      </c>
    </row>
    <row r="16" spans="1:25" s="18" customFormat="1" ht="119.25" customHeight="1" x14ac:dyDescent="0.3">
      <c r="A16" s="333">
        <f>'Unit Data from Audit Worksheet'!A18</f>
        <v>632</v>
      </c>
      <c r="B16" s="347" t="str">
        <f>'Unit Data from Audit Worksheet'!C18</f>
        <v>Net Position-Governmental Activities</v>
      </c>
      <c r="C16" s="327"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59">
        <f>'Unit Data from Audit Worksheet'!F18</f>
        <v>0</v>
      </c>
      <c r="F16" s="341"/>
      <c r="G16" s="326"/>
      <c r="H16" s="341"/>
      <c r="I16" s="38"/>
      <c r="J16" s="340">
        <v>632</v>
      </c>
      <c r="K16" s="308" t="s">
        <v>663</v>
      </c>
      <c r="L16" s="576">
        <f t="shared" si="3"/>
        <v>0</v>
      </c>
      <c r="M16" s="573"/>
      <c r="N16" s="181"/>
      <c r="O16" s="573"/>
      <c r="P16" s="317"/>
      <c r="Q16" s="574"/>
      <c r="R16" s="3"/>
      <c r="W16" s="18" t="b">
        <f t="shared" si="0"/>
        <v>1</v>
      </c>
      <c r="X16" s="575">
        <f t="shared" si="1"/>
        <v>0</v>
      </c>
      <c r="Y16" s="575">
        <f t="shared" si="2"/>
        <v>0</v>
      </c>
    </row>
    <row r="17" spans="1:25" ht="30.6" x14ac:dyDescent="0.3">
      <c r="A17" s="333">
        <f>'Unit Data from Audit Worksheet'!A19</f>
        <v>338</v>
      </c>
      <c r="B17" s="347" t="str">
        <f>'Unit Data from Audit Worksheet'!C19</f>
        <v>Net Position-Governmental Activities</v>
      </c>
      <c r="C17" s="332" t="str">
        <f>'Unit Data from Audit Worksheet'!D19</f>
        <v>Total Liabilities and total deferred inflows</v>
      </c>
      <c r="D17" s="110"/>
      <c r="E17" s="152">
        <f>'Unit Data from Audit Worksheet'!F19</f>
        <v>0</v>
      </c>
      <c r="F17" s="135" t="str">
        <f>IF(L10&gt;L17,"Please review accounts 626 greater than 338","")</f>
        <v/>
      </c>
      <c r="G17" s="72"/>
      <c r="H17" s="345">
        <f>'Unit Data from Audit Worksheet'!I19</f>
        <v>0</v>
      </c>
      <c r="I17" s="38"/>
      <c r="J17" s="114">
        <v>338</v>
      </c>
      <c r="K17" s="115" t="s">
        <v>116</v>
      </c>
      <c r="L17" s="570">
        <f>IF(D17="",E17,D17)+IF(D9="",E9,D9)</f>
        <v>0</v>
      </c>
      <c r="N17" s="78" t="s">
        <v>538</v>
      </c>
      <c r="P17" s="314"/>
      <c r="W17" s="3" t="b">
        <f t="shared" si="0"/>
        <v>1</v>
      </c>
      <c r="X17" s="566">
        <f t="shared" si="1"/>
        <v>0</v>
      </c>
      <c r="Y17" s="566">
        <f t="shared" si="2"/>
        <v>0</v>
      </c>
    </row>
    <row r="18" spans="1:25" ht="100.5" customHeight="1" x14ac:dyDescent="0.3">
      <c r="A18" s="333">
        <f>'Unit Data from Audit Worksheet'!A20</f>
        <v>335</v>
      </c>
      <c r="B18" s="347" t="str">
        <f>'Unit Data from Audit Worksheet'!C20</f>
        <v>Net Position-Governmental Activities</v>
      </c>
      <c r="C18" s="332" t="str">
        <f>'Unit Data from Audit Worksheet'!D20</f>
        <v>Unearned revenues that were included in current liabilities in your audit report or entered in acct # 626 above. 
Exclude - unearned revenues that are listed in deferred inflows.</v>
      </c>
      <c r="D18" s="110"/>
      <c r="E18" s="353">
        <f>'Unit Data from Audit Worksheet'!F20</f>
        <v>0</v>
      </c>
      <c r="F18" s="346">
        <f>IF(L18&lt;0,"Error: Enter as a positive.",)</f>
        <v>0</v>
      </c>
      <c r="G18" s="348"/>
      <c r="H18" s="345">
        <f>'Unit Data from Audit Worksheet'!I20</f>
        <v>0</v>
      </c>
      <c r="I18" s="38"/>
      <c r="J18" s="344">
        <v>335</v>
      </c>
      <c r="K18" s="343" t="s">
        <v>117</v>
      </c>
      <c r="L18" s="569">
        <f>IF(D18="",E18,D18)</f>
        <v>0</v>
      </c>
      <c r="P18" s="315"/>
      <c r="W18" s="3" t="b">
        <f t="shared" si="0"/>
        <v>1</v>
      </c>
      <c r="X18" s="566">
        <f t="shared" si="1"/>
        <v>0</v>
      </c>
      <c r="Y18" s="566">
        <f t="shared" si="2"/>
        <v>0</v>
      </c>
    </row>
    <row r="19" spans="1:25" ht="20.399999999999999" x14ac:dyDescent="0.3">
      <c r="A19" s="333">
        <f>'Unit Data from Audit Worksheet'!A21</f>
        <v>252</v>
      </c>
      <c r="B19" s="347" t="str">
        <f>'Unit Data from Audit Worksheet'!C21</f>
        <v>Net Position-Governmental Activities</v>
      </c>
      <c r="C19" s="332" t="str">
        <f>'Unit Data from Audit Worksheet'!D21</f>
        <v xml:space="preserve"> Total Net investment in capital assets</v>
      </c>
      <c r="D19" s="110"/>
      <c r="E19" s="353">
        <f>'Unit Data from Audit Worksheet'!F21</f>
        <v>0</v>
      </c>
      <c r="F19" s="346"/>
      <c r="G19" s="348"/>
      <c r="H19" s="345">
        <f>'Unit Data from Audit Worksheet'!I21</f>
        <v>0</v>
      </c>
      <c r="I19" s="38"/>
      <c r="J19" s="344">
        <v>252</v>
      </c>
      <c r="K19" s="343" t="s">
        <v>103</v>
      </c>
      <c r="L19" s="569">
        <f t="shared" ref="L19:L51" si="4">IF(D19="",E19,D19)</f>
        <v>0</v>
      </c>
      <c r="O19" s="577" t="e">
        <f>'Unit Data from Audit Worksheet'!E21</f>
        <v>#N/A</v>
      </c>
      <c r="P19" s="315"/>
      <c r="W19" s="3" t="b">
        <f t="shared" si="0"/>
        <v>1</v>
      </c>
      <c r="X19" s="566">
        <f t="shared" si="1"/>
        <v>0</v>
      </c>
      <c r="Y19" s="566">
        <f t="shared" si="2"/>
        <v>0</v>
      </c>
    </row>
    <row r="20" spans="1:25" ht="20.399999999999999" x14ac:dyDescent="0.3">
      <c r="A20" s="333">
        <f>'Unit Data from Audit Worksheet'!A22</f>
        <v>253</v>
      </c>
      <c r="B20" s="347" t="str">
        <f>'Unit Data from Audit Worksheet'!C22</f>
        <v>Net Position-Governmental Activities</v>
      </c>
      <c r="C20" s="332" t="str">
        <f>'Unit Data from Audit Worksheet'!D22</f>
        <v xml:space="preserve"> Total Net Position, Restricted</v>
      </c>
      <c r="D20" s="110"/>
      <c r="E20" s="353">
        <f>'Unit Data from Audit Worksheet'!F22</f>
        <v>0</v>
      </c>
      <c r="F20" s="346"/>
      <c r="G20" s="348"/>
      <c r="H20" s="345">
        <f>'Unit Data from Audit Worksheet'!I22</f>
        <v>0</v>
      </c>
      <c r="I20" s="38"/>
      <c r="J20" s="344">
        <v>253</v>
      </c>
      <c r="K20" s="343" t="s">
        <v>104</v>
      </c>
      <c r="L20" s="569">
        <f t="shared" si="4"/>
        <v>0</v>
      </c>
      <c r="O20" s="577" t="e">
        <f>'Unit Data from Audit Worksheet'!E22</f>
        <v>#N/A</v>
      </c>
      <c r="P20" s="315"/>
      <c r="W20" s="3" t="b">
        <f t="shared" si="0"/>
        <v>1</v>
      </c>
      <c r="X20" s="566">
        <f t="shared" si="1"/>
        <v>0</v>
      </c>
      <c r="Y20" s="566">
        <f t="shared" si="2"/>
        <v>0</v>
      </c>
    </row>
    <row r="21" spans="1:25" ht="73.5" customHeight="1" x14ac:dyDescent="0.3">
      <c r="A21" s="333">
        <f>'Unit Data from Audit Worksheet'!A23</f>
        <v>254</v>
      </c>
      <c r="B21" s="347" t="str">
        <f>'Unit Data from Audit Worksheet'!C23</f>
        <v>Net Position-Governmental Activities</v>
      </c>
      <c r="C21" s="332" t="str">
        <f>'Unit Data from Audit Worksheet'!D23</f>
        <v>Total Net Position, Unrestricted - enter negative unrestricted net position as a negative)</v>
      </c>
      <c r="D21" s="110"/>
      <c r="E21" s="353">
        <f>'Unit Data from Audit Worksheet'!F23</f>
        <v>0</v>
      </c>
      <c r="F21" s="346">
        <f>IF((L7-L17-L19-L20-L21)=0,,"Error: Total assets and deferred outflows less total liabilities and deferred inflows do not equal total net position accts 385-338-252-253-254")</f>
        <v>0</v>
      </c>
      <c r="G21" s="90">
        <f>+L7-L17-L19-L20-L21</f>
        <v>0</v>
      </c>
      <c r="H21" s="345">
        <f>'Unit Data from Audit Worksheet'!I23</f>
        <v>0</v>
      </c>
      <c r="I21" s="38"/>
      <c r="J21" s="344">
        <v>254</v>
      </c>
      <c r="K21" s="343" t="s">
        <v>105</v>
      </c>
      <c r="L21" s="569">
        <f t="shared" si="4"/>
        <v>0</v>
      </c>
      <c r="O21" s="577" t="e">
        <f>'Unit Data from Audit Worksheet'!E23</f>
        <v>#N/A</v>
      </c>
      <c r="P21" s="315"/>
      <c r="Q21" s="559">
        <f>IF(G21&lt;&gt;0,1,0)</f>
        <v>0</v>
      </c>
      <c r="W21" s="3" t="b">
        <f t="shared" si="0"/>
        <v>1</v>
      </c>
      <c r="X21" s="566">
        <f t="shared" si="1"/>
        <v>0</v>
      </c>
      <c r="Y21" s="566">
        <f t="shared" si="2"/>
        <v>0</v>
      </c>
    </row>
    <row r="22" spans="1:25" ht="51.75" customHeight="1" x14ac:dyDescent="0.3">
      <c r="A22" s="333">
        <f>'Unit Data from Audit Worksheet'!A25</f>
        <v>502</v>
      </c>
      <c r="B22" s="347" t="str">
        <f>'Unit Data from Audit Worksheet'!C25</f>
        <v>Net Position-Business Activities</v>
      </c>
      <c r="C22" s="332" t="str">
        <f>'Unit Data from Audit Worksheet'!D25</f>
        <v xml:space="preserve">All unrestricted Cash and investments. 
Exclude restricted cash and cash held by a third party. </v>
      </c>
      <c r="D22" s="110"/>
      <c r="E22" s="353">
        <f>'Unit Data from Audit Worksheet'!F25</f>
        <v>0</v>
      </c>
      <c r="F22" s="346">
        <f>IF(L22&lt;0,"Error: Number is normally positive.",)</f>
        <v>0</v>
      </c>
      <c r="G22" s="348"/>
      <c r="H22" s="345">
        <f>'Unit Data from Audit Worksheet'!I25</f>
        <v>0</v>
      </c>
      <c r="I22" s="38"/>
      <c r="J22" s="344">
        <v>502</v>
      </c>
      <c r="K22" s="343" t="s">
        <v>186</v>
      </c>
      <c r="L22" s="569">
        <f t="shared" si="4"/>
        <v>0</v>
      </c>
      <c r="P22" s="315"/>
      <c r="W22" s="3" t="b">
        <f t="shared" si="0"/>
        <v>1</v>
      </c>
      <c r="X22" s="566">
        <f t="shared" si="1"/>
        <v>0</v>
      </c>
      <c r="Y22" s="566">
        <f t="shared" si="2"/>
        <v>0</v>
      </c>
    </row>
    <row r="23" spans="1:25" ht="40.5" customHeight="1" x14ac:dyDescent="0.3">
      <c r="A23" s="333">
        <f>'Unit Data from Audit Worksheet'!A26</f>
        <v>503</v>
      </c>
      <c r="B23" s="347" t="str">
        <f>'Unit Data from Audit Worksheet'!C26</f>
        <v>Net Position-Business Activities</v>
      </c>
      <c r="C23" s="332" t="str">
        <f>'Unit Data from Audit Worksheet'!D26</f>
        <v>All restricted Cash and investments</v>
      </c>
      <c r="D23" s="110"/>
      <c r="E23" s="353">
        <f>'Unit Data from Audit Worksheet'!F26</f>
        <v>0</v>
      </c>
      <c r="F23" s="346">
        <f>IF(L23&lt;0,"Error: Number is normally positive.",)</f>
        <v>0</v>
      </c>
      <c r="G23" s="348"/>
      <c r="H23" s="345">
        <f>'Unit Data from Audit Worksheet'!I26</f>
        <v>0</v>
      </c>
      <c r="I23" s="38"/>
      <c r="J23" s="344">
        <v>503</v>
      </c>
      <c r="K23" s="343" t="s">
        <v>187</v>
      </c>
      <c r="L23" s="569">
        <f t="shared" si="4"/>
        <v>0</v>
      </c>
      <c r="P23" s="315"/>
      <c r="W23" s="3" t="b">
        <f t="shared" si="0"/>
        <v>1</v>
      </c>
      <c r="X23" s="566">
        <f t="shared" si="1"/>
        <v>0</v>
      </c>
      <c r="Y23" s="566">
        <f t="shared" si="2"/>
        <v>0</v>
      </c>
    </row>
    <row r="24" spans="1:25" ht="39" customHeight="1" x14ac:dyDescent="0.3">
      <c r="A24" s="333">
        <f>'Unit Data from Audit Worksheet'!A28</f>
        <v>344</v>
      </c>
      <c r="B24" s="347" t="str">
        <f>'Unit Data from Audit Worksheet'!C28</f>
        <v>Statement of Activities - Governmental</v>
      </c>
      <c r="C24" s="332" t="str">
        <f>'Unit Data from Audit Worksheet'!D28</f>
        <v xml:space="preserve">Total Interest expense on Long-Term Debt </v>
      </c>
      <c r="D24" s="110"/>
      <c r="E24" s="353">
        <f>'Unit Data from Audit Worksheet'!F28</f>
        <v>0</v>
      </c>
      <c r="F24" s="346">
        <f>IF(L24&lt;0,"Error: Enter as a positive.",)</f>
        <v>0</v>
      </c>
      <c r="G24" s="348"/>
      <c r="H24" s="345">
        <f>'Unit Data from Audit Worksheet'!I28</f>
        <v>0</v>
      </c>
      <c r="I24" s="38"/>
      <c r="J24" s="344">
        <v>344</v>
      </c>
      <c r="K24" s="343" t="s">
        <v>188</v>
      </c>
      <c r="L24" s="569">
        <f t="shared" si="4"/>
        <v>0</v>
      </c>
      <c r="P24" s="315"/>
      <c r="W24" s="3" t="b">
        <f t="shared" si="0"/>
        <v>1</v>
      </c>
      <c r="X24" s="566">
        <f t="shared" si="1"/>
        <v>0</v>
      </c>
      <c r="Y24" s="566">
        <f t="shared" si="2"/>
        <v>0</v>
      </c>
    </row>
    <row r="25" spans="1:25" ht="39" customHeight="1" x14ac:dyDescent="0.3">
      <c r="A25" s="333">
        <f>'Unit Data from Audit Worksheet'!A29</f>
        <v>388</v>
      </c>
      <c r="B25" s="347" t="str">
        <f>'Unit Data from Audit Worksheet'!C29</f>
        <v>Statement of Activities - Governmental</v>
      </c>
      <c r="C25" s="332" t="str">
        <f>'Unit Data from Audit Worksheet'!D29</f>
        <v>Total Expenses</v>
      </c>
      <c r="D25" s="110"/>
      <c r="E25" s="353">
        <f>'Unit Data from Audit Worksheet'!F29</f>
        <v>0</v>
      </c>
      <c r="F25" s="346">
        <f t="shared" ref="F25:F30" si="5">IF(L25&lt;0,"Error: Number is normally positive.",)</f>
        <v>0</v>
      </c>
      <c r="G25" s="348"/>
      <c r="H25" s="345">
        <f>'Unit Data from Audit Worksheet'!I29</f>
        <v>0</v>
      </c>
      <c r="I25" s="38"/>
      <c r="J25" s="344">
        <v>388</v>
      </c>
      <c r="K25" s="343" t="s">
        <v>189</v>
      </c>
      <c r="L25" s="569">
        <f t="shared" si="4"/>
        <v>0</v>
      </c>
      <c r="P25" s="315"/>
      <c r="W25" s="3" t="b">
        <f t="shared" si="0"/>
        <v>1</v>
      </c>
      <c r="X25" s="566">
        <f t="shared" si="1"/>
        <v>0</v>
      </c>
      <c r="Y25" s="566">
        <f t="shared" si="2"/>
        <v>0</v>
      </c>
    </row>
    <row r="26" spans="1:25" ht="39" customHeight="1" x14ac:dyDescent="0.3">
      <c r="A26" s="333">
        <f>'Unit Data from Audit Worksheet'!A30</f>
        <v>339</v>
      </c>
      <c r="B26" s="347" t="str">
        <f>'Unit Data from Audit Worksheet'!C30</f>
        <v>Statement of Activities - Governmental</v>
      </c>
      <c r="C26" s="332" t="str">
        <f>'Unit Data from Audit Worksheet'!D30</f>
        <v xml:space="preserve">Charges for services </v>
      </c>
      <c r="D26" s="110"/>
      <c r="E26" s="353">
        <f>'Unit Data from Audit Worksheet'!F30</f>
        <v>0</v>
      </c>
      <c r="F26" s="346">
        <f t="shared" si="5"/>
        <v>0</v>
      </c>
      <c r="G26" s="348"/>
      <c r="H26" s="345">
        <f>'Unit Data from Audit Worksheet'!I30</f>
        <v>0</v>
      </c>
      <c r="I26" s="38"/>
      <c r="J26" s="344">
        <v>339</v>
      </c>
      <c r="K26" s="343" t="s">
        <v>190</v>
      </c>
      <c r="L26" s="569">
        <f t="shared" si="4"/>
        <v>0</v>
      </c>
      <c r="P26" s="315"/>
      <c r="W26" s="3" t="b">
        <f t="shared" si="0"/>
        <v>1</v>
      </c>
      <c r="X26" s="566">
        <f t="shared" si="1"/>
        <v>0</v>
      </c>
      <c r="Y26" s="566">
        <f t="shared" si="2"/>
        <v>0</v>
      </c>
    </row>
    <row r="27" spans="1:25" ht="39" customHeight="1" x14ac:dyDescent="0.3">
      <c r="A27" s="333">
        <f>'Unit Data from Audit Worksheet'!A31</f>
        <v>504</v>
      </c>
      <c r="B27" s="347" t="str">
        <f>'Unit Data from Audit Worksheet'!C31</f>
        <v>Statement of Activities - Governmental</v>
      </c>
      <c r="C27" s="332" t="str">
        <f>'Unit Data from Audit Worksheet'!D31</f>
        <v>Operating grants and contributions</v>
      </c>
      <c r="D27" s="110"/>
      <c r="E27" s="353">
        <f>'Unit Data from Audit Worksheet'!F31</f>
        <v>0</v>
      </c>
      <c r="F27" s="346">
        <f t="shared" si="5"/>
        <v>0</v>
      </c>
      <c r="G27" s="348"/>
      <c r="H27" s="345">
        <f>'Unit Data from Audit Worksheet'!I31</f>
        <v>0</v>
      </c>
      <c r="I27" s="38"/>
      <c r="J27" s="344">
        <v>504</v>
      </c>
      <c r="K27" s="343" t="s">
        <v>191</v>
      </c>
      <c r="L27" s="569">
        <f t="shared" si="4"/>
        <v>0</v>
      </c>
      <c r="P27" s="315"/>
      <c r="W27" s="3" t="b">
        <f t="shared" si="0"/>
        <v>1</v>
      </c>
      <c r="X27" s="566">
        <f t="shared" si="1"/>
        <v>0</v>
      </c>
      <c r="Y27" s="566">
        <f t="shared" si="2"/>
        <v>0</v>
      </c>
    </row>
    <row r="28" spans="1:25" ht="39" customHeight="1" x14ac:dyDescent="0.3">
      <c r="A28" s="333">
        <f>'Unit Data from Audit Worksheet'!A32</f>
        <v>505</v>
      </c>
      <c r="B28" s="347" t="str">
        <f>'Unit Data from Audit Worksheet'!C32</f>
        <v>Statement of Activities - Governmental</v>
      </c>
      <c r="C28" s="332" t="str">
        <f>'Unit Data from Audit Worksheet'!D32</f>
        <v>Capital grants and contributions</v>
      </c>
      <c r="D28" s="110"/>
      <c r="E28" s="353">
        <f>'Unit Data from Audit Worksheet'!F32</f>
        <v>0</v>
      </c>
      <c r="F28" s="346">
        <f t="shared" si="5"/>
        <v>0</v>
      </c>
      <c r="G28" s="348"/>
      <c r="H28" s="345">
        <f>'Unit Data from Audit Worksheet'!I32</f>
        <v>0</v>
      </c>
      <c r="I28" s="38"/>
      <c r="J28" s="344">
        <v>505</v>
      </c>
      <c r="K28" s="343" t="s">
        <v>192</v>
      </c>
      <c r="L28" s="569">
        <f t="shared" si="4"/>
        <v>0</v>
      </c>
      <c r="P28" s="315"/>
      <c r="W28" s="3" t="b">
        <f t="shared" si="0"/>
        <v>1</v>
      </c>
      <c r="X28" s="566">
        <f t="shared" si="1"/>
        <v>0</v>
      </c>
      <c r="Y28" s="566">
        <f t="shared" si="2"/>
        <v>0</v>
      </c>
    </row>
    <row r="29" spans="1:25" ht="82.5" customHeight="1" x14ac:dyDescent="0.3">
      <c r="A29" s="333">
        <f>'Unit Data from Audit Worksheet'!A33</f>
        <v>341</v>
      </c>
      <c r="B29" s="347" t="str">
        <f>'Unit Data from Audit Worksheet'!C33</f>
        <v>Statement of Activities - Governmental</v>
      </c>
      <c r="C29" s="332" t="str">
        <f>'Unit Data from Audit Worksheet'!D33</f>
        <v>Total General revenues
Exclude: transfers-in or out,
                 special items,
                 extraordinary amounts</v>
      </c>
      <c r="D29" s="110"/>
      <c r="E29" s="353">
        <f>'Unit Data from Audit Worksheet'!F33</f>
        <v>0</v>
      </c>
      <c r="F29" s="346">
        <f t="shared" si="5"/>
        <v>0</v>
      </c>
      <c r="G29" s="348"/>
      <c r="H29" s="345">
        <f>'Unit Data from Audit Worksheet'!I33</f>
        <v>0</v>
      </c>
      <c r="I29" s="38"/>
      <c r="J29" s="344">
        <v>341</v>
      </c>
      <c r="K29" s="343" t="s">
        <v>193</v>
      </c>
      <c r="L29" s="569">
        <f t="shared" si="4"/>
        <v>0</v>
      </c>
      <c r="P29" s="315"/>
      <c r="W29" s="3" t="b">
        <f t="shared" si="0"/>
        <v>1</v>
      </c>
      <c r="X29" s="566">
        <f t="shared" si="1"/>
        <v>0</v>
      </c>
      <c r="Y29" s="566">
        <f t="shared" si="2"/>
        <v>0</v>
      </c>
    </row>
    <row r="30" spans="1:25" ht="82.5" customHeight="1" x14ac:dyDescent="0.3">
      <c r="A30" s="333">
        <f>'Unit Data from Audit Worksheet'!A34</f>
        <v>386</v>
      </c>
      <c r="B30" s="347" t="str">
        <f>'Unit Data from Audit Worksheet'!C34</f>
        <v>Statement of Activities - Governmental</v>
      </c>
      <c r="C30" s="332" t="str">
        <f>'Unit Data from Audit Worksheet'!D34</f>
        <v>Total Transfers in    (Preference is that transfers-in  are not netted against transfers-out)</v>
      </c>
      <c r="D30" s="110"/>
      <c r="E30" s="353">
        <f>'Unit Data from Audit Worksheet'!F34</f>
        <v>0</v>
      </c>
      <c r="F30" s="346">
        <f t="shared" si="5"/>
        <v>0</v>
      </c>
      <c r="G30" s="348"/>
      <c r="H30" s="345">
        <f>'Unit Data from Audit Worksheet'!I34</f>
        <v>0</v>
      </c>
      <c r="I30" s="38"/>
      <c r="J30" s="344">
        <v>386</v>
      </c>
      <c r="K30" s="343" t="s">
        <v>194</v>
      </c>
      <c r="L30" s="569">
        <f t="shared" si="4"/>
        <v>0</v>
      </c>
      <c r="P30" s="315"/>
      <c r="W30" s="3" t="b">
        <f t="shared" si="0"/>
        <v>1</v>
      </c>
      <c r="X30" s="566">
        <f t="shared" si="1"/>
        <v>0</v>
      </c>
      <c r="Y30" s="566">
        <f t="shared" si="2"/>
        <v>0</v>
      </c>
    </row>
    <row r="31" spans="1:25" ht="82.5" customHeight="1" x14ac:dyDescent="0.3">
      <c r="A31" s="333">
        <f>'Unit Data from Audit Worksheet'!A35</f>
        <v>387</v>
      </c>
      <c r="B31" s="347" t="str">
        <f>'Unit Data from Audit Worksheet'!C35</f>
        <v>Statement of Activities - Governmental</v>
      </c>
      <c r="C31" s="332" t="str">
        <f>'Unit Data from Audit Worksheet'!D35</f>
        <v>Total Transfers out    (Preference is that transfers-in  are not netted against transfers-out)</v>
      </c>
      <c r="D31" s="110"/>
      <c r="E31" s="353">
        <f>'Unit Data from Audit Worksheet'!F35</f>
        <v>0</v>
      </c>
      <c r="F31" s="346">
        <f>IF(L31&lt;0,"Error: Enter as a positive.",)</f>
        <v>0</v>
      </c>
      <c r="G31" s="348"/>
      <c r="H31" s="345">
        <f>'Unit Data from Audit Worksheet'!I35</f>
        <v>0</v>
      </c>
      <c r="I31" s="38"/>
      <c r="J31" s="344">
        <v>387</v>
      </c>
      <c r="K31" s="343" t="s">
        <v>195</v>
      </c>
      <c r="L31" s="569">
        <f t="shared" si="4"/>
        <v>0</v>
      </c>
      <c r="P31" s="315"/>
      <c r="W31" s="3" t="b">
        <f t="shared" si="0"/>
        <v>1</v>
      </c>
      <c r="X31" s="566">
        <f t="shared" si="1"/>
        <v>0</v>
      </c>
      <c r="Y31" s="566">
        <f t="shared" si="2"/>
        <v>0</v>
      </c>
    </row>
    <row r="32" spans="1:25" ht="82.5" customHeight="1" x14ac:dyDescent="0.3">
      <c r="A32" s="333">
        <f>'Unit Data from Audit Worksheet'!A36</f>
        <v>389</v>
      </c>
      <c r="B32" s="347" t="str">
        <f>'Unit Data from Audit Worksheet'!C36</f>
        <v>Statement of Activities - Governmental</v>
      </c>
      <c r="C32" s="332" t="str">
        <f>'Unit Data from Audit Worksheet'!D36</f>
        <v>Total Special and Extraordinary items.    (Amounts that increase net position are recorded as positive and amounts that decrease net position are recorded as negative)</v>
      </c>
      <c r="D32" s="110"/>
      <c r="E32" s="353">
        <f>'Unit Data from Audit Worksheet'!F36</f>
        <v>0</v>
      </c>
      <c r="F32" s="346"/>
      <c r="G32" s="348"/>
      <c r="H32" s="345">
        <f>'Unit Data from Audit Worksheet'!I36</f>
        <v>0</v>
      </c>
      <c r="I32" s="38"/>
      <c r="J32" s="344">
        <v>389</v>
      </c>
      <c r="K32" s="343" t="s">
        <v>196</v>
      </c>
      <c r="L32" s="569">
        <f t="shared" si="4"/>
        <v>0</v>
      </c>
      <c r="N32" s="578"/>
      <c r="P32" s="315"/>
      <c r="W32" s="3" t="b">
        <f t="shared" si="0"/>
        <v>1</v>
      </c>
      <c r="X32" s="566">
        <f t="shared" si="1"/>
        <v>0</v>
      </c>
      <c r="Y32" s="566">
        <f t="shared" si="2"/>
        <v>0</v>
      </c>
    </row>
    <row r="33" spans="1:25" ht="79.5" customHeight="1" x14ac:dyDescent="0.3">
      <c r="A33" s="333">
        <f>'Unit Data from Audit Worksheet'!A37</f>
        <v>255</v>
      </c>
      <c r="B33" s="347" t="str">
        <f>'Unit Data from Audit Worksheet'!C37</f>
        <v>Statement of Activities - Governmental</v>
      </c>
      <c r="C33" s="332" t="str">
        <f>'Unit Data from Audit Worksheet'!D37</f>
        <v>Total Change in net position - (Increase in net position is recorded as a positive and a decrease in net position is recorded as a negative)</v>
      </c>
      <c r="D33" s="110"/>
      <c r="E33" s="353">
        <f>'Unit Data from Audit Worksheet'!F37</f>
        <v>0</v>
      </c>
      <c r="F33" s="346">
        <f>IF((L26+L27+L28+L29+L30-L31+L32-L25-L33)=0,,"Total revenues less total expenses do not equal total change in net position. Acct 339+504+505+341+386-387+389-388-255=0")</f>
        <v>0</v>
      </c>
      <c r="G33" s="91">
        <f>L26+L27+L28+L29+L30-L31+L32-L25-L33</f>
        <v>0</v>
      </c>
      <c r="H33" s="345">
        <f>'Unit Data from Audit Worksheet'!I37</f>
        <v>0</v>
      </c>
      <c r="I33" s="38"/>
      <c r="J33" s="344">
        <v>255</v>
      </c>
      <c r="K33" s="343" t="s">
        <v>197</v>
      </c>
      <c r="L33" s="569">
        <f t="shared" si="4"/>
        <v>0</v>
      </c>
      <c r="O33" s="577" t="e">
        <f>'Unit Data from Audit Worksheet'!E37</f>
        <v>#N/A</v>
      </c>
      <c r="P33" s="315"/>
      <c r="Q33" s="559">
        <f>IF(G33&lt;&gt;0,1,0)</f>
        <v>0</v>
      </c>
      <c r="W33" s="3" t="b">
        <f t="shared" si="0"/>
        <v>1</v>
      </c>
      <c r="X33" s="566">
        <f t="shared" si="1"/>
        <v>0</v>
      </c>
      <c r="Y33" s="566">
        <f t="shared" si="2"/>
        <v>0</v>
      </c>
    </row>
    <row r="34" spans="1:25" ht="89.25" customHeight="1" x14ac:dyDescent="0.3">
      <c r="A34" s="333">
        <f>'Unit Data from Audit Worksheet'!A38</f>
        <v>376</v>
      </c>
      <c r="B34" s="347" t="str">
        <f>'Unit Data from Audit Worksheet'!C38</f>
        <v>Statement of Activities - Governmental</v>
      </c>
      <c r="C34" s="332" t="str">
        <f>'Unit Data from Audit Worksheet'!D38</f>
        <v>Any adjustment to beginning net position including rounding, prior period adjustments and restatements.   (Increases to net position are positive; decreases to net position are negative)</v>
      </c>
      <c r="D34" s="110"/>
      <c r="E34" s="353">
        <f>'Unit Data from Audit Worksheet'!F38</f>
        <v>0</v>
      </c>
      <c r="F34" s="87" t="e">
        <f>IF(L19+L20+L21-L33-L34=O19+O20+O21,,"Beginning Balance does not agree with our records acct (252+253+254-255-376=PY252+PY253+PY254)")</f>
        <v>#N/A</v>
      </c>
      <c r="G34" s="92" t="e">
        <f>L19+L20+L21-L33-L34-(O19+O20+O21)</f>
        <v>#N/A</v>
      </c>
      <c r="H34" s="345">
        <f>'Unit Data from Audit Worksheet'!I38</f>
        <v>0</v>
      </c>
      <c r="I34" s="38"/>
      <c r="J34" s="344">
        <v>376</v>
      </c>
      <c r="K34" s="343" t="s">
        <v>108</v>
      </c>
      <c r="L34" s="569">
        <f t="shared" si="4"/>
        <v>0</v>
      </c>
      <c r="O34" s="577" t="e">
        <f>'Unit Data from Audit Worksheet'!E38</f>
        <v>#N/A</v>
      </c>
      <c r="P34" s="315"/>
      <c r="Q34" s="559" t="e">
        <f>IF(G34&lt;&gt;0,1,0)</f>
        <v>#N/A</v>
      </c>
      <c r="W34" s="3" t="b">
        <f t="shared" si="0"/>
        <v>1</v>
      </c>
      <c r="X34" s="566">
        <f t="shared" si="1"/>
        <v>0</v>
      </c>
      <c r="Y34" s="566">
        <f t="shared" si="2"/>
        <v>0</v>
      </c>
    </row>
    <row r="35" spans="1:25" ht="157.5" customHeight="1" x14ac:dyDescent="0.3">
      <c r="A35" s="333">
        <f>'Unit Data from Audit Worksheet'!A39</f>
        <v>597</v>
      </c>
      <c r="B35" s="347" t="str">
        <f>'Unit Data from Audit Worksheet'!C39</f>
        <v>Statement of Activities                               (all governmental and business funds)</v>
      </c>
      <c r="C35" s="332"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3">
        <f>'Unit Data from Audit Worksheet'!F39</f>
        <v>0</v>
      </c>
      <c r="F35" s="346">
        <f>IF(L35&lt;0,"Error: Number is normally positive.",)</f>
        <v>0</v>
      </c>
      <c r="G35" s="348"/>
      <c r="H35" s="345">
        <f>'Unit Data from Audit Worksheet'!I39</f>
        <v>0</v>
      </c>
      <c r="I35" s="38"/>
      <c r="J35" s="344">
        <v>597</v>
      </c>
      <c r="K35" s="343" t="s">
        <v>616</v>
      </c>
      <c r="L35" s="569">
        <f t="shared" si="4"/>
        <v>0</v>
      </c>
      <c r="O35" s="577"/>
      <c r="P35" s="315"/>
      <c r="W35" s="3" t="b">
        <f t="shared" si="0"/>
        <v>1</v>
      </c>
      <c r="X35" s="566">
        <f t="shared" si="1"/>
        <v>0</v>
      </c>
      <c r="Y35" s="566">
        <f t="shared" si="2"/>
        <v>0</v>
      </c>
    </row>
    <row r="36" spans="1:25" ht="90" customHeight="1" x14ac:dyDescent="0.3">
      <c r="A36" s="333">
        <f>'Unit Data from Audit Worksheet'!A41</f>
        <v>592</v>
      </c>
      <c r="B36" s="347" t="str">
        <f>'Unit Data from Audit Worksheet'!C41</f>
        <v>Statement of Activities - Business Activities</v>
      </c>
      <c r="C36" s="332" t="str">
        <f>'Unit Data from Audit Worksheet'!D41</f>
        <v>Total Change in net position Business Type 
(Increase in net position is recorded as a positive and a decrease in net position is recorded as a negative)</v>
      </c>
      <c r="D36" s="110"/>
      <c r="E36" s="353">
        <f>'Unit Data from Audit Worksheet'!F41</f>
        <v>0</v>
      </c>
      <c r="F36" s="346"/>
      <c r="G36" s="348"/>
      <c r="H36" s="345">
        <f>'Unit Data from Audit Worksheet'!I41</f>
        <v>0</v>
      </c>
      <c r="I36" s="38"/>
      <c r="J36" s="344">
        <v>592</v>
      </c>
      <c r="K36" s="343" t="s">
        <v>574</v>
      </c>
      <c r="L36" s="569">
        <f t="shared" si="4"/>
        <v>0</v>
      </c>
      <c r="O36" s="577"/>
      <c r="P36" s="315"/>
      <c r="W36" s="3" t="b">
        <f t="shared" ref="W36:W66" si="6">EXACT(A36,J36)</f>
        <v>1</v>
      </c>
      <c r="X36" s="566">
        <f t="shared" si="1"/>
        <v>0</v>
      </c>
      <c r="Y36" s="566">
        <f t="shared" si="2"/>
        <v>0</v>
      </c>
    </row>
    <row r="37" spans="1:25" ht="66" customHeight="1" x14ac:dyDescent="0.3">
      <c r="A37" s="333">
        <f>'Unit Data from Audit Worksheet'!A42</f>
        <v>591</v>
      </c>
      <c r="B37" s="347" t="str">
        <f>'Unit Data from Audit Worksheet'!C42</f>
        <v>Statement of Activities - Business Activities</v>
      </c>
      <c r="C37" s="332" t="str">
        <f>'Unit Data from Audit Worksheet'!D42</f>
        <v>Total Expenses - Exclude Transfers</v>
      </c>
      <c r="D37" s="110"/>
      <c r="E37" s="353">
        <f>'Unit Data from Audit Worksheet'!F42</f>
        <v>0</v>
      </c>
      <c r="F37" s="346">
        <f>IF(L37&lt;0,"Error: Enter as a positive.",)</f>
        <v>0</v>
      </c>
      <c r="G37" s="348"/>
      <c r="H37" s="345">
        <f>'Unit Data from Audit Worksheet'!I42</f>
        <v>0</v>
      </c>
      <c r="I37" s="38"/>
      <c r="J37" s="344">
        <v>591</v>
      </c>
      <c r="K37" s="343" t="s">
        <v>573</v>
      </c>
      <c r="L37" s="569">
        <f t="shared" si="4"/>
        <v>0</v>
      </c>
      <c r="O37" s="577"/>
      <c r="P37" s="315"/>
      <c r="W37" s="3" t="b">
        <f t="shared" si="6"/>
        <v>1</v>
      </c>
      <c r="X37" s="566">
        <f t="shared" si="1"/>
        <v>0</v>
      </c>
      <c r="Y37" s="566">
        <f t="shared" si="2"/>
        <v>0</v>
      </c>
    </row>
    <row r="38" spans="1:25" s="702" customFormat="1" ht="66" customHeight="1" x14ac:dyDescent="0.3">
      <c r="A38" s="333">
        <f>'Unit Data from Audit Worksheet'!A43</f>
        <v>593</v>
      </c>
      <c r="B38" s="347" t="str">
        <f>'Unit Data from Audit Worksheet'!C43</f>
        <v>Statement of Activities - Business Activities</v>
      </c>
      <c r="C38" s="332" t="str">
        <f>'Unit Data from Audit Worksheet'!D43</f>
        <v>Total Transfers in    (Preference is that transfers-in  are not netted against transfers-out)</v>
      </c>
      <c r="D38" s="110"/>
      <c r="E38" s="353">
        <f>'Unit Data from Audit Worksheet'!F43</f>
        <v>0</v>
      </c>
      <c r="F38" s="346"/>
      <c r="G38" s="348"/>
      <c r="H38" s="345"/>
      <c r="I38" s="704"/>
      <c r="J38" s="344">
        <v>593</v>
      </c>
      <c r="K38" s="707" t="s">
        <v>1318</v>
      </c>
      <c r="L38" s="569">
        <f t="shared" si="4"/>
        <v>0</v>
      </c>
      <c r="O38" s="577"/>
      <c r="P38" s="315"/>
      <c r="Q38" s="559"/>
      <c r="X38" s="566"/>
      <c r="Y38" s="566"/>
    </row>
    <row r="39" spans="1:25" s="702" customFormat="1" ht="66" customHeight="1" x14ac:dyDescent="0.3">
      <c r="A39" s="333">
        <f>'Unit Data from Audit Worksheet'!A44</f>
        <v>594</v>
      </c>
      <c r="B39" s="347" t="str">
        <f>'Unit Data from Audit Worksheet'!C44</f>
        <v>Statement of Activities - Business Activities</v>
      </c>
      <c r="C39" s="332" t="str">
        <f>'Unit Data from Audit Worksheet'!D44</f>
        <v>Total Transfers out    (Preference is that transfers-in  are not netted against transfers-out)</v>
      </c>
      <c r="D39" s="110"/>
      <c r="E39" s="353">
        <f>'Unit Data from Audit Worksheet'!F44</f>
        <v>0</v>
      </c>
      <c r="F39" s="346"/>
      <c r="G39" s="348"/>
      <c r="H39" s="345"/>
      <c r="I39" s="704"/>
      <c r="J39" s="344">
        <v>594</v>
      </c>
      <c r="K39" s="707" t="s">
        <v>1319</v>
      </c>
      <c r="L39" s="569">
        <f t="shared" si="4"/>
        <v>0</v>
      </c>
      <c r="O39" s="577"/>
      <c r="P39" s="315"/>
      <c r="Q39" s="559"/>
      <c r="X39" s="566"/>
      <c r="Y39" s="566"/>
    </row>
    <row r="40" spans="1:25" s="702" customFormat="1" ht="66" customHeight="1" x14ac:dyDescent="0.3">
      <c r="A40" s="333">
        <f>'Unit Data from Audit Worksheet'!A46</f>
        <v>558</v>
      </c>
      <c r="B40" s="347" t="str">
        <f>'Unit Data from Audit Worksheet'!C46</f>
        <v>Mental Health-Balance Sheet - Non GAAP</v>
      </c>
      <c r="C40" s="332" t="str">
        <f>'Unit Data from Audit Worksheet'!D46</f>
        <v xml:space="preserve">All unrestricted cash and investments.  
Exclude restricted cash and cash held by a third party. </v>
      </c>
      <c r="D40" s="110"/>
      <c r="E40" s="353">
        <f>'Unit Data from Audit Worksheet'!F46</f>
        <v>0</v>
      </c>
      <c r="F40" s="346"/>
      <c r="G40" s="348"/>
      <c r="H40" s="345"/>
      <c r="I40" s="704"/>
      <c r="J40" s="344">
        <v>558</v>
      </c>
      <c r="K40" s="703" t="s">
        <v>1320</v>
      </c>
      <c r="L40" s="569">
        <f t="shared" si="4"/>
        <v>0</v>
      </c>
      <c r="O40" s="577"/>
      <c r="P40" s="315"/>
      <c r="Q40" s="559"/>
      <c r="X40" s="566"/>
      <c r="Y40" s="566"/>
    </row>
    <row r="41" spans="1:25" s="702" customFormat="1" ht="66" customHeight="1" x14ac:dyDescent="0.3">
      <c r="A41" s="333">
        <f>'Unit Data from Audit Worksheet'!A47</f>
        <v>559</v>
      </c>
      <c r="B41" s="347" t="str">
        <f>'Unit Data from Audit Worksheet'!C47</f>
        <v>Mental Health-Balance Sheet - Non GAAP</v>
      </c>
      <c r="C41" s="332" t="str">
        <f>'Unit Data from Audit Worksheet'!D47</f>
        <v>All restricted cash and investments</v>
      </c>
      <c r="D41" s="110"/>
      <c r="E41" s="353">
        <f>'Unit Data from Audit Worksheet'!F47</f>
        <v>0</v>
      </c>
      <c r="F41" s="346"/>
      <c r="G41" s="348"/>
      <c r="H41" s="345"/>
      <c r="I41" s="704"/>
      <c r="J41" s="344">
        <v>559</v>
      </c>
      <c r="K41" s="703" t="s">
        <v>1321</v>
      </c>
      <c r="L41" s="569">
        <f t="shared" si="4"/>
        <v>0</v>
      </c>
      <c r="O41" s="577"/>
      <c r="P41" s="315"/>
      <c r="Q41" s="559"/>
      <c r="X41" s="566"/>
      <c r="Y41" s="566"/>
    </row>
    <row r="42" spans="1:25" s="702" customFormat="1" ht="124.5" customHeight="1" x14ac:dyDescent="0.3">
      <c r="A42" s="333">
        <f>'Unit Data from Audit Worksheet'!A48</f>
        <v>560</v>
      </c>
      <c r="B42" s="347" t="str">
        <f>'Unit Data from Audit Worksheet'!C48</f>
        <v>Mental Health-Balance Sheet - Non GAAP</v>
      </c>
      <c r="C42" s="332" t="str">
        <f>'Unit Data from Audit Worksheet'!D48</f>
        <v>Current Liabilities 
Exclude: all deferred inflows
                 current debt service payments
Include: Liabilities payable from restricted assets.</v>
      </c>
      <c r="D42" s="110"/>
      <c r="E42" s="353">
        <f>'Unit Data from Audit Worksheet'!F48</f>
        <v>0</v>
      </c>
      <c r="F42" s="346"/>
      <c r="G42" s="348"/>
      <c r="H42" s="345"/>
      <c r="I42" s="704"/>
      <c r="J42" s="344">
        <v>560</v>
      </c>
      <c r="K42" s="703" t="s">
        <v>1322</v>
      </c>
      <c r="L42" s="569">
        <f t="shared" si="4"/>
        <v>0</v>
      </c>
      <c r="O42" s="577"/>
      <c r="P42" s="315"/>
      <c r="Q42" s="559"/>
      <c r="X42" s="566"/>
      <c r="Y42" s="566"/>
    </row>
    <row r="43" spans="1:25" s="702" customFormat="1" ht="66" customHeight="1" x14ac:dyDescent="0.3">
      <c r="A43" s="333">
        <f>'Unit Data from Audit Worksheet'!A49</f>
        <v>561</v>
      </c>
      <c r="B43" s="347" t="str">
        <f>'Unit Data from Audit Worksheet'!C49</f>
        <v>Mental Health-Balance Sheet - Non GAAP</v>
      </c>
      <c r="C43" s="332" t="str">
        <f>'Unit Data from Audit Worksheet'!D49</f>
        <v xml:space="preserve">Mental Health Enterprise Fund Non GAAP deferred inflows or liabilities derived from cash receipts.   </v>
      </c>
      <c r="D43" s="110"/>
      <c r="E43" s="353">
        <f>'Unit Data from Audit Worksheet'!F49</f>
        <v>0</v>
      </c>
      <c r="F43" s="346"/>
      <c r="G43" s="348"/>
      <c r="H43" s="345"/>
      <c r="I43" s="704"/>
      <c r="J43" s="344">
        <v>561</v>
      </c>
      <c r="K43" s="703" t="s">
        <v>1323</v>
      </c>
      <c r="L43" s="569">
        <f t="shared" si="4"/>
        <v>0</v>
      </c>
      <c r="O43" s="577"/>
      <c r="P43" s="315"/>
      <c r="Q43" s="559"/>
      <c r="X43" s="566"/>
      <c r="Y43" s="566"/>
    </row>
    <row r="44" spans="1:25" s="702" customFormat="1" ht="137.25" customHeight="1" x14ac:dyDescent="0.3">
      <c r="A44" s="333">
        <f>'Unit Data from Audit Worksheet'!A50</f>
        <v>563</v>
      </c>
      <c r="B44" s="347" t="str">
        <f>'Unit Data from Audit Worksheet'!C50</f>
        <v>Mental Health-Balance Sheet - Non GAAP</v>
      </c>
      <c r="C44" s="332"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3">
        <f>'Unit Data from Audit Worksheet'!F50</f>
        <v>0</v>
      </c>
      <c r="F44" s="346"/>
      <c r="G44" s="348"/>
      <c r="H44" s="345"/>
      <c r="I44" s="704"/>
      <c r="J44" s="344">
        <v>563</v>
      </c>
      <c r="K44" s="703" t="s">
        <v>1324</v>
      </c>
      <c r="L44" s="569">
        <f t="shared" si="4"/>
        <v>0</v>
      </c>
      <c r="O44" s="577"/>
      <c r="P44" s="315"/>
      <c r="Q44" s="559"/>
      <c r="X44" s="566"/>
      <c r="Y44" s="566"/>
    </row>
    <row r="45" spans="1:25" s="702" customFormat="1" ht="66" customHeight="1" x14ac:dyDescent="0.3">
      <c r="A45" s="333">
        <f>'Unit Data from Audit Worksheet'!A51</f>
        <v>564</v>
      </c>
      <c r="B45" s="347" t="str">
        <f>'Unit Data from Audit Worksheet'!C51</f>
        <v>Mental Health Enterprise Fund Non GAAP-Rev, Exp. Change in Fund Balance</v>
      </c>
      <c r="C45" s="332" t="str">
        <f>'Unit Data from Audit Worksheet'!D51</f>
        <v>Total expenditures  
Exclude: expenditures in the ""other financing sources (uses)"" section.</v>
      </c>
      <c r="D45" s="110"/>
      <c r="E45" s="353">
        <f>'Unit Data from Audit Worksheet'!F51</f>
        <v>0</v>
      </c>
      <c r="F45" s="346"/>
      <c r="G45" s="348"/>
      <c r="H45" s="345"/>
      <c r="I45" s="704"/>
      <c r="J45" s="344">
        <v>564</v>
      </c>
      <c r="K45" s="703" t="s">
        <v>1325</v>
      </c>
      <c r="L45" s="569">
        <f t="shared" si="4"/>
        <v>0</v>
      </c>
      <c r="O45" s="577"/>
      <c r="P45" s="315"/>
      <c r="Q45" s="559"/>
      <c r="X45" s="566"/>
      <c r="Y45" s="566"/>
    </row>
    <row r="46" spans="1:25" s="702" customFormat="1" ht="66" customHeight="1" x14ac:dyDescent="0.3">
      <c r="A46" s="333">
        <f>'Unit Data from Audit Worksheet'!A52</f>
        <v>568</v>
      </c>
      <c r="B46" s="347" t="str">
        <f>'Unit Data from Audit Worksheet'!C52</f>
        <v>Mental Health Enterprise Fund Non GAAP-Rev, Exp. Change in Fund Balance</v>
      </c>
      <c r="C46" s="332" t="str">
        <f>'Unit Data from Audit Worksheet'!D52</f>
        <v>Total Proceeds from all long-term debt issuances 
Exclude: proceeds from refundings</v>
      </c>
      <c r="D46" s="110"/>
      <c r="E46" s="353">
        <f>'Unit Data from Audit Worksheet'!F52</f>
        <v>0</v>
      </c>
      <c r="F46" s="346"/>
      <c r="G46" s="348"/>
      <c r="H46" s="345"/>
      <c r="I46" s="704"/>
      <c r="J46" s="344">
        <v>568</v>
      </c>
      <c r="K46" s="703" t="s">
        <v>1326</v>
      </c>
      <c r="L46" s="569">
        <f t="shared" si="4"/>
        <v>0</v>
      </c>
      <c r="O46" s="577"/>
      <c r="P46" s="315"/>
      <c r="Q46" s="559"/>
      <c r="X46" s="566"/>
      <c r="Y46" s="566"/>
    </row>
    <row r="47" spans="1:25" s="706" customFormat="1" ht="66" customHeight="1" x14ac:dyDescent="0.3">
      <c r="A47" s="333">
        <f>'Unit Data from Audit Worksheet'!A53</f>
        <v>565</v>
      </c>
      <c r="B47" s="347" t="str">
        <f>'Unit Data from Audit Worksheet'!C53</f>
        <v>Mental Health Enterprise Fund Non GAAP-Rev, Exp. Change in Fund Balance</v>
      </c>
      <c r="C47" s="332" t="str">
        <f>'Unit Data from Audit Worksheet'!D53</f>
        <v>Debt Refunding - Net refunding proceeds against debt payoff and if negative place results on this line.</v>
      </c>
      <c r="D47" s="110"/>
      <c r="E47" s="353">
        <f>'Unit Data from Audit Worksheet'!F53</f>
        <v>0</v>
      </c>
      <c r="F47" s="346"/>
      <c r="G47" s="348"/>
      <c r="H47" s="345"/>
      <c r="I47" s="708"/>
      <c r="J47" s="344">
        <v>565</v>
      </c>
      <c r="K47" s="703" t="s">
        <v>1460</v>
      </c>
      <c r="L47" s="569">
        <f t="shared" si="4"/>
        <v>0</v>
      </c>
      <c r="O47" s="577"/>
      <c r="P47" s="315"/>
      <c r="Q47" s="559"/>
      <c r="X47" s="566"/>
      <c r="Y47" s="566"/>
    </row>
    <row r="48" spans="1:25" s="702" customFormat="1" ht="66" customHeight="1" x14ac:dyDescent="0.3">
      <c r="A48" s="333">
        <f>'Unit Data from Audit Worksheet'!A54</f>
        <v>566</v>
      </c>
      <c r="B48" s="347" t="str">
        <f>'Unit Data from Audit Worksheet'!C54</f>
        <v>Mental Health Enterprise Fund Non GAAP-Rev, Exp. Change in Fund Balance</v>
      </c>
      <c r="C48" s="332" t="str">
        <f>'Unit Data from Audit Worksheet'!D54</f>
        <v>Debt Refunding - Net refunding proceeds against debt payoff and if positive place results on this line.</v>
      </c>
      <c r="D48" s="110"/>
      <c r="E48" s="353">
        <f>'Unit Data from Audit Worksheet'!F54</f>
        <v>0</v>
      </c>
      <c r="F48" s="346"/>
      <c r="G48" s="348"/>
      <c r="H48" s="345"/>
      <c r="I48" s="704"/>
      <c r="J48" s="344">
        <v>566</v>
      </c>
      <c r="K48" s="703" t="s">
        <v>1327</v>
      </c>
      <c r="L48" s="569">
        <f t="shared" si="4"/>
        <v>0</v>
      </c>
      <c r="O48" s="577"/>
      <c r="P48" s="315"/>
      <c r="Q48" s="559"/>
      <c r="X48" s="566"/>
      <c r="Y48" s="566"/>
    </row>
    <row r="49" spans="1:25" s="702" customFormat="1" ht="66" customHeight="1" x14ac:dyDescent="0.3">
      <c r="A49" s="333">
        <f>'Unit Data from Audit Worksheet'!A55</f>
        <v>567</v>
      </c>
      <c r="B49" s="347" t="str">
        <f>'Unit Data from Audit Worksheet'!C55</f>
        <v>Mental Health Enterprise Fund Non GAAP-Rev, Exp. Change in Fund Balance</v>
      </c>
      <c r="C49" s="332" t="str">
        <f>'Unit Data from Audit Worksheet'!D55</f>
        <v>Total Transfers out    (Preference is that transfers-in  are not netted against transfers-out)</v>
      </c>
      <c r="D49" s="110"/>
      <c r="E49" s="353">
        <f>'Unit Data from Audit Worksheet'!F55</f>
        <v>0</v>
      </c>
      <c r="F49" s="346"/>
      <c r="G49" s="348"/>
      <c r="H49" s="345"/>
      <c r="I49" s="704"/>
      <c r="J49" s="344">
        <v>567</v>
      </c>
      <c r="K49" s="703" t="s">
        <v>1328</v>
      </c>
      <c r="L49" s="569">
        <f t="shared" si="4"/>
        <v>0</v>
      </c>
      <c r="O49" s="577"/>
      <c r="P49" s="315"/>
      <c r="Q49" s="559"/>
      <c r="X49" s="566"/>
      <c r="Y49" s="566"/>
    </row>
    <row r="50" spans="1:25" s="702" customFormat="1" ht="66" customHeight="1" x14ac:dyDescent="0.3">
      <c r="A50" s="333">
        <f>'Unit Data from Audit Worksheet'!A56</f>
        <v>562</v>
      </c>
      <c r="B50" s="347" t="str">
        <f>'Unit Data from Audit Worksheet'!C56</f>
        <v>Notes</v>
      </c>
      <c r="C50" s="332" t="str">
        <f>'Unit Data from Audit Worksheet'!D56</f>
        <v>Mental Health Enterprise Fund Non GAAP -  Total Encumbrances.  You will have to refer to the note disclosure where the amount of encumbrances is listed.</v>
      </c>
      <c r="D50" s="110"/>
      <c r="E50" s="353">
        <f>'Unit Data from Audit Worksheet'!F56</f>
        <v>0</v>
      </c>
      <c r="F50" s="346"/>
      <c r="G50" s="348"/>
      <c r="H50" s="345"/>
      <c r="I50" s="704"/>
      <c r="J50" s="344">
        <v>562</v>
      </c>
      <c r="K50" s="703" t="s">
        <v>1329</v>
      </c>
      <c r="L50" s="569">
        <f t="shared" si="4"/>
        <v>0</v>
      </c>
      <c r="O50" s="577"/>
      <c r="P50" s="315"/>
      <c r="Q50" s="559"/>
      <c r="X50" s="566"/>
      <c r="Y50" s="566"/>
    </row>
    <row r="51" spans="1:25" s="702" customFormat="1" ht="66" customHeight="1" x14ac:dyDescent="0.3">
      <c r="A51" s="333">
        <f>'Unit Data from Audit Worksheet'!A57</f>
        <v>569</v>
      </c>
      <c r="B51" s="347" t="str">
        <f>'Unit Data from Audit Worksheet'!C57</f>
        <v>Notes</v>
      </c>
      <c r="C51" s="332" t="str">
        <f>'Unit Data from Audit Worksheet'!D57</f>
        <v>Please enter the principal and interest due next fiscal year on existing borrowings.</v>
      </c>
      <c r="D51" s="110"/>
      <c r="E51" s="353">
        <f>'Unit Data from Audit Worksheet'!F57</f>
        <v>0</v>
      </c>
      <c r="F51" s="346"/>
      <c r="G51" s="348"/>
      <c r="H51" s="345"/>
      <c r="I51" s="704"/>
      <c r="J51" s="344">
        <v>569</v>
      </c>
      <c r="K51" s="703" t="s">
        <v>1330</v>
      </c>
      <c r="L51" s="569">
        <f t="shared" si="4"/>
        <v>0</v>
      </c>
      <c r="O51" s="577"/>
      <c r="P51" s="315"/>
      <c r="Q51" s="559"/>
      <c r="X51" s="566"/>
      <c r="Y51" s="566"/>
    </row>
    <row r="52" spans="1:25" ht="54" customHeight="1" x14ac:dyDescent="0.3">
      <c r="A52" s="333">
        <f>'Unit Data from Audit Worksheet'!A59</f>
        <v>506</v>
      </c>
      <c r="B52" s="53" t="str">
        <f>'Unit Data from Audit Worksheet'!C59</f>
        <v>General Fund-Balance Sheet</v>
      </c>
      <c r="C52" s="579"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5">
        <f>'Unit Data from Audit Worksheet'!I59</f>
        <v>0</v>
      </c>
      <c r="I52" s="38"/>
      <c r="J52" s="41">
        <v>506</v>
      </c>
      <c r="K52" s="343" t="s">
        <v>198</v>
      </c>
      <c r="L52" s="580">
        <f t="shared" ref="L52:L65" si="7">IF(D52="",E52,D52)</f>
        <v>0</v>
      </c>
      <c r="P52" s="315"/>
      <c r="W52" s="3" t="b">
        <f t="shared" si="6"/>
        <v>1</v>
      </c>
      <c r="X52" s="566">
        <f t="shared" si="1"/>
        <v>0</v>
      </c>
      <c r="Y52" s="566">
        <f t="shared" si="2"/>
        <v>0</v>
      </c>
    </row>
    <row r="53" spans="1:25" ht="45.75" customHeight="1" x14ac:dyDescent="0.3">
      <c r="A53" s="333">
        <f>'Unit Data from Audit Worksheet'!A60</f>
        <v>536</v>
      </c>
      <c r="B53" s="53" t="str">
        <f>'Unit Data from Audit Worksheet'!C60</f>
        <v>General Fund-Balance Sheet</v>
      </c>
      <c r="C53" s="579" t="str">
        <f>'Unit Data from Audit Worksheet'!D60</f>
        <v>All restricted cash and investments</v>
      </c>
      <c r="D53" s="110"/>
      <c r="E53" s="154">
        <f>'Unit Data from Audit Worksheet'!F60</f>
        <v>0</v>
      </c>
      <c r="F53" s="37">
        <f>IF(L53&lt;0,"Error: Number is normally positive.",)</f>
        <v>0</v>
      </c>
      <c r="G53" s="73"/>
      <c r="H53" s="345">
        <f>'Unit Data from Audit Worksheet'!I60</f>
        <v>0</v>
      </c>
      <c r="I53" s="38"/>
      <c r="J53" s="41">
        <v>536</v>
      </c>
      <c r="K53" s="343" t="s">
        <v>199</v>
      </c>
      <c r="L53" s="580">
        <f t="shared" si="7"/>
        <v>0</v>
      </c>
      <c r="P53" s="315"/>
      <c r="W53" s="3" t="b">
        <f t="shared" si="6"/>
        <v>1</v>
      </c>
      <c r="X53" s="566">
        <f t="shared" si="1"/>
        <v>0</v>
      </c>
      <c r="Y53" s="566">
        <f t="shared" si="2"/>
        <v>0</v>
      </c>
    </row>
    <row r="54" spans="1:25" ht="56.25" customHeight="1" x14ac:dyDescent="0.3">
      <c r="A54" s="333">
        <f>'Unit Data from Audit Worksheet'!A61</f>
        <v>586</v>
      </c>
      <c r="B54" s="347" t="str">
        <f>'Unit Data from Audit Worksheet'!C61</f>
        <v>General Fund-Balance Sheet</v>
      </c>
      <c r="C54" s="332" t="str">
        <f>'Unit Data from Audit Worksheet'!D61</f>
        <v>Advance To: Interfund loan receivable-portion of repayment plan longer than 12 months</v>
      </c>
      <c r="D54" s="144"/>
      <c r="E54" s="353">
        <f>'Unit Data from Audit Worksheet'!F61</f>
        <v>0</v>
      </c>
      <c r="F54" s="346"/>
      <c r="G54" s="348"/>
      <c r="H54" s="345"/>
      <c r="I54" s="38"/>
      <c r="J54" s="344">
        <v>586</v>
      </c>
      <c r="K54" s="332" t="s">
        <v>556</v>
      </c>
      <c r="L54" s="569">
        <f t="shared" si="7"/>
        <v>0</v>
      </c>
      <c r="P54" s="315"/>
      <c r="W54" s="3" t="b">
        <f t="shared" si="6"/>
        <v>1</v>
      </c>
      <c r="X54" s="566">
        <f t="shared" si="1"/>
        <v>0</v>
      </c>
      <c r="Y54" s="566">
        <f t="shared" si="2"/>
        <v>0</v>
      </c>
    </row>
    <row r="55" spans="1:25" ht="28.8" x14ac:dyDescent="0.3">
      <c r="A55" s="333">
        <f>'Unit Data from Audit Worksheet'!A62</f>
        <v>379</v>
      </c>
      <c r="B55" s="347" t="str">
        <f>'Unit Data from Audit Worksheet'!C62</f>
        <v>General Fund-Balance Sheet</v>
      </c>
      <c r="C55" s="332" t="str">
        <f>'Unit Data from Audit Worksheet'!D62</f>
        <v>Total Assets and deferred outflows</v>
      </c>
      <c r="D55" s="144"/>
      <c r="E55" s="353">
        <f>'Unit Data from Audit Worksheet'!F62</f>
        <v>0</v>
      </c>
      <c r="F55" s="84">
        <f>IF((L52+L53)&gt;L55,"Error: Please review accts (506+536)&gt;379",)</f>
        <v>0</v>
      </c>
      <c r="G55" s="348" t="str">
        <f>IF(Q55=1," Included in error count"," ")</f>
        <v xml:space="preserve"> </v>
      </c>
      <c r="H55" s="345">
        <f>'Unit Data from Audit Worksheet'!I62</f>
        <v>0</v>
      </c>
      <c r="I55" s="38"/>
      <c r="J55" s="344">
        <v>379</v>
      </c>
      <c r="K55" s="343" t="s">
        <v>118</v>
      </c>
      <c r="L55" s="569">
        <f t="shared" si="7"/>
        <v>0</v>
      </c>
      <c r="P55" s="315"/>
      <c r="Q55" s="559">
        <f>IF(L52+L53&gt;L55,1,0)</f>
        <v>0</v>
      </c>
      <c r="W55" s="3" t="b">
        <f t="shared" si="6"/>
        <v>1</v>
      </c>
      <c r="X55" s="566">
        <f t="shared" si="1"/>
        <v>0</v>
      </c>
      <c r="Y55" s="566">
        <f t="shared" si="2"/>
        <v>0</v>
      </c>
    </row>
    <row r="56" spans="1:25" ht="106.5" customHeight="1" x14ac:dyDescent="0.3">
      <c r="A56" s="333">
        <f>'Unit Data from Audit Worksheet'!A63</f>
        <v>368</v>
      </c>
      <c r="B56" s="347" t="str">
        <f>'Unit Data from Audit Worksheet'!C63</f>
        <v>General Fund-Balance Sheet</v>
      </c>
      <c r="C56" s="332"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3">
        <f>'Unit Data from Audit Worksheet'!F63</f>
        <v>0</v>
      </c>
      <c r="F56" s="346">
        <f>IF(L56&lt;0,"Error: Enter as a positive.",)</f>
        <v>0</v>
      </c>
      <c r="G56" s="348"/>
      <c r="H56" s="345">
        <f>'Unit Data from Audit Worksheet'!I63</f>
        <v>0</v>
      </c>
      <c r="I56" s="38"/>
      <c r="J56" s="344">
        <v>368</v>
      </c>
      <c r="K56" s="343" t="s">
        <v>200</v>
      </c>
      <c r="L56" s="569">
        <f t="shared" si="7"/>
        <v>0</v>
      </c>
      <c r="P56" s="315"/>
      <c r="W56" s="3" t="b">
        <f t="shared" si="6"/>
        <v>1</v>
      </c>
      <c r="X56" s="566">
        <f t="shared" si="1"/>
        <v>0</v>
      </c>
      <c r="Y56" s="566">
        <f t="shared" si="2"/>
        <v>0</v>
      </c>
    </row>
    <row r="57" spans="1:25" ht="90.75" customHeight="1" x14ac:dyDescent="0.3">
      <c r="A57" s="333">
        <f>'Unit Data from Audit Worksheet'!A64</f>
        <v>4</v>
      </c>
      <c r="B57" s="53" t="str">
        <f>'Unit Data from Audit Worksheet'!C64</f>
        <v>General Fund-Balance Sheet</v>
      </c>
      <c r="C57" s="579"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5">
        <f>'Unit Data from Audit Worksheet'!I64</f>
        <v>0</v>
      </c>
      <c r="I57" s="38"/>
      <c r="J57" s="41">
        <v>4</v>
      </c>
      <c r="K57" s="343" t="s">
        <v>119</v>
      </c>
      <c r="L57" s="580">
        <f t="shared" si="7"/>
        <v>0</v>
      </c>
      <c r="P57" s="315"/>
      <c r="W57" s="3" t="b">
        <f t="shared" si="6"/>
        <v>1</v>
      </c>
      <c r="X57" s="566">
        <f t="shared" si="1"/>
        <v>0</v>
      </c>
      <c r="Y57" s="566">
        <f t="shared" si="2"/>
        <v>0</v>
      </c>
    </row>
    <row r="58" spans="1:25" ht="131.25" customHeight="1" x14ac:dyDescent="0.3">
      <c r="A58" s="333">
        <f>'Unit Data from Audit Worksheet'!A65</f>
        <v>5</v>
      </c>
      <c r="B58" s="53" t="str">
        <f>'Unit Data from Audit Worksheet'!C65</f>
        <v>General Fund-Balance Sheet</v>
      </c>
      <c r="C58" s="57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5">
        <f>'Unit Data from Audit Worksheet'!I65</f>
        <v>0</v>
      </c>
      <c r="I58" s="38"/>
      <c r="J58" s="41">
        <v>5</v>
      </c>
      <c r="K58" s="343" t="s">
        <v>120</v>
      </c>
      <c r="L58" s="580">
        <f t="shared" si="7"/>
        <v>0</v>
      </c>
      <c r="P58" s="315"/>
      <c r="W58" s="3" t="b">
        <f t="shared" si="6"/>
        <v>1</v>
      </c>
      <c r="X58" s="566">
        <f t="shared" si="1"/>
        <v>0</v>
      </c>
      <c r="Y58" s="566">
        <f t="shared" si="2"/>
        <v>0</v>
      </c>
    </row>
    <row r="59" spans="1:25" ht="104.25" customHeight="1" x14ac:dyDescent="0.3">
      <c r="A59" s="333">
        <f>'Unit Data from Audit Worksheet'!A66</f>
        <v>380</v>
      </c>
      <c r="B59" s="347" t="str">
        <f>'Unit Data from Audit Worksheet'!C66</f>
        <v>General Fund-Balance Sheet</v>
      </c>
      <c r="C59" s="332"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3">
        <f>'Unit Data from Audit Worksheet'!F66</f>
        <v>0</v>
      </c>
      <c r="F59" s="346">
        <f t="shared" si="8"/>
        <v>0</v>
      </c>
      <c r="G59" s="348"/>
      <c r="H59" s="345">
        <f>'Unit Data from Audit Worksheet'!I66</f>
        <v>0</v>
      </c>
      <c r="I59" s="38"/>
      <c r="J59" s="344">
        <v>380</v>
      </c>
      <c r="K59" s="343" t="s">
        <v>121</v>
      </c>
      <c r="L59" s="569">
        <f t="shared" si="7"/>
        <v>0</v>
      </c>
      <c r="P59" s="315"/>
      <c r="W59" s="3" t="b">
        <f t="shared" si="6"/>
        <v>1</v>
      </c>
      <c r="X59" s="566">
        <f t="shared" si="1"/>
        <v>0</v>
      </c>
      <c r="Y59" s="566">
        <f t="shared" si="2"/>
        <v>0</v>
      </c>
    </row>
    <row r="60" spans="1:25" ht="41.25" customHeight="1" x14ac:dyDescent="0.3">
      <c r="A60" s="333">
        <f>'Unit Data from Audit Worksheet'!A67</f>
        <v>391</v>
      </c>
      <c r="B60" s="347" t="str">
        <f>'Unit Data from Audit Worksheet'!C67</f>
        <v>General Fund-Balance Sheet</v>
      </c>
      <c r="C60" s="332" t="str">
        <f>'Unit Data from Audit Worksheet'!D67</f>
        <v xml:space="preserve">Fund balance, Restricted for Stabilization by State Statute </v>
      </c>
      <c r="D60" s="144"/>
      <c r="E60" s="353">
        <f>'Unit Data from Audit Worksheet'!F67</f>
        <v>0</v>
      </c>
      <c r="F60" s="346">
        <f t="shared" si="8"/>
        <v>0</v>
      </c>
      <c r="G60" s="348"/>
      <c r="H60" s="345">
        <f>'Unit Data from Audit Worksheet'!I67</f>
        <v>0</v>
      </c>
      <c r="I60" s="38"/>
      <c r="J60" s="344">
        <v>391</v>
      </c>
      <c r="K60" s="343" t="s">
        <v>201</v>
      </c>
      <c r="L60" s="569">
        <f t="shared" si="7"/>
        <v>0</v>
      </c>
      <c r="P60" s="315"/>
      <c r="W60" s="3" t="b">
        <f t="shared" si="6"/>
        <v>1</v>
      </c>
      <c r="X60" s="566">
        <f t="shared" si="1"/>
        <v>0</v>
      </c>
      <c r="Y60" s="566">
        <f t="shared" si="2"/>
        <v>0</v>
      </c>
    </row>
    <row r="61" spans="1:25" ht="28.8" x14ac:dyDescent="0.3">
      <c r="A61" s="333">
        <f>'Unit Data from Audit Worksheet'!A68</f>
        <v>7</v>
      </c>
      <c r="B61" s="53" t="str">
        <f>'Unit Data from Audit Worksheet'!C68</f>
        <v>General Fund-Balance Sheet</v>
      </c>
      <c r="C61" s="579" t="str">
        <f>'Unit Data from Audit Worksheet'!D68</f>
        <v>Fund balance, Nonspendable-  inventory/prepaids/etc.</v>
      </c>
      <c r="D61" s="144"/>
      <c r="E61" s="154">
        <f>'Unit Data from Audit Worksheet'!F68</f>
        <v>0</v>
      </c>
      <c r="F61" s="37">
        <f t="shared" si="8"/>
        <v>0</v>
      </c>
      <c r="G61" s="73"/>
      <c r="H61" s="345">
        <f>'Unit Data from Audit Worksheet'!I68</f>
        <v>0</v>
      </c>
      <c r="I61" s="38"/>
      <c r="J61" s="41">
        <v>7</v>
      </c>
      <c r="K61" s="343" t="s">
        <v>202</v>
      </c>
      <c r="L61" s="580">
        <f t="shared" si="7"/>
        <v>0</v>
      </c>
      <c r="P61" s="315"/>
      <c r="W61" s="3" t="b">
        <f t="shared" si="6"/>
        <v>1</v>
      </c>
      <c r="X61" s="566">
        <f t="shared" si="1"/>
        <v>0</v>
      </c>
      <c r="Y61" s="566">
        <f t="shared" si="2"/>
        <v>0</v>
      </c>
    </row>
    <row r="62" spans="1:25" ht="89.25" customHeight="1" x14ac:dyDescent="0.3">
      <c r="A62" s="581">
        <f>'Unit Data from Audit Worksheet'!A69</f>
        <v>11</v>
      </c>
      <c r="B62" s="117" t="str">
        <f>'Unit Data from Audit Worksheet'!C69</f>
        <v>General Fund-Balance Sheet</v>
      </c>
      <c r="C62" s="571"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69">
        <f t="shared" si="7"/>
        <v>0</v>
      </c>
      <c r="P62" s="316"/>
      <c r="W62" s="3" t="b">
        <f t="shared" si="6"/>
        <v>1</v>
      </c>
      <c r="X62" s="566">
        <f t="shared" si="1"/>
        <v>0</v>
      </c>
      <c r="Y62" s="566">
        <f t="shared" si="2"/>
        <v>0</v>
      </c>
    </row>
    <row r="63" spans="1:25" s="18" customFormat="1" ht="48.75" customHeight="1" x14ac:dyDescent="0.3">
      <c r="A63" s="305">
        <f>'Unit Data from Audit Worksheet'!A70</f>
        <v>645</v>
      </c>
      <c r="B63" s="360" t="str">
        <f>'Unit Data from Audit Worksheet'!C70</f>
        <v>General Fund-Balance Sheet</v>
      </c>
      <c r="C63" s="305" t="str">
        <f>'Unit Data from Audit Worksheet'!D70</f>
        <v>Fund balance, Assigned (total of all assigned components)</v>
      </c>
      <c r="D63" s="116"/>
      <c r="E63" s="359">
        <f>'Unit Data from Audit Worksheet'!F70</f>
        <v>0</v>
      </c>
      <c r="F63" s="341">
        <f>IF(L63&lt;0,"Error: Enter as a positive.",)</f>
        <v>0</v>
      </c>
      <c r="G63" s="326"/>
      <c r="H63" s="341">
        <f>'Unit Data from Audit Worksheet'!I70</f>
        <v>0</v>
      </c>
      <c r="I63" s="582"/>
      <c r="J63" s="340">
        <v>645</v>
      </c>
      <c r="K63" s="305" t="s">
        <v>681</v>
      </c>
      <c r="L63" s="583">
        <f t="shared" si="7"/>
        <v>0</v>
      </c>
      <c r="M63" s="573"/>
      <c r="N63" s="573"/>
      <c r="O63" s="573"/>
      <c r="P63" s="317"/>
      <c r="Q63" s="574"/>
      <c r="R63" s="3"/>
      <c r="S63" s="573"/>
      <c r="T63" s="573"/>
      <c r="U63" s="573"/>
      <c r="V63" s="573"/>
      <c r="W63" s="18" t="b">
        <f t="shared" si="6"/>
        <v>1</v>
      </c>
      <c r="X63" s="575">
        <f t="shared" si="1"/>
        <v>0</v>
      </c>
      <c r="Y63" s="575">
        <f t="shared" si="2"/>
        <v>0</v>
      </c>
    </row>
    <row r="64" spans="1:25" s="18" customFormat="1" ht="45.75" customHeight="1" x14ac:dyDescent="0.3">
      <c r="A64" s="305">
        <f>'Unit Data from Audit Worksheet'!A71</f>
        <v>646</v>
      </c>
      <c r="B64" s="360" t="str">
        <f>'Unit Data from Audit Worksheet'!C71</f>
        <v>General Fund-Balance Sheet</v>
      </c>
      <c r="C64" s="305" t="str">
        <f>'Unit Data from Audit Worksheet'!D71</f>
        <v>Fund Balance, Unassigned</v>
      </c>
      <c r="D64" s="116"/>
      <c r="E64" s="359">
        <f>'Unit Data from Audit Worksheet'!F71</f>
        <v>0</v>
      </c>
      <c r="F64" s="341">
        <f>IF(L64&lt;0,"Error: Enter as a positive.",)</f>
        <v>0</v>
      </c>
      <c r="G64" s="326"/>
      <c r="H64" s="341">
        <f>'Unit Data from Audit Worksheet'!I71</f>
        <v>0</v>
      </c>
      <c r="I64" s="582"/>
      <c r="J64" s="340">
        <v>646</v>
      </c>
      <c r="K64" s="305" t="s">
        <v>682</v>
      </c>
      <c r="L64" s="583">
        <f t="shared" si="7"/>
        <v>0</v>
      </c>
      <c r="M64" s="573"/>
      <c r="N64" s="573"/>
      <c r="O64" s="573"/>
      <c r="P64" s="317"/>
      <c r="Q64" s="574"/>
      <c r="R64" s="3"/>
      <c r="S64" s="573"/>
      <c r="T64" s="573"/>
      <c r="U64" s="573"/>
      <c r="V64" s="573"/>
      <c r="W64" s="18" t="b">
        <f t="shared" si="6"/>
        <v>1</v>
      </c>
      <c r="X64" s="575">
        <f t="shared" si="1"/>
        <v>0</v>
      </c>
      <c r="Y64" s="575">
        <f t="shared" si="2"/>
        <v>0</v>
      </c>
    </row>
    <row r="65" spans="1:27" ht="55.5" customHeight="1" x14ac:dyDescent="0.3">
      <c r="A65" s="567">
        <f>'Unit Data from Audit Worksheet'!A72</f>
        <v>9</v>
      </c>
      <c r="B65" s="118" t="str">
        <f>'Unit Data from Audit Worksheet'!C72</f>
        <v>General Fund-Balance Sheet</v>
      </c>
      <c r="C65" s="584"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5">
        <f>'Unit Data from Audit Worksheet'!I72</f>
        <v>0</v>
      </c>
      <c r="I65" s="38"/>
      <c r="J65" s="121">
        <v>9</v>
      </c>
      <c r="K65" s="51" t="s">
        <v>204</v>
      </c>
      <c r="L65" s="580">
        <f t="shared" si="7"/>
        <v>0</v>
      </c>
      <c r="O65" s="577" t="e">
        <f>'Unit Data from Audit Worksheet'!E72</f>
        <v>#N/A</v>
      </c>
      <c r="P65" s="314"/>
      <c r="Q65" s="559">
        <f>IF(G65&lt;&gt;0,1,0)</f>
        <v>0</v>
      </c>
      <c r="W65" s="3" t="b">
        <f t="shared" si="6"/>
        <v>1</v>
      </c>
      <c r="X65" s="566">
        <f t="shared" si="1"/>
        <v>0</v>
      </c>
      <c r="Y65" s="566">
        <f t="shared" si="2"/>
        <v>0</v>
      </c>
    </row>
    <row r="66" spans="1:27" s="18" customFormat="1" ht="73.5" customHeight="1" x14ac:dyDescent="0.3">
      <c r="A66" s="333">
        <f>'Unit Data from Audit Worksheet'!A73</f>
        <v>540</v>
      </c>
      <c r="B66" s="347" t="str">
        <f>'Unit Data from Audit Worksheet'!C73</f>
        <v>General Fund - Budget Actual Statement</v>
      </c>
      <c r="C66" s="332" t="str">
        <f>'Unit Data from Audit Worksheet'!D73</f>
        <v>Amount of the General Fund Balance appropriated in next year's budget. As reported on the General Fund Balance Sheet.</v>
      </c>
      <c r="D66" s="144"/>
      <c r="E66" s="353">
        <f>'Unit Data from Audit Worksheet'!F73</f>
        <v>0</v>
      </c>
      <c r="F66" s="346">
        <f t="shared" si="8"/>
        <v>0</v>
      </c>
      <c r="G66" s="348"/>
      <c r="H66" s="345">
        <f>'Unit Data from Audit Worksheet'!I73</f>
        <v>0</v>
      </c>
      <c r="I66" s="38"/>
      <c r="J66" s="344">
        <v>540</v>
      </c>
      <c r="K66" s="343" t="s">
        <v>263</v>
      </c>
      <c r="L66" s="569">
        <f t="shared" ref="L66:L123" si="9">IF(D66="",E66,D66)</f>
        <v>0</v>
      </c>
      <c r="P66" s="315"/>
      <c r="Q66" s="559"/>
      <c r="R66" s="3"/>
      <c r="W66" s="3" t="b">
        <f t="shared" si="6"/>
        <v>1</v>
      </c>
      <c r="X66" s="566">
        <f t="shared" si="1"/>
        <v>0</v>
      </c>
      <c r="Y66" s="566">
        <f t="shared" si="2"/>
        <v>0</v>
      </c>
      <c r="AA66" s="3"/>
    </row>
    <row r="67" spans="1:27" s="18" customFormat="1" ht="73.5" customHeight="1" x14ac:dyDescent="0.3">
      <c r="A67" s="585">
        <f>'Unit Data from Audit Worksheet'!A75</f>
        <v>984</v>
      </c>
      <c r="B67" s="351" t="str">
        <f>'Unit Data from Audit Worksheet'!C75</f>
        <v>General Fund - Budget Actual Statement</v>
      </c>
      <c r="C67" s="586" t="str">
        <f>'Unit Data from Audit Worksheet'!D75</f>
        <v>Amount of Ad valorem tax collected (including motor vehicle and prior years) reported on budget actual statement</v>
      </c>
      <c r="D67" s="144"/>
      <c r="E67" s="354">
        <f>'Unit Data from Audit Worksheet'!F75</f>
        <v>0</v>
      </c>
      <c r="F67" s="346"/>
      <c r="G67" s="348"/>
      <c r="H67" s="345"/>
      <c r="I67" s="38"/>
      <c r="J67" s="362">
        <v>984</v>
      </c>
      <c r="K67" s="126" t="s">
        <v>1041</v>
      </c>
      <c r="L67" s="587">
        <f t="shared" si="9"/>
        <v>0</v>
      </c>
      <c r="P67" s="315"/>
      <c r="Q67" s="559"/>
      <c r="R67" s="3"/>
      <c r="W67" s="3"/>
      <c r="X67" s="566"/>
      <c r="Y67" s="566"/>
      <c r="AA67" s="3"/>
    </row>
    <row r="68" spans="1:27" s="18" customFormat="1" ht="73.5" customHeight="1" x14ac:dyDescent="0.3">
      <c r="A68" s="585">
        <f>'Unit Data from Audit Worksheet'!A76</f>
        <v>985</v>
      </c>
      <c r="B68" s="351" t="str">
        <f>'Unit Data from Audit Worksheet'!C76</f>
        <v>General Fund - Budget Actual Statement</v>
      </c>
      <c r="C68" s="586" t="str">
        <f>'Unit Data from Audit Worksheet'!D76</f>
        <v>Amount of Ad valorem tax budgeted (including motor vehicle and prior years) reported on budget actual statement</v>
      </c>
      <c r="D68" s="144"/>
      <c r="E68" s="354">
        <f>'Unit Data from Audit Worksheet'!F76</f>
        <v>0</v>
      </c>
      <c r="F68" s="346"/>
      <c r="G68" s="348"/>
      <c r="H68" s="345"/>
      <c r="I68" s="38"/>
      <c r="J68" s="362">
        <v>985</v>
      </c>
      <c r="K68" s="126" t="s">
        <v>1042</v>
      </c>
      <c r="L68" s="587">
        <f t="shared" si="9"/>
        <v>0</v>
      </c>
      <c r="P68" s="315"/>
      <c r="Q68" s="559"/>
      <c r="R68" s="3"/>
      <c r="W68" s="3"/>
      <c r="X68" s="566"/>
      <c r="Y68" s="566"/>
      <c r="AA68" s="3"/>
    </row>
    <row r="69" spans="1:27" ht="73.5" customHeight="1" x14ac:dyDescent="0.3">
      <c r="A69" s="333">
        <f>'Unit Data from Audit Worksheet'!A77</f>
        <v>369</v>
      </c>
      <c r="B69" s="347" t="str">
        <f>'Unit Data from Audit Worksheet'!C77</f>
        <v>General Fund-Rev, Exp. Change in Fund Balance</v>
      </c>
      <c r="C69" s="332" t="str">
        <f>'Unit Data from Audit Worksheet'!D77</f>
        <v>Total Intergovernmental revenue 
Include restricted and unrestricted revenues</v>
      </c>
      <c r="D69" s="144"/>
      <c r="E69" s="353">
        <f>'Unit Data from Audit Worksheet'!F77</f>
        <v>0</v>
      </c>
      <c r="F69" s="346"/>
      <c r="G69" s="348"/>
      <c r="H69" s="345">
        <f>'Unit Data from Audit Worksheet'!I77</f>
        <v>0</v>
      </c>
      <c r="I69" s="38"/>
      <c r="J69" s="344">
        <v>369</v>
      </c>
      <c r="K69" s="343" t="s">
        <v>205</v>
      </c>
      <c r="L69" s="569">
        <f t="shared" si="9"/>
        <v>0</v>
      </c>
      <c r="P69" s="315"/>
      <c r="W69" s="3" t="b">
        <f t="shared" ref="W69:W132" si="10">EXACT(A69,J69)</f>
        <v>1</v>
      </c>
      <c r="X69" s="566">
        <f t="shared" si="1"/>
        <v>0</v>
      </c>
      <c r="Y69" s="566">
        <f t="shared" si="2"/>
        <v>0</v>
      </c>
    </row>
    <row r="70" spans="1:27" ht="73.5" customHeight="1" x14ac:dyDescent="0.3">
      <c r="A70" s="333">
        <f>'Unit Data from Audit Worksheet'!A78</f>
        <v>16</v>
      </c>
      <c r="B70" s="347" t="str">
        <f>'Unit Data from Audit Worksheet'!C78</f>
        <v>General Fund-Rev, Exp. Change in Fund Balance</v>
      </c>
      <c r="C70" s="332" t="str">
        <f>'Unit Data from Audit Worksheet'!D78</f>
        <v>Total revenues</v>
      </c>
      <c r="D70" s="144"/>
      <c r="E70" s="353">
        <f>'Unit Data from Audit Worksheet'!F78</f>
        <v>0</v>
      </c>
      <c r="F70" s="346"/>
      <c r="G70" s="348"/>
      <c r="H70" s="345">
        <f>'Unit Data from Audit Worksheet'!I78</f>
        <v>0</v>
      </c>
      <c r="I70" s="38"/>
      <c r="J70" s="344">
        <v>16</v>
      </c>
      <c r="K70" s="343" t="s">
        <v>206</v>
      </c>
      <c r="L70" s="569">
        <f t="shared" si="9"/>
        <v>0</v>
      </c>
      <c r="P70" s="315"/>
      <c r="W70" s="3" t="b">
        <f t="shared" si="10"/>
        <v>1</v>
      </c>
      <c r="X70" s="566">
        <f t="shared" si="1"/>
        <v>0</v>
      </c>
      <c r="Y70" s="566">
        <f t="shared" si="2"/>
        <v>0</v>
      </c>
    </row>
    <row r="71" spans="1:27" ht="73.5" customHeight="1" x14ac:dyDescent="0.3">
      <c r="A71" s="333">
        <f>'Unit Data from Audit Worksheet'!A79</f>
        <v>370</v>
      </c>
      <c r="B71" s="347" t="str">
        <f>'Unit Data from Audit Worksheet'!C79</f>
        <v>General Fund-Rev, Exp. Change in Fund Balance</v>
      </c>
      <c r="C71" s="332" t="str">
        <f>'Unit Data from Audit Worksheet'!D79</f>
        <v>Debt service expenditures. 
Include principal, interest paid, and bond/debt issuance costs on long-term debt</v>
      </c>
      <c r="D71" s="144"/>
      <c r="E71" s="353">
        <f>'Unit Data from Audit Worksheet'!F79</f>
        <v>0</v>
      </c>
      <c r="F71" s="346">
        <f t="shared" ref="F71:F77" si="11">IF(L71&lt;0,"Error: Enter as a positive.",)</f>
        <v>0</v>
      </c>
      <c r="G71" s="348"/>
      <c r="H71" s="345">
        <f>'Unit Data from Audit Worksheet'!I79</f>
        <v>0</v>
      </c>
      <c r="I71" s="38"/>
      <c r="J71" s="344">
        <v>370</v>
      </c>
      <c r="K71" s="343" t="s">
        <v>207</v>
      </c>
      <c r="L71" s="569">
        <f t="shared" si="9"/>
        <v>0</v>
      </c>
      <c r="P71" s="315"/>
      <c r="W71" s="3" t="b">
        <f t="shared" si="10"/>
        <v>1</v>
      </c>
      <c r="X71" s="566">
        <f t="shared" si="1"/>
        <v>0</v>
      </c>
      <c r="Y71" s="566">
        <f t="shared" si="2"/>
        <v>0</v>
      </c>
    </row>
    <row r="72" spans="1:27" ht="73.5" customHeight="1" x14ac:dyDescent="0.3">
      <c r="A72" s="333">
        <f>'Unit Data from Audit Worksheet'!A80</f>
        <v>532</v>
      </c>
      <c r="B72" s="347" t="str">
        <f>'Unit Data from Audit Worksheet'!C80</f>
        <v>General Fund-Rev, Exp. Change in Fund Balance</v>
      </c>
      <c r="C72" s="332" t="str">
        <f>'Unit Data from Audit Worksheet'!D80</f>
        <v xml:space="preserve">Total expenditures  
Exclude expenditures in the "other financing sources (uses)" section.
</v>
      </c>
      <c r="D72" s="144"/>
      <c r="E72" s="353">
        <f>'Unit Data from Audit Worksheet'!F80</f>
        <v>0</v>
      </c>
      <c r="F72" s="346">
        <f t="shared" si="11"/>
        <v>0</v>
      </c>
      <c r="G72" s="348"/>
      <c r="H72" s="345">
        <f>'Unit Data from Audit Worksheet'!I80</f>
        <v>0</v>
      </c>
      <c r="I72" s="38"/>
      <c r="J72" s="344">
        <v>532</v>
      </c>
      <c r="K72" s="588" t="s">
        <v>208</v>
      </c>
      <c r="L72" s="569">
        <f t="shared" si="9"/>
        <v>0</v>
      </c>
      <c r="P72" s="315"/>
      <c r="W72" s="3" t="b">
        <f t="shared" si="10"/>
        <v>1</v>
      </c>
      <c r="X72" s="566">
        <f t="shared" si="1"/>
        <v>0</v>
      </c>
      <c r="Y72" s="566">
        <f t="shared" si="2"/>
        <v>0</v>
      </c>
    </row>
    <row r="73" spans="1:27" ht="73.5" customHeight="1" x14ac:dyDescent="0.3">
      <c r="A73" s="333">
        <f>'Unit Data from Audit Worksheet'!A81</f>
        <v>17</v>
      </c>
      <c r="B73" s="347" t="str">
        <f>'Unit Data from Audit Worksheet'!C81</f>
        <v>General Fund-Rev, Exp. Change in Fund Balance</v>
      </c>
      <c r="C73" s="332" t="str">
        <f>'Unit Data from Audit Worksheet'!D81</f>
        <v>Total Transfers in    (Preference is that transfers-in  are not netted against transfers-out)</v>
      </c>
      <c r="D73" s="144"/>
      <c r="E73" s="353">
        <f>'Unit Data from Audit Worksheet'!F81</f>
        <v>0</v>
      </c>
      <c r="F73" s="346">
        <f t="shared" si="11"/>
        <v>0</v>
      </c>
      <c r="G73" s="348"/>
      <c r="H73" s="345">
        <f>'Unit Data from Audit Worksheet'!I81</f>
        <v>0</v>
      </c>
      <c r="I73" s="38"/>
      <c r="J73" s="344">
        <v>17</v>
      </c>
      <c r="K73" s="343" t="s">
        <v>209</v>
      </c>
      <c r="L73" s="569">
        <f t="shared" si="9"/>
        <v>0</v>
      </c>
      <c r="P73" s="315"/>
      <c r="W73" s="3" t="b">
        <f t="shared" si="10"/>
        <v>1</v>
      </c>
      <c r="X73" s="566">
        <f t="shared" si="1"/>
        <v>0</v>
      </c>
      <c r="Y73" s="566">
        <f t="shared" si="2"/>
        <v>0</v>
      </c>
    </row>
    <row r="74" spans="1:27" ht="54.75" customHeight="1" x14ac:dyDescent="0.3">
      <c r="A74" s="333">
        <f>'Unit Data from Audit Worksheet'!A82</f>
        <v>20</v>
      </c>
      <c r="B74" s="347" t="str">
        <f>'Unit Data from Audit Worksheet'!C82</f>
        <v>General Fund-Rev, Exp. Change in Fund Balance</v>
      </c>
      <c r="C74" s="332" t="str">
        <f>'Unit Data from Audit Worksheet'!D82</f>
        <v>Total Transfers out    (Preference is that transfers-in  are not netted against transfers-out)</v>
      </c>
      <c r="D74" s="144"/>
      <c r="E74" s="353">
        <f>'Unit Data from Audit Worksheet'!F82</f>
        <v>0</v>
      </c>
      <c r="F74" s="346">
        <f t="shared" si="11"/>
        <v>0</v>
      </c>
      <c r="G74" s="348"/>
      <c r="H74" s="345">
        <f>'Unit Data from Audit Worksheet'!I82</f>
        <v>0</v>
      </c>
      <c r="I74" s="38"/>
      <c r="J74" s="344">
        <v>20</v>
      </c>
      <c r="K74" s="343" t="s">
        <v>210</v>
      </c>
      <c r="L74" s="569">
        <f t="shared" si="9"/>
        <v>0</v>
      </c>
      <c r="P74" s="315"/>
      <c r="W74" s="3" t="b">
        <f t="shared" si="10"/>
        <v>1</v>
      </c>
      <c r="X74" s="566">
        <f t="shared" si="1"/>
        <v>0</v>
      </c>
      <c r="Y74" s="566">
        <f t="shared" si="2"/>
        <v>0</v>
      </c>
    </row>
    <row r="75" spans="1:27" ht="54.75" customHeight="1" x14ac:dyDescent="0.3">
      <c r="A75" s="333">
        <f>'Unit Data from Audit Worksheet'!A83</f>
        <v>533</v>
      </c>
      <c r="B75" s="347" t="str">
        <f>'Unit Data from Audit Worksheet'!C83</f>
        <v>General Fund-Rev, Exp. Change in Fund Balance</v>
      </c>
      <c r="C75" s="332" t="str">
        <f>'Unit Data from Audit Worksheet'!D83</f>
        <v>Total Proceeds from all long-term debt issuances 
Exclude proceeds from refundings</v>
      </c>
      <c r="D75" s="144"/>
      <c r="E75" s="353">
        <f>'Unit Data from Audit Worksheet'!F83</f>
        <v>0</v>
      </c>
      <c r="F75" s="346">
        <f t="shared" si="11"/>
        <v>0</v>
      </c>
      <c r="G75" s="348"/>
      <c r="H75" s="345">
        <f>'Unit Data from Audit Worksheet'!I83</f>
        <v>0</v>
      </c>
      <c r="I75" s="38"/>
      <c r="J75" s="344">
        <v>533</v>
      </c>
      <c r="K75" s="588" t="s">
        <v>211</v>
      </c>
      <c r="L75" s="569">
        <f t="shared" si="9"/>
        <v>0</v>
      </c>
      <c r="P75" s="315"/>
      <c r="W75" s="3" t="b">
        <f t="shared" si="10"/>
        <v>1</v>
      </c>
      <c r="X75" s="566">
        <f t="shared" si="1"/>
        <v>0</v>
      </c>
      <c r="Y75" s="566">
        <f t="shared" si="2"/>
        <v>0</v>
      </c>
    </row>
    <row r="76" spans="1:27" ht="54.75" customHeight="1" x14ac:dyDescent="0.3">
      <c r="A76" s="333">
        <f>'Unit Data from Audit Worksheet'!A84</f>
        <v>508</v>
      </c>
      <c r="B76" s="347" t="str">
        <f>'Unit Data from Audit Worksheet'!C84</f>
        <v>General Fund-Rev, Exp. Change in Fund Balance</v>
      </c>
      <c r="C76" s="332" t="str">
        <f>'Unit Data from Audit Worksheet'!D84</f>
        <v>Debt Refunding - Net refunding proceeds against debt payoff and if positive place results on this line.</v>
      </c>
      <c r="D76" s="144"/>
      <c r="E76" s="353">
        <f>'Unit Data from Audit Worksheet'!F84</f>
        <v>0</v>
      </c>
      <c r="F76" s="346">
        <f t="shared" si="11"/>
        <v>0</v>
      </c>
      <c r="G76" s="348"/>
      <c r="H76" s="345">
        <f>'Unit Data from Audit Worksheet'!I84</f>
        <v>0</v>
      </c>
      <c r="I76" s="38"/>
      <c r="J76" s="344">
        <v>508</v>
      </c>
      <c r="K76" s="343" t="s">
        <v>213</v>
      </c>
      <c r="L76" s="569">
        <f t="shared" si="9"/>
        <v>0</v>
      </c>
      <c r="P76" s="315"/>
      <c r="W76" s="3" t="b">
        <f t="shared" si="10"/>
        <v>1</v>
      </c>
      <c r="X76" s="566">
        <f t="shared" si="1"/>
        <v>0</v>
      </c>
      <c r="Y76" s="566">
        <f t="shared" si="2"/>
        <v>0</v>
      </c>
    </row>
    <row r="77" spans="1:27" ht="54.75" customHeight="1" x14ac:dyDescent="0.3">
      <c r="A77" s="333">
        <f>'Unit Data from Audit Worksheet'!A85</f>
        <v>509</v>
      </c>
      <c r="B77" s="347" t="str">
        <f>'Unit Data from Audit Worksheet'!C85</f>
        <v>General Fund-Rev, Exp. Change in Fund Balance</v>
      </c>
      <c r="C77" s="332" t="str">
        <f>'Unit Data from Audit Worksheet'!D85</f>
        <v>Debt Refunding - Net refunding proceeds against debt payoff and if negative place results on this line.</v>
      </c>
      <c r="D77" s="144"/>
      <c r="E77" s="353">
        <f>'Unit Data from Audit Worksheet'!F85</f>
        <v>0</v>
      </c>
      <c r="F77" s="346">
        <f t="shared" si="11"/>
        <v>0</v>
      </c>
      <c r="G77" s="348"/>
      <c r="H77" s="345">
        <f>'Unit Data from Audit Worksheet'!I85</f>
        <v>0</v>
      </c>
      <c r="I77" s="38"/>
      <c r="J77" s="344">
        <v>509</v>
      </c>
      <c r="K77" s="343" t="s">
        <v>214</v>
      </c>
      <c r="L77" s="569">
        <f t="shared" si="9"/>
        <v>0</v>
      </c>
      <c r="P77" s="315"/>
      <c r="W77" s="3" t="b">
        <f t="shared" si="10"/>
        <v>1</v>
      </c>
      <c r="X77" s="566">
        <f t="shared" si="1"/>
        <v>0</v>
      </c>
      <c r="Y77" s="566">
        <f t="shared" si="2"/>
        <v>0</v>
      </c>
    </row>
    <row r="78" spans="1:27" ht="84.75" customHeight="1" x14ac:dyDescent="0.3">
      <c r="A78" s="333">
        <f>'Unit Data from Audit Worksheet'!A86</f>
        <v>22</v>
      </c>
      <c r="B78" s="347" t="str">
        <f>'Unit Data from Audit Worksheet'!C86</f>
        <v>General Fund-Rev, Exp. Change in Fund Balance</v>
      </c>
      <c r="C78" s="332" t="str">
        <f>'Unit Data from Audit Worksheet'!D86</f>
        <v xml:space="preserve">All other items on this statement that were not included in total revenues, total expenditures, transfers in or out, or proceeds from long-term debt above.  </v>
      </c>
      <c r="D78" s="144"/>
      <c r="E78" s="353">
        <f>'Unit Data from Audit Worksheet'!F86</f>
        <v>0</v>
      </c>
      <c r="F78" s="346"/>
      <c r="G78" s="348"/>
      <c r="H78" s="345">
        <f>'Unit Data from Audit Worksheet'!I86</f>
        <v>0</v>
      </c>
      <c r="I78" s="38"/>
      <c r="J78" s="344">
        <v>22</v>
      </c>
      <c r="K78" s="343" t="s">
        <v>212</v>
      </c>
      <c r="L78" s="569">
        <f t="shared" si="9"/>
        <v>0</v>
      </c>
      <c r="P78" s="315"/>
      <c r="W78" s="3" t="b">
        <f t="shared" si="10"/>
        <v>1</v>
      </c>
      <c r="X78" s="566">
        <f t="shared" si="1"/>
        <v>0</v>
      </c>
      <c r="Y78" s="566">
        <f t="shared" si="2"/>
        <v>0</v>
      </c>
    </row>
    <row r="79" spans="1:27" ht="74.25" customHeight="1" x14ac:dyDescent="0.3">
      <c r="A79" s="333">
        <f>'Unit Data from Audit Worksheet'!A87</f>
        <v>23</v>
      </c>
      <c r="B79" s="347" t="str">
        <f>'Unit Data from Audit Worksheet'!C87</f>
        <v>General Fund-Rev, Exp. Change in Fund Balance</v>
      </c>
      <c r="C79" s="332" t="str">
        <f>'Unit Data from Audit Worksheet'!D87</f>
        <v>Change in fund balance - (Increase in Fund balance is recorded as a positive and a decrease in fund balance is recorded as a negative)</v>
      </c>
      <c r="D79" s="144"/>
      <c r="E79" s="353">
        <f>'Unit Data from Audit Worksheet'!F87</f>
        <v>0</v>
      </c>
      <c r="F79" s="346">
        <f>IF(+L70-L72+L73-L74+L75+L76-L77+L78-L79=0,,"Error:Total revenues less toal Expenditures do not equal change in fund balance")</f>
        <v>0</v>
      </c>
      <c r="G79" s="91">
        <f>+L70-L72+L73-L74+L75+L78+L76-L77-L79</f>
        <v>0</v>
      </c>
      <c r="H79" s="345">
        <f>'Unit Data from Audit Worksheet'!I87</f>
        <v>0</v>
      </c>
      <c r="I79" s="38"/>
      <c r="J79" s="344">
        <v>23</v>
      </c>
      <c r="K79" s="343" t="s">
        <v>215</v>
      </c>
      <c r="L79" s="569">
        <f t="shared" si="9"/>
        <v>0</v>
      </c>
      <c r="P79" s="315"/>
      <c r="Q79" s="559">
        <f>IF(G79&lt;&gt;0,1,0)</f>
        <v>0</v>
      </c>
      <c r="W79" s="3" t="b">
        <f t="shared" si="10"/>
        <v>1</v>
      </c>
      <c r="X79" s="566">
        <f t="shared" si="1"/>
        <v>0</v>
      </c>
      <c r="Y79" s="566">
        <f t="shared" si="2"/>
        <v>0</v>
      </c>
    </row>
    <row r="80" spans="1:27" ht="123" customHeight="1" x14ac:dyDescent="0.3">
      <c r="A80" s="581">
        <f>'Unit Data from Audit Worksheet'!A89</f>
        <v>507</v>
      </c>
      <c r="B80" s="117" t="str">
        <f>'Unit Data from Audit Worksheet'!C89</f>
        <v>General Fund-Rev, Exp. Change in Fund Balance</v>
      </c>
      <c r="C80" s="325"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f>'Unit Data from Audit Worksheet'!I89</f>
        <v>0</v>
      </c>
      <c r="I80" s="38"/>
      <c r="J80" s="105">
        <v>507</v>
      </c>
      <c r="K80" s="44" t="s">
        <v>216</v>
      </c>
      <c r="L80" s="569">
        <f t="shared" si="9"/>
        <v>0</v>
      </c>
      <c r="N80" s="578"/>
      <c r="O80" s="577"/>
      <c r="P80" s="316"/>
      <c r="Q80" s="559" t="e">
        <f>IF(G80&lt;&gt;0,1,0)</f>
        <v>#N/A</v>
      </c>
      <c r="W80" s="3" t="b">
        <f t="shared" si="10"/>
        <v>1</v>
      </c>
      <c r="X80" s="566">
        <f t="shared" si="1"/>
        <v>0</v>
      </c>
      <c r="Y80" s="566">
        <f t="shared" si="2"/>
        <v>0</v>
      </c>
    </row>
    <row r="81" spans="1:26" ht="123" customHeight="1" x14ac:dyDescent="0.3">
      <c r="A81" s="581">
        <f>'Unit Data from Audit Worksheet'!A90</f>
        <v>147</v>
      </c>
      <c r="B81" s="117" t="str">
        <f>'Unit Data from Audit Worksheet'!C90</f>
        <v>General Fund-Rev, Exp. Change in Fund Balance or General Fund Budget Actual</v>
      </c>
      <c r="C81" s="325"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6"/>
      <c r="E81" s="155">
        <f>'Unit Data from Audit Worksheet'!F90</f>
        <v>0</v>
      </c>
      <c r="F81" s="349"/>
      <c r="G81" s="357"/>
      <c r="H81" s="349"/>
      <c r="I81" s="38"/>
      <c r="J81" s="358">
        <v>147</v>
      </c>
      <c r="K81" s="350" t="s">
        <v>368</v>
      </c>
      <c r="L81" s="569">
        <f t="shared" si="9"/>
        <v>0</v>
      </c>
      <c r="N81" s="578"/>
      <c r="O81" s="577"/>
      <c r="P81" s="324"/>
      <c r="W81" s="3" t="b">
        <f t="shared" si="10"/>
        <v>1</v>
      </c>
      <c r="X81" s="566"/>
      <c r="Y81" s="566"/>
    </row>
    <row r="82" spans="1:26" ht="123" customHeight="1" x14ac:dyDescent="0.3">
      <c r="A82" s="581">
        <f>'Unit Data from Audit Worksheet'!A91</f>
        <v>585</v>
      </c>
      <c r="B82" s="117" t="str">
        <f>'Unit Data from Audit Worksheet'!C91</f>
        <v>General Fund-Rev, Exp. Change in Fund Balance or General Fund Budget Actual</v>
      </c>
      <c r="C82" s="571" t="str">
        <f>'Unit Data from Audit Worksheet'!D91</f>
        <v xml:space="preserve">How much of the above number in account 147 is from Timber Receipts sent to the schools </v>
      </c>
      <c r="D82" s="356"/>
      <c r="E82" s="155">
        <f>'Unit Data from Audit Worksheet'!F91</f>
        <v>0</v>
      </c>
      <c r="F82" s="349"/>
      <c r="G82" s="357"/>
      <c r="H82" s="349"/>
      <c r="I82" s="38"/>
      <c r="J82" s="358">
        <v>585</v>
      </c>
      <c r="K82" s="361" t="s">
        <v>610</v>
      </c>
      <c r="L82" s="569">
        <f t="shared" si="9"/>
        <v>0</v>
      </c>
      <c r="N82" s="578"/>
      <c r="O82" s="577"/>
      <c r="P82" s="324"/>
      <c r="W82" s="3" t="b">
        <f t="shared" si="10"/>
        <v>1</v>
      </c>
      <c r="X82" s="566"/>
      <c r="Y82" s="566"/>
    </row>
    <row r="83" spans="1:26" ht="123" customHeight="1" x14ac:dyDescent="0.3">
      <c r="A83" s="581">
        <f>'Unit Data from Audit Worksheet'!A92</f>
        <v>546</v>
      </c>
      <c r="B83" s="117" t="str">
        <f>'Unit Data from Audit Worksheet'!C92</f>
        <v>General Fund-Rev, Exp. Change in Fund Balance or General Fund Budget Actual</v>
      </c>
      <c r="C83" s="571" t="str">
        <f>'Unit Data from Audit Worksheet'!D92</f>
        <v>Amount of Supplemental School Tax revenue recorded in the governmental funds.</v>
      </c>
      <c r="D83" s="356"/>
      <c r="E83" s="155">
        <f>'Unit Data from Audit Worksheet'!F92</f>
        <v>0</v>
      </c>
      <c r="F83" s="349"/>
      <c r="G83" s="357"/>
      <c r="H83" s="349"/>
      <c r="I83" s="38"/>
      <c r="J83" s="358">
        <v>546</v>
      </c>
      <c r="K83" s="361" t="s">
        <v>799</v>
      </c>
      <c r="L83" s="569">
        <f t="shared" si="9"/>
        <v>0</v>
      </c>
      <c r="N83" s="578"/>
      <c r="O83" s="577"/>
      <c r="P83" s="324"/>
      <c r="W83" s="3" t="b">
        <f t="shared" si="10"/>
        <v>1</v>
      </c>
      <c r="X83" s="566"/>
      <c r="Y83" s="566"/>
    </row>
    <row r="84" spans="1:26" ht="123" customHeight="1" x14ac:dyDescent="0.3">
      <c r="A84" s="581">
        <f>'Unit Data from Audit Worksheet'!A93</f>
        <v>589</v>
      </c>
      <c r="B84" s="117" t="str">
        <f>'Unit Data from Audit Worksheet'!C93</f>
        <v>General Fund-Rev, Exp. Change in Fund Balance or General Fund Budget Actual</v>
      </c>
      <c r="C84" s="571" t="str">
        <f>'Unit Data from Audit Worksheet'!D93</f>
        <v>Amount of Supplemental School Tax revenue recorded in agency funds.</v>
      </c>
      <c r="D84" s="356"/>
      <c r="E84" s="155">
        <f>'Unit Data from Audit Worksheet'!F93</f>
        <v>0</v>
      </c>
      <c r="F84" s="349"/>
      <c r="G84" s="357"/>
      <c r="H84" s="349"/>
      <c r="I84" s="38"/>
      <c r="J84" s="358">
        <v>589</v>
      </c>
      <c r="K84" s="124" t="s">
        <v>1202</v>
      </c>
      <c r="L84" s="569">
        <f t="shared" si="9"/>
        <v>0</v>
      </c>
      <c r="N84" s="578"/>
      <c r="O84" s="577"/>
      <c r="P84" s="324"/>
      <c r="W84" s="3" t="b">
        <f t="shared" si="10"/>
        <v>1</v>
      </c>
      <c r="X84" s="566"/>
      <c r="Y84" s="566"/>
    </row>
    <row r="85" spans="1:26" ht="123" customHeight="1" x14ac:dyDescent="0.3">
      <c r="A85" s="581">
        <f>'Unit Data from Audit Worksheet'!A94</f>
        <v>149</v>
      </c>
      <c r="B85" s="117" t="str">
        <f>'Unit Data from Audit Worksheet'!C94</f>
        <v>General Fund-Rev, Exp. Change in Fund Balance or General Fund Budget Actual</v>
      </c>
      <c r="C85" s="57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6"/>
      <c r="E85" s="155">
        <f>'Unit Data from Audit Worksheet'!F94</f>
        <v>0</v>
      </c>
      <c r="F85" s="349"/>
      <c r="G85" s="357"/>
      <c r="H85" s="349"/>
      <c r="I85" s="38"/>
      <c r="J85" s="358">
        <v>149</v>
      </c>
      <c r="K85" s="254" t="s">
        <v>372</v>
      </c>
      <c r="L85" s="569">
        <f t="shared" si="9"/>
        <v>0</v>
      </c>
      <c r="N85" s="578"/>
      <c r="O85" s="577"/>
      <c r="P85" s="324"/>
      <c r="W85" s="3" t="b">
        <f t="shared" si="10"/>
        <v>1</v>
      </c>
      <c r="X85" s="566"/>
      <c r="Y85" s="566"/>
      <c r="Z85" s="3" t="s">
        <v>1274</v>
      </c>
    </row>
    <row r="86" spans="1:26" ht="123" customHeight="1" x14ac:dyDescent="0.3">
      <c r="A86" s="581">
        <f>'Unit Data from Audit Worksheet'!A95</f>
        <v>150</v>
      </c>
      <c r="B86" s="117" t="str">
        <f>'Unit Data from Audit Worksheet'!C95</f>
        <v>General Fund-Rev, Exp. Change in Fund Balance or General Fund Budget Actual</v>
      </c>
      <c r="C86" s="57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6"/>
      <c r="E86" s="155">
        <f>'Unit Data from Audit Worksheet'!F95</f>
        <v>0</v>
      </c>
      <c r="F86" s="349"/>
      <c r="G86" s="357"/>
      <c r="H86" s="349"/>
      <c r="I86" s="38"/>
      <c r="J86" s="358">
        <v>150</v>
      </c>
      <c r="K86" s="254" t="s">
        <v>799</v>
      </c>
      <c r="L86" s="569">
        <f t="shared" si="9"/>
        <v>0</v>
      </c>
      <c r="N86" s="578"/>
      <c r="O86" s="577"/>
      <c r="P86" s="324"/>
      <c r="W86" s="3" t="b">
        <f t="shared" si="10"/>
        <v>1</v>
      </c>
      <c r="X86" s="566"/>
      <c r="Y86" s="566"/>
      <c r="Z86" s="3" t="s">
        <v>1274</v>
      </c>
    </row>
    <row r="87" spans="1:26" ht="123" customHeight="1" x14ac:dyDescent="0.3">
      <c r="A87" s="581">
        <f>'Unit Data from Audit Worksheet'!A96</f>
        <v>587</v>
      </c>
      <c r="B87" s="117" t="str">
        <f>'Unit Data from Audit Worksheet'!C96</f>
        <v xml:space="preserve">Fund 8 Rev, Exp. Change in Fund Balance Rpt. </v>
      </c>
      <c r="C87" s="571" t="str">
        <f>'Unit Data from Audit Worksheet'!D96</f>
        <v>Amount of Local Current Expense Funds received from the County transferred to Fund 8 this year.</v>
      </c>
      <c r="D87" s="356"/>
      <c r="E87" s="155">
        <f>'Unit Data from Audit Worksheet'!F96</f>
        <v>0</v>
      </c>
      <c r="F87" s="349"/>
      <c r="G87" s="357"/>
      <c r="H87" s="349"/>
      <c r="I87" s="38"/>
      <c r="J87" s="358">
        <v>587</v>
      </c>
      <c r="K87" s="254" t="s">
        <v>611</v>
      </c>
      <c r="L87" s="569">
        <f t="shared" si="9"/>
        <v>0</v>
      </c>
      <c r="N87" s="578"/>
      <c r="O87" s="577"/>
      <c r="P87" s="324"/>
      <c r="W87" s="3" t="b">
        <f t="shared" si="10"/>
        <v>1</v>
      </c>
      <c r="X87" s="566"/>
      <c r="Y87" s="566"/>
      <c r="Z87" s="3" t="s">
        <v>1274</v>
      </c>
    </row>
    <row r="88" spans="1:26" ht="123" customHeight="1" x14ac:dyDescent="0.3">
      <c r="A88" s="581">
        <f>'Unit Data from Audit Worksheet'!A97</f>
        <v>588</v>
      </c>
      <c r="B88" s="117" t="str">
        <f>'Unit Data from Audit Worksheet'!C97</f>
        <v xml:space="preserve">Fund 8 Rev, Exp. Change in Fund Balance Rpt. </v>
      </c>
      <c r="C88" s="571" t="str">
        <f>'Unit Data from Audit Worksheet'!D97</f>
        <v>Amount of Capital Outlay Funds received from the County transferred to Fund 8 this year.</v>
      </c>
      <c r="D88" s="356"/>
      <c r="E88" s="155">
        <f>'Unit Data from Audit Worksheet'!F97</f>
        <v>0</v>
      </c>
      <c r="F88" s="349"/>
      <c r="G88" s="357"/>
      <c r="H88" s="349"/>
      <c r="I88" s="38"/>
      <c r="J88" s="358">
        <v>588</v>
      </c>
      <c r="K88" s="254" t="s">
        <v>612</v>
      </c>
      <c r="L88" s="569">
        <f t="shared" si="9"/>
        <v>0</v>
      </c>
      <c r="N88" s="578"/>
      <c r="O88" s="577"/>
      <c r="P88" s="324"/>
      <c r="W88" s="3" t="b">
        <f t="shared" si="10"/>
        <v>1</v>
      </c>
      <c r="X88" s="566"/>
      <c r="Y88" s="566"/>
      <c r="Z88" s="3" t="s">
        <v>1274</v>
      </c>
    </row>
    <row r="89" spans="1:26" s="18" customFormat="1" ht="40.5" customHeight="1" x14ac:dyDescent="0.3">
      <c r="A89" s="305">
        <f>'Unit Data from Audit Worksheet'!A98</f>
        <v>647</v>
      </c>
      <c r="B89" s="360" t="str">
        <f>'Unit Data from Audit Worksheet'!C98</f>
        <v>Debt Service Fund</v>
      </c>
      <c r="C89" s="305" t="str">
        <f>'Unit Data from Audit Worksheet'!D98</f>
        <v>Please enter the Total Fund Balance for any Debt Service Funds</v>
      </c>
      <c r="D89" s="116"/>
      <c r="E89" s="359">
        <f>'Unit Data from Audit Worksheet'!F98</f>
        <v>0</v>
      </c>
      <c r="F89" s="341"/>
      <c r="G89" s="336"/>
      <c r="H89" s="341">
        <f>'Unit Data from Audit Worksheet'!I98</f>
        <v>0</v>
      </c>
      <c r="I89" s="582"/>
      <c r="J89" s="340">
        <v>647</v>
      </c>
      <c r="K89" s="308" t="s">
        <v>1487</v>
      </c>
      <c r="L89" s="583">
        <f>IF(D89="",E89,D89)</f>
        <v>0</v>
      </c>
      <c r="M89" s="573"/>
      <c r="N89" s="573"/>
      <c r="O89" s="589"/>
      <c r="P89" s="317"/>
      <c r="Q89" s="574"/>
      <c r="R89" s="3"/>
      <c r="S89" s="573"/>
      <c r="T89" s="573"/>
      <c r="U89" s="573"/>
      <c r="V89" s="573"/>
      <c r="W89" s="18" t="b">
        <f t="shared" si="10"/>
        <v>1</v>
      </c>
      <c r="X89" s="575">
        <f t="shared" si="1"/>
        <v>0</v>
      </c>
      <c r="Y89" s="575">
        <f t="shared" si="2"/>
        <v>0</v>
      </c>
    </row>
    <row r="90" spans="1:26" s="18" customFormat="1" ht="66" customHeight="1" x14ac:dyDescent="0.3">
      <c r="A90" s="305">
        <f>'Unit Data from Audit Worksheet'!A100</f>
        <v>148</v>
      </c>
      <c r="B90" s="360" t="str">
        <f>'Unit Data from Audit Worksheet'!C100</f>
        <v>All Gov. Funds Rev, Exp. Change in Fund Balance</v>
      </c>
      <c r="C90" s="339" t="str">
        <f>'Unit Data from Audit Worksheet'!D100</f>
        <v>Capital Outlay contributions to the BOEs (include amounts from general fund, capital project funds and any other fund sent to the BOE as part of capital outlay)</v>
      </c>
      <c r="D90" s="356"/>
      <c r="E90" s="359">
        <f>'Unit Data from Audit Worksheet'!F100</f>
        <v>0</v>
      </c>
      <c r="F90" s="349"/>
      <c r="G90" s="357"/>
      <c r="H90" s="349"/>
      <c r="I90" s="38"/>
      <c r="J90" s="358">
        <v>148</v>
      </c>
      <c r="K90" s="350" t="s">
        <v>370</v>
      </c>
      <c r="L90" s="569">
        <f t="shared" si="9"/>
        <v>0</v>
      </c>
      <c r="M90" s="590"/>
      <c r="N90" s="590"/>
      <c r="O90" s="591"/>
      <c r="P90" s="324"/>
      <c r="Q90" s="592"/>
      <c r="R90" s="3"/>
      <c r="S90" s="590"/>
      <c r="T90" s="590"/>
      <c r="U90" s="590"/>
      <c r="V90" s="590"/>
      <c r="W90" s="590" t="b">
        <f t="shared" si="10"/>
        <v>1</v>
      </c>
      <c r="X90" s="575"/>
      <c r="Y90" s="575"/>
    </row>
    <row r="91" spans="1:26" ht="60" customHeight="1" x14ac:dyDescent="0.3">
      <c r="A91" s="567">
        <f>'Unit Data from Audit Worksheet'!A101</f>
        <v>171</v>
      </c>
      <c r="B91" s="54" t="str">
        <f>'Unit Data from Audit Worksheet'!C101</f>
        <v>Fund Statements - all Governmental Funds</v>
      </c>
      <c r="C91" s="568" t="str">
        <f>'Unit Data from Audit Worksheet'!D101</f>
        <v>Debt service expenditures from all governmental funds.  Include principal, interest paid, and debt issuance costs on long-term debt.</v>
      </c>
      <c r="D91" s="352"/>
      <c r="E91" s="152">
        <f>'Unit Data from Audit Worksheet'!F101</f>
        <v>0</v>
      </c>
      <c r="F91" s="47">
        <f>IF(L91&lt;0,"Error: Enter as a positive.",)</f>
        <v>0</v>
      </c>
      <c r="G91" s="72"/>
      <c r="H91" s="345">
        <f>'Unit Data from Audit Worksheet'!I101</f>
        <v>0</v>
      </c>
      <c r="I91" s="38"/>
      <c r="J91" s="42">
        <v>171</v>
      </c>
      <c r="K91" s="51" t="s">
        <v>217</v>
      </c>
      <c r="L91" s="569">
        <f t="shared" si="9"/>
        <v>0</v>
      </c>
      <c r="P91" s="314"/>
      <c r="W91" s="3" t="b">
        <f t="shared" si="10"/>
        <v>1</v>
      </c>
      <c r="X91" s="566">
        <f t="shared" si="1"/>
        <v>0</v>
      </c>
      <c r="Y91" s="566">
        <f t="shared" si="2"/>
        <v>0</v>
      </c>
    </row>
    <row r="92" spans="1:26" s="706" customFormat="1" ht="60" customHeight="1" x14ac:dyDescent="0.3">
      <c r="A92" s="567">
        <f>'Unit Data from Audit Worksheet'!A103</f>
        <v>36</v>
      </c>
      <c r="B92" s="54" t="str">
        <f>'Unit Data from Audit Worksheet'!C103</f>
        <v>Net Position</v>
      </c>
      <c r="C92" s="568" t="str">
        <f>'Unit Data from Audit Worksheet'!D103</f>
        <v>Total Gross Capital Assets - without accumulated depreciation</v>
      </c>
      <c r="D92" s="352"/>
      <c r="E92" s="152">
        <f>'Unit Data from Audit Worksheet'!F103</f>
        <v>0</v>
      </c>
      <c r="F92" s="47"/>
      <c r="G92" s="72"/>
      <c r="H92" s="345"/>
      <c r="I92" s="708"/>
      <c r="J92" s="42">
        <v>36</v>
      </c>
      <c r="K92" s="51" t="s">
        <v>1331</v>
      </c>
      <c r="L92" s="569">
        <f t="shared" si="9"/>
        <v>0</v>
      </c>
      <c r="P92" s="314"/>
      <c r="Q92" s="559"/>
      <c r="W92" s="590" t="b">
        <f t="shared" si="10"/>
        <v>1</v>
      </c>
      <c r="X92" s="566"/>
      <c r="Y92" s="566"/>
    </row>
    <row r="93" spans="1:26" s="706" customFormat="1" ht="60" customHeight="1" x14ac:dyDescent="0.3">
      <c r="A93" s="567">
        <f>'Unit Data from Audit Worksheet'!A104</f>
        <v>534</v>
      </c>
      <c r="B93" s="54" t="str">
        <f>'Unit Data from Audit Worksheet'!C104</f>
        <v>Net Position</v>
      </c>
      <c r="C93" s="568" t="str">
        <f>'Unit Data from Audit Worksheet'!D104</f>
        <v>Combined Totals of all Proprietary Funds - Amount of Inventories and Prepaids in current assets</v>
      </c>
      <c r="D93" s="352"/>
      <c r="E93" s="152">
        <f>'Unit Data from Audit Worksheet'!F104</f>
        <v>0</v>
      </c>
      <c r="F93" s="47"/>
      <c r="G93" s="72"/>
      <c r="H93" s="345"/>
      <c r="I93" s="708"/>
      <c r="J93" s="42">
        <v>534</v>
      </c>
      <c r="K93" s="51" t="s">
        <v>271</v>
      </c>
      <c r="L93" s="569">
        <f t="shared" si="9"/>
        <v>0</v>
      </c>
      <c r="P93" s="314"/>
      <c r="Q93" s="559"/>
      <c r="W93" s="590" t="b">
        <f t="shared" si="10"/>
        <v>1</v>
      </c>
      <c r="X93" s="566"/>
      <c r="Y93" s="566"/>
    </row>
    <row r="94" spans="1:26" ht="60" customHeight="1" x14ac:dyDescent="0.3">
      <c r="A94" s="567">
        <f>'Unit Data from Audit Worksheet'!A105</f>
        <v>13</v>
      </c>
      <c r="B94" s="54" t="str">
        <f>'Unit Data from Audit Worksheet'!C105</f>
        <v>Combined Proprietary Funds - Net Position</v>
      </c>
      <c r="C94" s="568" t="str">
        <f>'Unit Data from Audit Worksheet'!D105</f>
        <v>Comb-Proprietary Funds-Current Assets 
Exclude: any restricted assets
                  deferred outflows</v>
      </c>
      <c r="D94" s="352"/>
      <c r="E94" s="152">
        <f>'Unit Data from Audit Worksheet'!F105</f>
        <v>0</v>
      </c>
      <c r="F94" s="47"/>
      <c r="G94" s="72"/>
      <c r="H94" s="345"/>
      <c r="I94" s="38"/>
      <c r="J94" s="42">
        <v>13</v>
      </c>
      <c r="K94" s="51" t="s">
        <v>1264</v>
      </c>
      <c r="L94" s="569">
        <f t="shared" si="9"/>
        <v>0</v>
      </c>
      <c r="P94" s="314"/>
      <c r="X94" s="566"/>
      <c r="Y94" s="566"/>
    </row>
    <row r="95" spans="1:26" ht="60" customHeight="1" x14ac:dyDescent="0.3">
      <c r="A95" s="567">
        <f>'Unit Data from Audit Worksheet'!A106</f>
        <v>14</v>
      </c>
      <c r="B95" s="54" t="str">
        <f>'Unit Data from Audit Worksheet'!C106</f>
        <v>Combined Proprietary Funds - Net Position</v>
      </c>
      <c r="C95" s="56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2"/>
      <c r="E95" s="152">
        <f>'Unit Data from Audit Worksheet'!F106</f>
        <v>0</v>
      </c>
      <c r="F95" s="47"/>
      <c r="G95" s="72"/>
      <c r="H95" s="345"/>
      <c r="I95" s="38"/>
      <c r="J95" s="42">
        <v>14</v>
      </c>
      <c r="K95" s="51" t="s">
        <v>1265</v>
      </c>
      <c r="L95" s="569">
        <f t="shared" si="9"/>
        <v>0</v>
      </c>
      <c r="P95" s="314"/>
      <c r="X95" s="566"/>
      <c r="Y95" s="566"/>
    </row>
    <row r="96" spans="1:26" s="706" customFormat="1" ht="60" customHeight="1" x14ac:dyDescent="0.3">
      <c r="A96" s="567">
        <f>'Unit Data from Audit Worksheet'!A107</f>
        <v>571</v>
      </c>
      <c r="B96" s="54" t="str">
        <f>'Unit Data from Audit Worksheet'!C107</f>
        <v>Statement of Net Position - combined totals from all Proprietary Funds</v>
      </c>
      <c r="C96" s="568" t="str">
        <f>'Unit Data from Audit Worksheet'!D107</f>
        <v>Mental Health Net Position - Net Investment in Capital Assets</v>
      </c>
      <c r="D96" s="352"/>
      <c r="E96" s="152">
        <f>'Unit Data from Audit Worksheet'!F107</f>
        <v>0</v>
      </c>
      <c r="F96" s="47"/>
      <c r="G96" s="72"/>
      <c r="H96" s="345"/>
      <c r="I96" s="708"/>
      <c r="J96" s="42">
        <v>571</v>
      </c>
      <c r="K96" s="51" t="s">
        <v>1302</v>
      </c>
      <c r="L96" s="569">
        <f t="shared" si="9"/>
        <v>0</v>
      </c>
      <c r="P96" s="314"/>
      <c r="Q96" s="559"/>
      <c r="X96" s="566"/>
      <c r="Y96" s="566"/>
    </row>
    <row r="97" spans="1:26" s="706" customFormat="1" ht="60" customHeight="1" x14ac:dyDescent="0.3">
      <c r="A97" s="567">
        <f>'Unit Data from Audit Worksheet'!A108</f>
        <v>572</v>
      </c>
      <c r="B97" s="54" t="str">
        <f>'Unit Data from Audit Worksheet'!C108</f>
        <v>Statement of Net Position - combined totals from all Proprietary Funds</v>
      </c>
      <c r="C97" s="568" t="str">
        <f>'Unit Data from Audit Worksheet'!D108</f>
        <v>Mental Health Net Position - Restricted Net Position</v>
      </c>
      <c r="D97" s="352"/>
      <c r="E97" s="152">
        <f>'Unit Data from Audit Worksheet'!F108</f>
        <v>0</v>
      </c>
      <c r="F97" s="47"/>
      <c r="G97" s="72"/>
      <c r="H97" s="345"/>
      <c r="I97" s="708"/>
      <c r="J97" s="42">
        <v>572</v>
      </c>
      <c r="K97" s="51" t="s">
        <v>1303</v>
      </c>
      <c r="L97" s="569">
        <f t="shared" si="9"/>
        <v>0</v>
      </c>
      <c r="P97" s="314"/>
      <c r="Q97" s="559"/>
      <c r="X97" s="566"/>
      <c r="Y97" s="566"/>
    </row>
    <row r="98" spans="1:26" s="706" customFormat="1" ht="60" customHeight="1" x14ac:dyDescent="0.3">
      <c r="A98" s="567">
        <f>'Unit Data from Audit Worksheet'!A109</f>
        <v>573</v>
      </c>
      <c r="B98" s="54" t="str">
        <f>'Unit Data from Audit Worksheet'!C109</f>
        <v>Statement of Net Position - combined totals from all Proprietary Funds</v>
      </c>
      <c r="C98" s="568" t="str">
        <f>'Unit Data from Audit Worksheet'!D109</f>
        <v>Mental Health Net Position - Unrestricted Net Position</v>
      </c>
      <c r="D98" s="352"/>
      <c r="E98" s="152">
        <f>'Unit Data from Audit Worksheet'!F109</f>
        <v>0</v>
      </c>
      <c r="F98" s="47"/>
      <c r="G98" s="72"/>
      <c r="H98" s="345"/>
      <c r="I98" s="708"/>
      <c r="J98" s="42">
        <v>573</v>
      </c>
      <c r="K98" s="51" t="s">
        <v>1461</v>
      </c>
      <c r="L98" s="569">
        <f t="shared" si="9"/>
        <v>0</v>
      </c>
      <c r="P98" s="314"/>
      <c r="Q98" s="559"/>
      <c r="X98" s="566"/>
      <c r="Y98" s="566"/>
    </row>
    <row r="99" spans="1:26" ht="60" customHeight="1" x14ac:dyDescent="0.3">
      <c r="A99" s="567">
        <f>'Unit Data from Audit Worksheet'!A110</f>
        <v>34</v>
      </c>
      <c r="B99" s="54" t="str">
        <f>'Unit Data from Audit Worksheet'!C110</f>
        <v>Net Position</v>
      </c>
      <c r="C99" s="568" t="str">
        <f>'Unit Data from Audit Worksheet'!D110</f>
        <v>Hospital-EF- Unrestricted Cash &amp; Invest. [Incl.all but Held by Trustee or 3rd party restricted](BS)</v>
      </c>
      <c r="D99" s="352"/>
      <c r="E99" s="152">
        <f>'Unit Data from Audit Worksheet'!F110</f>
        <v>0</v>
      </c>
      <c r="F99" s="47"/>
      <c r="G99" s="72"/>
      <c r="H99" s="345"/>
      <c r="I99" s="38"/>
      <c r="J99" s="42">
        <v>34</v>
      </c>
      <c r="K99" s="51" t="s">
        <v>1277</v>
      </c>
      <c r="L99" s="569">
        <f t="shared" si="9"/>
        <v>0</v>
      </c>
      <c r="P99" s="314"/>
      <c r="X99" s="566"/>
      <c r="Y99" s="566"/>
      <c r="Z99" s="3" t="s">
        <v>1275</v>
      </c>
    </row>
    <row r="100" spans="1:26" ht="60" customHeight="1" x14ac:dyDescent="0.3">
      <c r="A100" s="567">
        <f>'Unit Data from Audit Worksheet'!A111</f>
        <v>35</v>
      </c>
      <c r="B100" s="54" t="str">
        <f>'Unit Data from Audit Worksheet'!C111</f>
        <v>Net Position</v>
      </c>
      <c r="C100" s="568" t="str">
        <f>'Unit Data from Audit Worksheet'!D111</f>
        <v>Mental Health or Hospital-EF- Patient Accounts Receivable, Net of Allowance for Bad Debt</v>
      </c>
      <c r="D100" s="352"/>
      <c r="E100" s="152">
        <f>'Unit Data from Audit Worksheet'!F111</f>
        <v>0</v>
      </c>
      <c r="F100" s="47"/>
      <c r="G100" s="72"/>
      <c r="H100" s="345"/>
      <c r="I100" s="38"/>
      <c r="J100" s="42">
        <v>35</v>
      </c>
      <c r="K100" s="51" t="s">
        <v>1278</v>
      </c>
      <c r="L100" s="569">
        <f t="shared" si="9"/>
        <v>0</v>
      </c>
      <c r="P100" s="314"/>
      <c r="X100" s="566"/>
      <c r="Y100" s="566"/>
      <c r="Z100" s="3" t="s">
        <v>1275</v>
      </c>
    </row>
    <row r="101" spans="1:26" ht="60" customHeight="1" x14ac:dyDescent="0.3">
      <c r="A101" s="567">
        <f>'Unit Data from Audit Worksheet'!A112</f>
        <v>37</v>
      </c>
      <c r="B101" s="54" t="str">
        <f>'Unit Data from Audit Worksheet'!C112</f>
        <v>Net Position</v>
      </c>
      <c r="C101" s="568" t="str">
        <f>'Unit Data from Audit Worksheet'!D112</f>
        <v>Total Long-term debt (non current portion only) - enter as a positive</v>
      </c>
      <c r="D101" s="352"/>
      <c r="E101" s="152">
        <f>'Unit Data from Audit Worksheet'!F112</f>
        <v>0</v>
      </c>
      <c r="F101" s="47"/>
      <c r="G101" s="72"/>
      <c r="H101" s="345"/>
      <c r="I101" s="38"/>
      <c r="J101" s="42">
        <v>37</v>
      </c>
      <c r="K101" s="51" t="s">
        <v>1288</v>
      </c>
      <c r="L101" s="569">
        <f t="shared" si="9"/>
        <v>0</v>
      </c>
      <c r="P101" s="314"/>
      <c r="X101" s="566"/>
      <c r="Y101" s="566"/>
      <c r="Z101" s="3" t="s">
        <v>1275</v>
      </c>
    </row>
    <row r="102" spans="1:26" ht="60" customHeight="1" x14ac:dyDescent="0.3">
      <c r="A102" s="567">
        <f>'Unit Data from Audit Worksheet'!A113</f>
        <v>38</v>
      </c>
      <c r="B102" s="54" t="str">
        <f>'Unit Data from Audit Worksheet'!C113</f>
        <v>Net Position</v>
      </c>
      <c r="C102" s="568" t="str">
        <f>'Unit Data from Audit Worksheet'!D113</f>
        <v>Unrestricted fund equity or net position</v>
      </c>
      <c r="D102" s="352"/>
      <c r="E102" s="152">
        <f>'Unit Data from Audit Worksheet'!F113</f>
        <v>0</v>
      </c>
      <c r="F102" s="47"/>
      <c r="G102" s="72"/>
      <c r="H102" s="345"/>
      <c r="I102" s="38"/>
      <c r="J102" s="42">
        <v>38</v>
      </c>
      <c r="K102" s="51" t="s">
        <v>1279</v>
      </c>
      <c r="L102" s="569">
        <f t="shared" si="9"/>
        <v>0</v>
      </c>
      <c r="P102" s="314"/>
      <c r="X102" s="566"/>
      <c r="Y102" s="566"/>
      <c r="Z102" s="3" t="s">
        <v>1275</v>
      </c>
    </row>
    <row r="103" spans="1:26" ht="60" customHeight="1" x14ac:dyDescent="0.3">
      <c r="A103" s="567">
        <f>'Unit Data from Audit Worksheet'!A114</f>
        <v>32</v>
      </c>
      <c r="B103" s="54" t="str">
        <f>'Unit Data from Audit Worksheet'!C114</f>
        <v>Combined Totals of all Proprietary Funds - Revenue, Expenses, Changes in Net Position</v>
      </c>
      <c r="C103" s="568" t="str">
        <f>'Unit Data from Audit Worksheet'!D114</f>
        <v>Combined Totals of all proprietary Funds - Depreciation &amp; Amortization Expense</v>
      </c>
      <c r="D103" s="352"/>
      <c r="E103" s="152">
        <f>'Unit Data from Audit Worksheet'!F114</f>
        <v>0</v>
      </c>
      <c r="F103" s="47"/>
      <c r="G103" s="72"/>
      <c r="H103" s="345"/>
      <c r="I103" s="38"/>
      <c r="J103" s="42">
        <v>32</v>
      </c>
      <c r="K103" s="51" t="s">
        <v>1267</v>
      </c>
      <c r="L103" s="569">
        <f t="shared" si="9"/>
        <v>0</v>
      </c>
      <c r="P103" s="314"/>
      <c r="X103" s="566"/>
      <c r="Y103" s="566"/>
      <c r="Z103" s="3" t="s">
        <v>1275</v>
      </c>
    </row>
    <row r="104" spans="1:26" ht="60" customHeight="1" x14ac:dyDescent="0.3">
      <c r="A104" s="567">
        <f>'Unit Data from Audit Worksheet'!A115</f>
        <v>40</v>
      </c>
      <c r="B104" s="54" t="str">
        <f>'Unit Data from Audit Worksheet'!C115</f>
        <v>Revenue, Expenses, Changes in Net Position</v>
      </c>
      <c r="C104" s="568" t="str">
        <f>'Unit Data from Audit Worksheet'!D115</f>
        <v>Net Patient Revenues</v>
      </c>
      <c r="D104" s="352"/>
      <c r="E104" s="152">
        <f>'Unit Data from Audit Worksheet'!F115</f>
        <v>0</v>
      </c>
      <c r="F104" s="47"/>
      <c r="G104" s="72"/>
      <c r="H104" s="345"/>
      <c r="I104" s="38"/>
      <c r="J104" s="42">
        <v>40</v>
      </c>
      <c r="K104" s="51" t="s">
        <v>1281</v>
      </c>
      <c r="L104" s="569">
        <f t="shared" si="9"/>
        <v>0</v>
      </c>
      <c r="P104" s="314"/>
      <c r="X104" s="566"/>
      <c r="Y104" s="566"/>
      <c r="Z104" s="3" t="s">
        <v>1275</v>
      </c>
    </row>
    <row r="105" spans="1:26" ht="60" customHeight="1" x14ac:dyDescent="0.3">
      <c r="A105" s="567">
        <f>'Unit Data from Audit Worksheet'!A116</f>
        <v>107</v>
      </c>
      <c r="B105" s="54" t="str">
        <f>'Unit Data from Audit Worksheet'!C116</f>
        <v>Revenue, Expenses, Changes in Net Position</v>
      </c>
      <c r="C105" s="568" t="str">
        <f>'Unit Data from Audit Worksheet'!D116</f>
        <v>Total Operating Revenues</v>
      </c>
      <c r="D105" s="352"/>
      <c r="E105" s="152">
        <f>'Unit Data from Audit Worksheet'!F116</f>
        <v>0</v>
      </c>
      <c r="F105" s="47"/>
      <c r="G105" s="72"/>
      <c r="H105" s="345"/>
      <c r="I105" s="38"/>
      <c r="J105" s="42">
        <v>107</v>
      </c>
      <c r="K105" s="51" t="s">
        <v>1282</v>
      </c>
      <c r="L105" s="569">
        <f t="shared" si="9"/>
        <v>0</v>
      </c>
      <c r="P105" s="314"/>
      <c r="X105" s="566"/>
      <c r="Y105" s="566"/>
      <c r="Z105" s="3" t="s">
        <v>1275</v>
      </c>
    </row>
    <row r="106" spans="1:26" ht="60" customHeight="1" x14ac:dyDescent="0.3">
      <c r="A106" s="567">
        <f>'Unit Data from Audit Worksheet'!A117</f>
        <v>108</v>
      </c>
      <c r="B106" s="54" t="str">
        <f>'Unit Data from Audit Worksheet'!C117</f>
        <v>Revenue, Expenses, Changes in Net Position</v>
      </c>
      <c r="C106" s="568" t="str">
        <f>'Unit Data from Audit Worksheet'!D117</f>
        <v>Total Operating Expenses. May include Interest Expense - Enter as a positive</v>
      </c>
      <c r="D106" s="352"/>
      <c r="E106" s="152">
        <f>'Unit Data from Audit Worksheet'!F117</f>
        <v>0</v>
      </c>
      <c r="F106" s="47"/>
      <c r="G106" s="72"/>
      <c r="H106" s="345"/>
      <c r="I106" s="38"/>
      <c r="J106" s="42">
        <v>108</v>
      </c>
      <c r="K106" s="51" t="s">
        <v>1289</v>
      </c>
      <c r="L106" s="569">
        <f t="shared" si="9"/>
        <v>0</v>
      </c>
      <c r="P106" s="314"/>
      <c r="X106" s="566"/>
      <c r="Y106" s="566"/>
      <c r="Z106" s="3" t="s">
        <v>1275</v>
      </c>
    </row>
    <row r="107" spans="1:26" ht="60" customHeight="1" x14ac:dyDescent="0.3">
      <c r="A107" s="567">
        <f>'Unit Data from Audit Worksheet'!A118</f>
        <v>41</v>
      </c>
      <c r="B107" s="54" t="str">
        <f>'Unit Data from Audit Worksheet'!C118</f>
        <v>Revenue, Expenses, Changes in Net Position</v>
      </c>
      <c r="C107" s="568" t="str">
        <f>'Unit Data from Audit Worksheet'!D118</f>
        <v xml:space="preserve">Interest Expense - Enter as a positive </v>
      </c>
      <c r="D107" s="352"/>
      <c r="E107" s="152">
        <f>'Unit Data from Audit Worksheet'!F118</f>
        <v>0</v>
      </c>
      <c r="F107" s="47"/>
      <c r="G107" s="72"/>
      <c r="H107" s="345"/>
      <c r="I107" s="38"/>
      <c r="J107" s="42">
        <v>41</v>
      </c>
      <c r="K107" s="51" t="s">
        <v>1290</v>
      </c>
      <c r="L107" s="569">
        <f t="shared" si="9"/>
        <v>0</v>
      </c>
      <c r="P107" s="314"/>
      <c r="X107" s="566"/>
      <c r="Y107" s="566"/>
      <c r="Z107" s="3" t="s">
        <v>1275</v>
      </c>
    </row>
    <row r="108" spans="1:26" ht="60" customHeight="1" x14ac:dyDescent="0.3">
      <c r="A108" s="567">
        <f>'Unit Data from Audit Worksheet'!A119</f>
        <v>194</v>
      </c>
      <c r="B108" s="54" t="str">
        <f>'Unit Data from Audit Worksheet'!C119</f>
        <v>Revenue, Expenses, Changes in Net Position</v>
      </c>
      <c r="C108" s="568" t="str">
        <f>'Unit Data from Audit Worksheet'!D119</f>
        <v xml:space="preserve">Capital Contributions </v>
      </c>
      <c r="D108" s="352"/>
      <c r="E108" s="152">
        <f>'Unit Data from Audit Worksheet'!F119</f>
        <v>0</v>
      </c>
      <c r="F108" s="47"/>
      <c r="G108" s="72"/>
      <c r="H108" s="345"/>
      <c r="I108" s="38"/>
      <c r="J108" s="42">
        <v>194</v>
      </c>
      <c r="K108" s="51" t="s">
        <v>1283</v>
      </c>
      <c r="L108" s="569">
        <f t="shared" si="9"/>
        <v>0</v>
      </c>
      <c r="P108" s="314"/>
      <c r="X108" s="566"/>
      <c r="Y108" s="566"/>
      <c r="Z108" s="3" t="s">
        <v>1275</v>
      </c>
    </row>
    <row r="109" spans="1:26" ht="60" customHeight="1" x14ac:dyDescent="0.3">
      <c r="A109" s="567">
        <f>'Unit Data from Audit Worksheet'!A120</f>
        <v>294</v>
      </c>
      <c r="B109" s="54" t="str">
        <f>'Unit Data from Audit Worksheet'!C120</f>
        <v>Revenue, Expenses, Changes in Net Position</v>
      </c>
      <c r="C109" s="568" t="str">
        <f>'Unit Data from Audit Worksheet'!D120</f>
        <v>Change in Net Position</v>
      </c>
      <c r="D109" s="352"/>
      <c r="E109" s="152">
        <f>'Unit Data from Audit Worksheet'!F120</f>
        <v>0</v>
      </c>
      <c r="F109" s="47"/>
      <c r="G109" s="72"/>
      <c r="H109" s="345"/>
      <c r="I109" s="38"/>
      <c r="J109" s="42">
        <v>294</v>
      </c>
      <c r="K109" s="51" t="s">
        <v>1284</v>
      </c>
      <c r="L109" s="569">
        <f t="shared" si="9"/>
        <v>0</v>
      </c>
      <c r="P109" s="314"/>
      <c r="X109" s="566"/>
      <c r="Y109" s="566"/>
      <c r="Z109" s="3" t="s">
        <v>1275</v>
      </c>
    </row>
    <row r="110" spans="1:26" ht="60" customHeight="1" x14ac:dyDescent="0.3">
      <c r="A110" s="567">
        <f>'Unit Data from Audit Worksheet'!A123</f>
        <v>31</v>
      </c>
      <c r="B110" s="54" t="str">
        <f>'Unit Data from Audit Worksheet'!C123</f>
        <v>Combined Totals of all Proprietary Funds - Revenue, Expenses, Changes in Net Position</v>
      </c>
      <c r="C110" s="568" t="str">
        <f>'Unit Data from Audit Worksheet'!D123</f>
        <v>Combined Totals of all Proprietary Funds - Change in net position - (increase in net position is recorded as a positive and a decrease in net position is recorded as a negative)</v>
      </c>
      <c r="D110" s="352"/>
      <c r="E110" s="152">
        <f>'Unit Data from Audit Worksheet'!F123</f>
        <v>0</v>
      </c>
      <c r="F110" s="47"/>
      <c r="G110" s="72"/>
      <c r="H110" s="345"/>
      <c r="I110" s="38"/>
      <c r="J110" s="42">
        <v>31</v>
      </c>
      <c r="K110" s="51" t="s">
        <v>1268</v>
      </c>
      <c r="L110" s="569">
        <f t="shared" si="9"/>
        <v>0</v>
      </c>
      <c r="P110" s="314"/>
      <c r="X110" s="566"/>
      <c r="Y110" s="566"/>
    </row>
    <row r="111" spans="1:26" ht="60" customHeight="1" x14ac:dyDescent="0.3">
      <c r="A111" s="567">
        <f>'Unit Data from Audit Worksheet'!A124</f>
        <v>193</v>
      </c>
      <c r="B111" s="54" t="str">
        <f>'Unit Data from Audit Worksheet'!C124</f>
        <v>Combined Proprietary Funds - Change in Cash Flow Statement</v>
      </c>
      <c r="C111" s="568" t="str">
        <f>'Unit Data from Audit Worksheet'!D124</f>
        <v>Combined Totals of all Proprietary Funds - Capital Contributions</v>
      </c>
      <c r="D111" s="352"/>
      <c r="E111" s="152">
        <f>'Unit Data from Audit Worksheet'!F124</f>
        <v>0</v>
      </c>
      <c r="F111" s="47"/>
      <c r="G111" s="72"/>
      <c r="H111" s="345"/>
      <c r="I111" s="38"/>
      <c r="J111" s="42">
        <v>193</v>
      </c>
      <c r="K111" s="51" t="s">
        <v>379</v>
      </c>
      <c r="L111" s="569">
        <f t="shared" si="9"/>
        <v>0</v>
      </c>
      <c r="P111" s="314"/>
      <c r="X111" s="566"/>
      <c r="Y111" s="566"/>
    </row>
    <row r="112" spans="1:26" ht="60" customHeight="1" x14ac:dyDescent="0.3">
      <c r="A112" s="567">
        <f>'Unit Data from Audit Worksheet'!A125</f>
        <v>33</v>
      </c>
      <c r="B112" s="54" t="str">
        <f>'Unit Data from Audit Worksheet'!C125</f>
        <v>Combined Proprietary Funds - Change in Cash Flow Statement</v>
      </c>
      <c r="C112" s="568" t="str">
        <f>'Unit Data from Audit Worksheet'!D125</f>
        <v>Combined Totals of all Proprietary Funds - Cash Flow from Operating</v>
      </c>
      <c r="D112" s="352"/>
      <c r="E112" s="152">
        <f>'Unit Data from Audit Worksheet'!F125</f>
        <v>0</v>
      </c>
      <c r="F112" s="47"/>
      <c r="G112" s="72"/>
      <c r="H112" s="345"/>
      <c r="I112" s="38"/>
      <c r="J112" s="42">
        <v>33</v>
      </c>
      <c r="K112" s="51" t="s">
        <v>314</v>
      </c>
      <c r="L112" s="569">
        <f t="shared" si="9"/>
        <v>0</v>
      </c>
      <c r="P112" s="314"/>
      <c r="X112" s="566"/>
      <c r="Y112" s="566"/>
    </row>
    <row r="113" spans="1:26" ht="60" customHeight="1" x14ac:dyDescent="0.3">
      <c r="A113" s="567">
        <f>'Unit Data from Audit Worksheet'!A126</f>
        <v>104</v>
      </c>
      <c r="B113" s="54" t="str">
        <f>'Unit Data from Audit Worksheet'!C126</f>
        <v>Cash Flows</v>
      </c>
      <c r="C113" s="568" t="str">
        <f>'Unit Data from Audit Worksheet'!D126</f>
        <v>Capital Outlays</v>
      </c>
      <c r="D113" s="144"/>
      <c r="E113" s="152">
        <f>'Unit Data from Audit Worksheet'!F126</f>
        <v>0</v>
      </c>
      <c r="F113" s="47"/>
      <c r="G113" s="72"/>
      <c r="H113" s="345"/>
      <c r="I113" s="38"/>
      <c r="J113" s="42">
        <v>104</v>
      </c>
      <c r="K113" s="51" t="s">
        <v>1286</v>
      </c>
      <c r="L113" s="569">
        <f t="shared" si="9"/>
        <v>0</v>
      </c>
      <c r="P113" s="314"/>
      <c r="X113" s="566"/>
      <c r="Y113" s="566"/>
      <c r="Z113" s="3" t="s">
        <v>1275</v>
      </c>
    </row>
    <row r="114" spans="1:26" ht="60" customHeight="1" x14ac:dyDescent="0.3">
      <c r="A114" s="567">
        <f>'Unit Data from Audit Worksheet'!A127</f>
        <v>39</v>
      </c>
      <c r="B114" s="54" t="str">
        <f>'Unit Data from Audit Worksheet'!C127</f>
        <v>Cash Flows</v>
      </c>
      <c r="C114" s="568" t="str">
        <f>'Unit Data from Audit Worksheet'!D127</f>
        <v>Principal Paid - Long-term Debt</v>
      </c>
      <c r="D114" s="144"/>
      <c r="E114" s="152">
        <f>'Unit Data from Audit Worksheet'!F127</f>
        <v>0</v>
      </c>
      <c r="F114" s="47"/>
      <c r="G114" s="72"/>
      <c r="H114" s="345"/>
      <c r="I114" s="38"/>
      <c r="J114" s="42">
        <v>39</v>
      </c>
      <c r="K114" s="51" t="s">
        <v>1287</v>
      </c>
      <c r="L114" s="569">
        <f t="shared" si="9"/>
        <v>0</v>
      </c>
      <c r="P114" s="314"/>
      <c r="X114" s="566"/>
      <c r="Y114" s="566"/>
      <c r="Z114" s="3" t="s">
        <v>1275</v>
      </c>
    </row>
    <row r="115" spans="1:26" ht="60" customHeight="1" x14ac:dyDescent="0.3">
      <c r="A115" s="333">
        <f>'Unit Data from Audit Worksheet'!A131</f>
        <v>596</v>
      </c>
      <c r="B115" s="347"/>
      <c r="C115" s="332" t="str">
        <f>'Unit Data from Audit Worksheet'!D131</f>
        <v>Indicate if your water/sewer system:
50 - Became Operational
51 - Ceased Operations
52 - No Change</v>
      </c>
      <c r="D115" s="144"/>
      <c r="E115" s="353">
        <f>'Unit Data from Audit Worksheet'!F131</f>
        <v>0</v>
      </c>
      <c r="F115" s="346"/>
      <c r="G115" s="346"/>
      <c r="H115" s="345">
        <f>'Unit Data from Audit Worksheet'!I131</f>
        <v>0</v>
      </c>
      <c r="I115" s="38"/>
      <c r="J115" s="344">
        <v>596</v>
      </c>
      <c r="K115" s="343" t="s">
        <v>580</v>
      </c>
      <c r="L115" s="569">
        <f t="shared" si="9"/>
        <v>0</v>
      </c>
      <c r="P115" s="315"/>
      <c r="W115" s="3" t="b">
        <f t="shared" si="10"/>
        <v>1</v>
      </c>
      <c r="X115" s="566">
        <f t="shared" si="1"/>
        <v>0</v>
      </c>
      <c r="Y115" s="566">
        <f t="shared" si="2"/>
        <v>0</v>
      </c>
    </row>
    <row r="116" spans="1:26" ht="43.2" x14ac:dyDescent="0.3">
      <c r="A116" s="333">
        <f>'Unit Data from Audit Worksheet'!A132</f>
        <v>80</v>
      </c>
      <c r="B116" s="347" t="str">
        <f>'Unit Data from Audit Worksheet'!C132</f>
        <v>Water Sewer Net Position Statement</v>
      </c>
      <c r="C116" s="332" t="str">
        <f>'Unit Data from Audit Worksheet'!D132</f>
        <v>Unrestricted Cash and investments 
Exclude restricted cash and/or restricted investments.</v>
      </c>
      <c r="D116" s="144"/>
      <c r="E116" s="353">
        <f>'Unit Data from Audit Worksheet'!F132</f>
        <v>0</v>
      </c>
      <c r="F116" s="346">
        <f>IF(L116&lt;0,"Error: Number is normally positive.",)</f>
        <v>0</v>
      </c>
      <c r="G116" s="346" t="e">
        <f>'Unit Data from Audit Worksheet'!G132</f>
        <v>#N/A</v>
      </c>
      <c r="H116" s="345">
        <f>'Unit Data from Audit Worksheet'!I132</f>
        <v>0</v>
      </c>
      <c r="I116" s="38"/>
      <c r="J116" s="344">
        <v>80</v>
      </c>
      <c r="K116" s="343" t="s">
        <v>218</v>
      </c>
      <c r="L116" s="569">
        <f t="shared" si="9"/>
        <v>0</v>
      </c>
      <c r="P116" s="315"/>
      <c r="W116" s="3" t="b">
        <f t="shared" si="10"/>
        <v>1</v>
      </c>
      <c r="X116" s="566">
        <f t="shared" si="1"/>
        <v>0</v>
      </c>
      <c r="Y116" s="566">
        <f t="shared" si="2"/>
        <v>0</v>
      </c>
    </row>
    <row r="117" spans="1:26" ht="43.2" x14ac:dyDescent="0.3">
      <c r="A117" s="333">
        <f>'Unit Data from Audit Worksheet'!A133</f>
        <v>81</v>
      </c>
      <c r="B117" s="347" t="str">
        <f>'Unit Data from Audit Worksheet'!C133</f>
        <v>Water Sewer Net Position Statement</v>
      </c>
      <c r="C117" s="332" t="str">
        <f>'Unit Data from Audit Worksheet'!D133</f>
        <v>Customer accounts receivable (net of allowance accounts). 
Include both billed and unbilled amounts.</v>
      </c>
      <c r="D117" s="144"/>
      <c r="E117" s="353">
        <f>'Unit Data from Audit Worksheet'!F133</f>
        <v>0</v>
      </c>
      <c r="F117" s="346">
        <f>IF(L117&lt;0,"Error: Number is normally positive.",)</f>
        <v>0</v>
      </c>
      <c r="G117" s="348"/>
      <c r="H117" s="345">
        <f>'Unit Data from Audit Worksheet'!I133</f>
        <v>0</v>
      </c>
      <c r="I117" s="38"/>
      <c r="J117" s="344">
        <v>81</v>
      </c>
      <c r="K117" s="343" t="s">
        <v>219</v>
      </c>
      <c r="L117" s="569">
        <f t="shared" si="9"/>
        <v>0</v>
      </c>
      <c r="P117" s="315"/>
      <c r="W117" s="3" t="b">
        <f t="shared" si="10"/>
        <v>1</v>
      </c>
      <c r="X117" s="566">
        <f t="shared" ref="X117:X181" si="12">E117-L117</f>
        <v>0</v>
      </c>
      <c r="Y117" s="566">
        <f t="shared" ref="Y117:Y181" si="13">D117-L117</f>
        <v>0</v>
      </c>
    </row>
    <row r="118" spans="1:26" ht="68.25" customHeight="1" x14ac:dyDescent="0.3">
      <c r="A118" s="333">
        <f>'Unit Data from Audit Worksheet'!A134</f>
        <v>579</v>
      </c>
      <c r="B118" s="347" t="str">
        <f>'Unit Data from Audit Worksheet'!C134</f>
        <v>Water Sewer Net Position Statement</v>
      </c>
      <c r="C118" s="332" t="str">
        <f>'Unit Data from Audit Worksheet'!D134</f>
        <v>Water Sewer - Advance To:
Interfund loan receivable-portion of repayment plan longer than 12 months</v>
      </c>
      <c r="D118" s="144"/>
      <c r="E118" s="353">
        <f>'Unit Data from Audit Worksheet'!F134</f>
        <v>0</v>
      </c>
      <c r="F118" s="346"/>
      <c r="G118" s="348"/>
      <c r="H118" s="345"/>
      <c r="I118" s="38"/>
      <c r="J118" s="344">
        <v>579</v>
      </c>
      <c r="K118" s="343" t="s">
        <v>557</v>
      </c>
      <c r="L118" s="569">
        <f t="shared" si="9"/>
        <v>0</v>
      </c>
      <c r="N118" s="593"/>
      <c r="P118" s="315"/>
      <c r="W118" s="3" t="b">
        <f t="shared" si="10"/>
        <v>1</v>
      </c>
      <c r="X118" s="566">
        <f t="shared" si="12"/>
        <v>0</v>
      </c>
      <c r="Y118" s="566">
        <f t="shared" si="13"/>
        <v>0</v>
      </c>
    </row>
    <row r="119" spans="1:26" ht="47.25" customHeight="1" x14ac:dyDescent="0.3">
      <c r="A119" s="333">
        <f>'Unit Data from Audit Worksheet'!A135</f>
        <v>510</v>
      </c>
      <c r="B119" s="347" t="str">
        <f>'Unit Data from Audit Worksheet'!C135</f>
        <v>Water Sewer Net Position Statement</v>
      </c>
      <c r="C119" s="332" t="str">
        <f>'Unit Data from Audit Worksheet'!D135</f>
        <v>Amount of Inventories and Prepaid expenses in current assets</v>
      </c>
      <c r="D119" s="144"/>
      <c r="E119" s="353">
        <f>'Unit Data from Audit Worksheet'!F135</f>
        <v>0</v>
      </c>
      <c r="F119" s="346"/>
      <c r="G119" s="348"/>
      <c r="H119" s="345">
        <f>'Unit Data from Audit Worksheet'!I135</f>
        <v>0</v>
      </c>
      <c r="I119" s="38"/>
      <c r="J119" s="344">
        <v>510</v>
      </c>
      <c r="K119" s="343" t="s">
        <v>220</v>
      </c>
      <c r="L119" s="569">
        <f t="shared" si="9"/>
        <v>0</v>
      </c>
      <c r="P119" s="315"/>
      <c r="W119" s="3" t="b">
        <f t="shared" si="10"/>
        <v>1</v>
      </c>
      <c r="X119" s="566">
        <f t="shared" si="12"/>
        <v>0</v>
      </c>
      <c r="Y119" s="566">
        <f t="shared" si="13"/>
        <v>0</v>
      </c>
    </row>
    <row r="120" spans="1:26" ht="43.2" x14ac:dyDescent="0.3">
      <c r="A120" s="333">
        <f>'Unit Data from Audit Worksheet'!A136</f>
        <v>654</v>
      </c>
      <c r="B120" s="347" t="str">
        <f>'Unit Data from Audit Worksheet'!C136</f>
        <v>Water Sewer Net Position Statement</v>
      </c>
      <c r="C120" s="332" t="str">
        <f>'Unit Data from Audit Worksheet'!D136</f>
        <v xml:space="preserve">Total Current assets as listed on the WS Net Position Statement.  
</v>
      </c>
      <c r="D120" s="144"/>
      <c r="E120" s="353">
        <f>'Unit Data from Audit Worksheet'!F136</f>
        <v>0</v>
      </c>
      <c r="F120" s="346">
        <f>IF((+L116+L117+L119)&gt;L120,"Please review components of current assets above Acct. (80+81+510&gt;654",)</f>
        <v>0</v>
      </c>
      <c r="G120" s="348" t="str">
        <f>IF(Q120=1," Included in error count"," ")</f>
        <v xml:space="preserve"> </v>
      </c>
      <c r="H120" s="345">
        <f>'Unit Data from Audit Worksheet'!I136</f>
        <v>0</v>
      </c>
      <c r="I120" s="38"/>
      <c r="J120" s="344">
        <v>654</v>
      </c>
      <c r="K120" s="350" t="s">
        <v>736</v>
      </c>
      <c r="L120" s="569">
        <f t="shared" si="9"/>
        <v>0</v>
      </c>
      <c r="P120" s="315"/>
      <c r="Q120" s="559">
        <f>IF((+L116+L117+L119)&gt;L120,1,0)</f>
        <v>0</v>
      </c>
      <c r="W120" s="3" t="b">
        <f t="shared" si="10"/>
        <v>1</v>
      </c>
      <c r="X120" s="566">
        <f t="shared" si="12"/>
        <v>0</v>
      </c>
      <c r="Y120" s="566">
        <f t="shared" si="13"/>
        <v>0</v>
      </c>
    </row>
    <row r="121" spans="1:26" ht="43.2" x14ac:dyDescent="0.3">
      <c r="A121" s="333">
        <f>'Unit Data from Audit Worksheet'!A137</f>
        <v>655</v>
      </c>
      <c r="B121" s="347" t="str">
        <f>'Unit Data from Audit Worksheet'!C137</f>
        <v>Water Sewer Net Position Statement</v>
      </c>
      <c r="C121" s="332" t="str">
        <f>'Unit Data from Audit Worksheet'!D137</f>
        <v>WS-Any current assets that are restricted (Cash, Accounts Rec., etc..) and included in account 654 above</v>
      </c>
      <c r="D121" s="144"/>
      <c r="E121" s="353">
        <f>'Unit Data from Audit Worksheet'!F137</f>
        <v>0</v>
      </c>
      <c r="F121" s="346"/>
      <c r="G121" s="348"/>
      <c r="H121" s="345"/>
      <c r="I121" s="38"/>
      <c r="J121" s="344">
        <v>655</v>
      </c>
      <c r="K121" s="350" t="s">
        <v>808</v>
      </c>
      <c r="L121" s="569">
        <f t="shared" si="9"/>
        <v>0</v>
      </c>
      <c r="P121" s="315"/>
      <c r="W121" s="3" t="b">
        <f t="shared" si="10"/>
        <v>1</v>
      </c>
      <c r="X121" s="566">
        <f t="shared" si="12"/>
        <v>0</v>
      </c>
      <c r="Y121" s="566">
        <f t="shared" si="13"/>
        <v>0</v>
      </c>
    </row>
    <row r="122" spans="1:26" ht="42.75" customHeight="1" x14ac:dyDescent="0.3">
      <c r="A122" s="333">
        <f>'Unit Data from Audit Worksheet'!A138</f>
        <v>381</v>
      </c>
      <c r="B122" s="347" t="str">
        <f>'Unit Data from Audit Worksheet'!C138</f>
        <v>Water Sewer Net Position Statement</v>
      </c>
      <c r="C122" s="332" t="str">
        <f>'Unit Data from Audit Worksheet'!D138</f>
        <v>Total Assets and deferred outflows</v>
      </c>
      <c r="D122" s="144"/>
      <c r="E122" s="353">
        <f>'Unit Data from Audit Worksheet'!F138</f>
        <v>0</v>
      </c>
      <c r="F122" s="346" t="str">
        <f>IF(L122&lt;L120,"Please review components of current assets above acct. 381&lt;654"," ")</f>
        <v xml:space="preserve"> </v>
      </c>
      <c r="G122" s="348" t="str">
        <f>IF(Q122=1," Included in error count"," ")</f>
        <v xml:space="preserve"> </v>
      </c>
      <c r="H122" s="345">
        <f>'Unit Data from Audit Worksheet'!I138</f>
        <v>0</v>
      </c>
      <c r="I122" s="38"/>
      <c r="J122" s="344">
        <v>381</v>
      </c>
      <c r="K122" s="343" t="s">
        <v>113</v>
      </c>
      <c r="L122" s="569">
        <f t="shared" si="9"/>
        <v>0</v>
      </c>
      <c r="P122" s="315"/>
      <c r="Q122" s="559">
        <f>IF(L122&lt;L120,1,0)</f>
        <v>0</v>
      </c>
      <c r="W122" s="3" t="b">
        <f t="shared" si="10"/>
        <v>1</v>
      </c>
      <c r="X122" s="566">
        <f t="shared" si="12"/>
        <v>0</v>
      </c>
      <c r="Y122" s="566">
        <f t="shared" si="13"/>
        <v>0</v>
      </c>
    </row>
    <row r="123" spans="1:26" ht="60.75" customHeight="1" x14ac:dyDescent="0.3">
      <c r="A123" s="581">
        <f>'Unit Data from Audit Worksheet'!A139</f>
        <v>578</v>
      </c>
      <c r="B123" s="117" t="str">
        <f>'Unit Data from Audit Worksheet'!C139</f>
        <v>Water Sewer Net Position Statement</v>
      </c>
      <c r="C123" s="571"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558</v>
      </c>
      <c r="L123" s="569">
        <f t="shared" si="9"/>
        <v>0</v>
      </c>
      <c r="P123" s="316"/>
      <c r="Q123" s="349"/>
      <c r="W123" s="3" t="b">
        <f t="shared" si="10"/>
        <v>1</v>
      </c>
      <c r="X123" s="566">
        <f t="shared" si="12"/>
        <v>0</v>
      </c>
      <c r="Y123" s="566">
        <f t="shared" si="13"/>
        <v>0</v>
      </c>
    </row>
    <row r="124" spans="1:26" s="18" customFormat="1" ht="104.25" customHeight="1" x14ac:dyDescent="0.3">
      <c r="A124" s="305">
        <v>633</v>
      </c>
      <c r="B124" s="360" t="str">
        <f>'Unit Data from Audit Worksheet'!C140</f>
        <v>Water Sewer Net Position Statement</v>
      </c>
      <c r="C124" s="305"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59">
        <f>'Unit Data from Audit Worksheet'!F140</f>
        <v>0</v>
      </c>
      <c r="F124" s="341" t="str">
        <f>IF(L124&gt;=(L125+L126+L127+L128+L129+L130),"","Account 633 is less than the total sum of accounts 634 through 638 + 383")</f>
        <v/>
      </c>
      <c r="G124" s="326">
        <f>L124-(L125+L126+L127+L128+L129+L130)</f>
        <v>0</v>
      </c>
      <c r="H124" s="341"/>
      <c r="I124" s="582"/>
      <c r="J124" s="340">
        <v>633</v>
      </c>
      <c r="K124" s="308" t="s">
        <v>671</v>
      </c>
      <c r="L124" s="583">
        <f>IF(D124="",E124,D124)</f>
        <v>0</v>
      </c>
      <c r="M124" s="573"/>
      <c r="N124" s="573"/>
      <c r="O124" s="573"/>
      <c r="P124" s="317"/>
      <c r="Q124" s="574"/>
      <c r="R124" s="3"/>
      <c r="S124" s="573"/>
      <c r="T124" s="573"/>
      <c r="U124" s="573"/>
      <c r="V124" s="573"/>
      <c r="W124" s="18" t="b">
        <f t="shared" si="10"/>
        <v>1</v>
      </c>
      <c r="X124" s="575">
        <f t="shared" si="12"/>
        <v>0</v>
      </c>
      <c r="Y124" s="575">
        <f t="shared" si="13"/>
        <v>0</v>
      </c>
    </row>
    <row r="125" spans="1:26" s="18" customFormat="1" ht="130.5" customHeight="1" x14ac:dyDescent="0.3">
      <c r="A125" s="305">
        <v>634</v>
      </c>
      <c r="B125" s="360" t="str">
        <f>'Unit Data from Audit Worksheet'!C141</f>
        <v>Water Sewer Net Position Statement</v>
      </c>
      <c r="C125" s="305"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59">
        <f>'Unit Data from Audit Worksheet'!F141</f>
        <v>0</v>
      </c>
      <c r="F125" s="341"/>
      <c r="G125" s="326"/>
      <c r="H125" s="341"/>
      <c r="I125" s="582"/>
      <c r="J125" s="340">
        <v>634</v>
      </c>
      <c r="K125" s="308" t="s">
        <v>672</v>
      </c>
      <c r="L125" s="583">
        <f>IF(D125="",E125,D125)</f>
        <v>0</v>
      </c>
      <c r="M125" s="573"/>
      <c r="N125" s="573"/>
      <c r="O125" s="573"/>
      <c r="P125" s="317"/>
      <c r="Q125" s="574"/>
      <c r="R125" s="3"/>
      <c r="S125" s="573"/>
      <c r="T125" s="573"/>
      <c r="U125" s="573"/>
      <c r="V125" s="573"/>
      <c r="W125" s="18" t="b">
        <f t="shared" si="10"/>
        <v>1</v>
      </c>
      <c r="X125" s="575">
        <f t="shared" si="12"/>
        <v>0</v>
      </c>
      <c r="Y125" s="575">
        <f t="shared" si="13"/>
        <v>0</v>
      </c>
    </row>
    <row r="126" spans="1:26" s="18" customFormat="1" ht="105.75" customHeight="1" x14ac:dyDescent="0.3">
      <c r="A126" s="305">
        <v>635</v>
      </c>
      <c r="B126" s="360" t="str">
        <f>'Unit Data from Audit Worksheet'!C142</f>
        <v>Water Sewer Net Position Statement</v>
      </c>
      <c r="C126" s="305"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59">
        <f>'Unit Data from Audit Worksheet'!F142</f>
        <v>0</v>
      </c>
      <c r="F126" s="341"/>
      <c r="G126" s="326"/>
      <c r="H126" s="341"/>
      <c r="I126" s="582"/>
      <c r="J126" s="340">
        <v>635</v>
      </c>
      <c r="K126" s="308" t="s">
        <v>673</v>
      </c>
      <c r="L126" s="583">
        <f>IF(D126="",E126,D126)</f>
        <v>0</v>
      </c>
      <c r="M126" s="573"/>
      <c r="N126" s="573"/>
      <c r="O126" s="573"/>
      <c r="P126" s="317"/>
      <c r="Q126" s="574"/>
      <c r="R126" s="3"/>
      <c r="S126" s="573"/>
      <c r="T126" s="573"/>
      <c r="U126" s="573"/>
      <c r="V126" s="573"/>
      <c r="W126" s="18" t="b">
        <f t="shared" si="10"/>
        <v>1</v>
      </c>
      <c r="X126" s="575">
        <f t="shared" si="12"/>
        <v>0</v>
      </c>
      <c r="Y126" s="575">
        <f t="shared" si="13"/>
        <v>0</v>
      </c>
    </row>
    <row r="127" spans="1:26" s="18" customFormat="1" ht="105.75" customHeight="1" x14ac:dyDescent="0.3">
      <c r="A127" s="305">
        <v>636</v>
      </c>
      <c r="B127" s="360" t="str">
        <f>'Unit Data from Audit Worksheet'!C143</f>
        <v>Water Sewer Net Position Statement</v>
      </c>
      <c r="C127" s="305"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59">
        <f>'Unit Data from Audit Worksheet'!F143</f>
        <v>0</v>
      </c>
      <c r="F127" s="341"/>
      <c r="G127" s="326"/>
      <c r="H127" s="341"/>
      <c r="I127" s="582"/>
      <c r="J127" s="340">
        <v>636</v>
      </c>
      <c r="K127" s="308" t="s">
        <v>668</v>
      </c>
      <c r="L127" s="583">
        <f t="shared" ref="L127:L137" si="14">IF(D127="",E127,D127)</f>
        <v>0</v>
      </c>
      <c r="M127" s="573"/>
      <c r="N127" s="573"/>
      <c r="O127" s="573"/>
      <c r="P127" s="317"/>
      <c r="Q127" s="574"/>
      <c r="R127" s="3"/>
      <c r="S127" s="573"/>
      <c r="T127" s="573"/>
      <c r="U127" s="573"/>
      <c r="V127" s="573"/>
      <c r="W127" s="18" t="b">
        <f t="shared" si="10"/>
        <v>1</v>
      </c>
      <c r="X127" s="575">
        <f t="shared" si="12"/>
        <v>0</v>
      </c>
      <c r="Y127" s="575">
        <f t="shared" si="13"/>
        <v>0</v>
      </c>
    </row>
    <row r="128" spans="1:26" s="18" customFormat="1" ht="59.25" customHeight="1" x14ac:dyDescent="0.3">
      <c r="A128" s="305">
        <v>637</v>
      </c>
      <c r="B128" s="360" t="str">
        <f>'Unit Data from Audit Worksheet'!C144</f>
        <v>Water Sewer Net Position Statement</v>
      </c>
      <c r="C128" s="305" t="str">
        <f>'Unit Data from Audit Worksheet'!D144</f>
        <v>Please enter any current liabilities that are payable from restricted assets and included in account 633 above.
Enter as positive</v>
      </c>
      <c r="D128" s="110"/>
      <c r="E128" s="359">
        <f>'Unit Data from Audit Worksheet'!F144</f>
        <v>0</v>
      </c>
      <c r="F128" s="341"/>
      <c r="G128" s="326"/>
      <c r="H128" s="341"/>
      <c r="I128" s="582"/>
      <c r="J128" s="340">
        <v>637</v>
      </c>
      <c r="K128" s="308" t="s">
        <v>669</v>
      </c>
      <c r="L128" s="583">
        <f t="shared" si="14"/>
        <v>0</v>
      </c>
      <c r="M128" s="573"/>
      <c r="N128" s="573"/>
      <c r="O128" s="573"/>
      <c r="P128" s="317"/>
      <c r="Q128" s="574"/>
      <c r="R128" s="3"/>
      <c r="S128" s="573"/>
      <c r="T128" s="573"/>
      <c r="U128" s="573"/>
      <c r="V128" s="573"/>
      <c r="W128" s="18" t="b">
        <f t="shared" si="10"/>
        <v>1</v>
      </c>
      <c r="X128" s="575">
        <f t="shared" si="12"/>
        <v>0</v>
      </c>
      <c r="Y128" s="575">
        <f t="shared" si="13"/>
        <v>0</v>
      </c>
    </row>
    <row r="129" spans="1:25" s="18" customFormat="1" ht="103.5" customHeight="1" x14ac:dyDescent="0.3">
      <c r="A129" s="305">
        <v>638</v>
      </c>
      <c r="B129" s="360" t="str">
        <f>'Unit Data from Audit Worksheet'!C145</f>
        <v>Water Sewer Net Position Statement</v>
      </c>
      <c r="C129" s="305"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59">
        <f>'Unit Data from Audit Worksheet'!F145</f>
        <v>0</v>
      </c>
      <c r="F129" s="341"/>
      <c r="G129" s="326"/>
      <c r="H129" s="341"/>
      <c r="I129" s="582"/>
      <c r="J129" s="340">
        <v>638</v>
      </c>
      <c r="K129" s="308" t="s">
        <v>674</v>
      </c>
      <c r="L129" s="583">
        <f t="shared" si="14"/>
        <v>0</v>
      </c>
      <c r="M129" s="573"/>
      <c r="N129" s="573"/>
      <c r="O129" s="573"/>
      <c r="P129" s="317"/>
      <c r="Q129" s="574"/>
      <c r="R129" s="3"/>
      <c r="S129" s="573"/>
      <c r="T129" s="573"/>
      <c r="U129" s="573"/>
      <c r="V129" s="573"/>
      <c r="W129" s="18" t="b">
        <f t="shared" si="10"/>
        <v>1</v>
      </c>
      <c r="X129" s="575">
        <f t="shared" si="12"/>
        <v>0</v>
      </c>
      <c r="Y129" s="575">
        <f t="shared" si="13"/>
        <v>0</v>
      </c>
    </row>
    <row r="130" spans="1:25" ht="76.5" customHeight="1" x14ac:dyDescent="0.3">
      <c r="A130" s="567">
        <f>'Unit Data from Audit Worksheet'!A146</f>
        <v>383</v>
      </c>
      <c r="B130" s="54" t="str">
        <f>'Unit Data from Audit Worksheet'!C146</f>
        <v>Water Sewer Net Position Statement</v>
      </c>
      <c r="C130" s="568"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5">
        <f>'Unit Data from Audit Worksheet'!I146</f>
        <v>0</v>
      </c>
      <c r="I130" s="38"/>
      <c r="J130" s="42">
        <v>383</v>
      </c>
      <c r="K130" s="51" t="s">
        <v>221</v>
      </c>
      <c r="L130" s="569">
        <f t="shared" si="14"/>
        <v>0</v>
      </c>
      <c r="P130" s="314"/>
      <c r="W130" s="3" t="b">
        <f t="shared" si="10"/>
        <v>1</v>
      </c>
      <c r="X130" s="566">
        <f t="shared" si="12"/>
        <v>0</v>
      </c>
      <c r="Y130" s="566">
        <f t="shared" si="13"/>
        <v>0</v>
      </c>
    </row>
    <row r="131" spans="1:25" ht="54" customHeight="1" x14ac:dyDescent="0.3">
      <c r="A131" s="333">
        <f>'Unit Data from Audit Worksheet'!A147</f>
        <v>349</v>
      </c>
      <c r="B131" s="347" t="str">
        <f>'Unit Data from Audit Worksheet'!C147</f>
        <v>Water Sewer Net Position Statement</v>
      </c>
      <c r="C131" s="332" t="str">
        <f>'Unit Data from Audit Worksheet'!D147</f>
        <v>Total Liabilities and deferred inflows</v>
      </c>
      <c r="D131" s="144"/>
      <c r="E131" s="353">
        <f>'Unit Data from Audit Worksheet'!F147</f>
        <v>0</v>
      </c>
      <c r="F131" s="346">
        <f>IF(L124&gt;L131,"Error: Please review accts 633&gt;349",)</f>
        <v>0</v>
      </c>
      <c r="G131" s="348" t="str">
        <f>IF(Q131=1," Included in error count"," ")</f>
        <v xml:space="preserve"> </v>
      </c>
      <c r="H131" s="345">
        <f>'Unit Data from Audit Worksheet'!I147</f>
        <v>0</v>
      </c>
      <c r="I131" s="38"/>
      <c r="J131" s="344">
        <v>349</v>
      </c>
      <c r="K131" s="343" t="s">
        <v>122</v>
      </c>
      <c r="L131" s="569">
        <f t="shared" si="14"/>
        <v>0</v>
      </c>
      <c r="P131" s="315"/>
      <c r="Q131" s="559">
        <f>IF(L124&gt;L131,1,0)</f>
        <v>0</v>
      </c>
      <c r="W131" s="3" t="b">
        <f t="shared" si="10"/>
        <v>1</v>
      </c>
      <c r="X131" s="566">
        <f t="shared" si="12"/>
        <v>0</v>
      </c>
      <c r="Y131" s="566">
        <f t="shared" si="13"/>
        <v>0</v>
      </c>
    </row>
    <row r="132" spans="1:25" ht="56.25" customHeight="1" x14ac:dyDescent="0.3">
      <c r="A132" s="333">
        <f>'Unit Data from Audit Worksheet'!A148</f>
        <v>375</v>
      </c>
      <c r="B132" s="347" t="str">
        <f>'Unit Data from Audit Worksheet'!C148</f>
        <v>Water Sewer Net Position Statement</v>
      </c>
      <c r="C132" s="332" t="str">
        <f>'Unit Data from Audit Worksheet'!D148</f>
        <v>Total Net position, Unrestricted - enter negative unrestricted net position as a negative</v>
      </c>
      <c r="D132" s="144"/>
      <c r="E132" s="353">
        <f>'Unit Data from Audit Worksheet'!F148</f>
        <v>0</v>
      </c>
      <c r="F132" s="346"/>
      <c r="G132" s="348"/>
      <c r="H132" s="345">
        <f>'Unit Data from Audit Worksheet'!I148</f>
        <v>0</v>
      </c>
      <c r="I132" s="38"/>
      <c r="J132" s="344">
        <v>375</v>
      </c>
      <c r="K132" s="343" t="s">
        <v>222</v>
      </c>
      <c r="L132" s="569">
        <f t="shared" si="14"/>
        <v>0</v>
      </c>
      <c r="P132" s="315"/>
      <c r="W132" s="3" t="b">
        <f t="shared" si="10"/>
        <v>1</v>
      </c>
      <c r="X132" s="566">
        <f t="shared" si="12"/>
        <v>0</v>
      </c>
      <c r="Y132" s="566">
        <f t="shared" si="13"/>
        <v>0</v>
      </c>
    </row>
    <row r="133" spans="1:25" ht="56.25" customHeight="1" x14ac:dyDescent="0.3">
      <c r="A133" s="333">
        <f>'Unit Data from Audit Worksheet'!A149</f>
        <v>83</v>
      </c>
      <c r="B133" s="347" t="str">
        <f>'Unit Data from Audit Worksheet'!C149</f>
        <v>Water Sewer Net Position Statement</v>
      </c>
      <c r="C133" s="332" t="str">
        <f>'Unit Data from Audit Worksheet'!D149</f>
        <v>Total Net position</v>
      </c>
      <c r="D133" s="144"/>
      <c r="E133" s="353">
        <f>'Unit Data from Audit Worksheet'!F149</f>
        <v>0</v>
      </c>
      <c r="F133" s="346">
        <f>IF(+L122-L131-L133=0,,"Error: Total assets less total liabilities do not equal net position acct 381-349-83=0")</f>
        <v>0</v>
      </c>
      <c r="G133" s="91">
        <f>L122-L131-L133</f>
        <v>0</v>
      </c>
      <c r="H133" s="345">
        <f>'Unit Data from Audit Worksheet'!I149</f>
        <v>0</v>
      </c>
      <c r="I133" s="38"/>
      <c r="J133" s="344">
        <v>83</v>
      </c>
      <c r="K133" s="343" t="s">
        <v>102</v>
      </c>
      <c r="L133" s="569">
        <f t="shared" si="14"/>
        <v>0</v>
      </c>
      <c r="O133" s="577" t="e">
        <f>'Unit Data from Audit Worksheet'!E149</f>
        <v>#N/A</v>
      </c>
      <c r="P133" s="315"/>
      <c r="Q133" s="559">
        <f>IF(G133&lt;&gt;0,1,0)</f>
        <v>0</v>
      </c>
      <c r="W133" s="3" t="b">
        <f t="shared" ref="W133:W164" si="15">EXACT(A133,J133)</f>
        <v>1</v>
      </c>
      <c r="X133" s="566">
        <f t="shared" si="12"/>
        <v>0</v>
      </c>
      <c r="Y133" s="566">
        <f t="shared" si="13"/>
        <v>0</v>
      </c>
    </row>
    <row r="134" spans="1:25" ht="56.25" customHeight="1" x14ac:dyDescent="0.3">
      <c r="A134" s="333">
        <f>'Unit Data from Audit Worksheet'!A151</f>
        <v>90</v>
      </c>
      <c r="B134" s="347" t="str">
        <f>'Unit Data from Audit Worksheet'!C151</f>
        <v>Electric Fund Net Position Statement</v>
      </c>
      <c r="C134" s="332" t="str">
        <f>'Unit Data from Audit Worksheet'!D151</f>
        <v>All Unrestricted Cash and Investments.  
Exclude any restricted cash and investments.</v>
      </c>
      <c r="D134" s="144"/>
      <c r="E134" s="353">
        <f>'Unit Data from Audit Worksheet'!F151</f>
        <v>0</v>
      </c>
      <c r="F134" s="346">
        <f>IF(L134&lt;0,"Error: Number is normally positive.",)</f>
        <v>0</v>
      </c>
      <c r="G134" s="348"/>
      <c r="H134" s="345">
        <f>'Unit Data from Audit Worksheet'!I151</f>
        <v>0</v>
      </c>
      <c r="I134" s="38"/>
      <c r="J134" s="344">
        <v>90</v>
      </c>
      <c r="K134" s="343" t="s">
        <v>223</v>
      </c>
      <c r="L134" s="569">
        <f t="shared" si="14"/>
        <v>0</v>
      </c>
      <c r="P134" s="315"/>
      <c r="W134" s="3" t="b">
        <f t="shared" si="15"/>
        <v>1</v>
      </c>
      <c r="X134" s="566">
        <f t="shared" si="12"/>
        <v>0</v>
      </c>
      <c r="Y134" s="566">
        <f t="shared" si="13"/>
        <v>0</v>
      </c>
    </row>
    <row r="135" spans="1:25" ht="56.25" customHeight="1" x14ac:dyDescent="0.3">
      <c r="A135" s="333">
        <f>'Unit Data from Audit Worksheet'!A152</f>
        <v>91</v>
      </c>
      <c r="B135" s="347" t="str">
        <f>'Unit Data from Audit Worksheet'!C152</f>
        <v>Electric Fund Net Position Statement</v>
      </c>
      <c r="C135" s="332" t="str">
        <f>'Unit Data from Audit Worksheet'!D152</f>
        <v xml:space="preserve">Customer accounts receivable (net of allowance accounts)
Include billed and unbilled amounts </v>
      </c>
      <c r="D135" s="144"/>
      <c r="E135" s="353">
        <f>'Unit Data from Audit Worksheet'!F152</f>
        <v>0</v>
      </c>
      <c r="F135" s="346">
        <f>IF(L135&lt;0,"Error: Number is normally positive.",)</f>
        <v>0</v>
      </c>
      <c r="G135" s="348"/>
      <c r="H135" s="345">
        <f>'Unit Data from Audit Worksheet'!I152</f>
        <v>0</v>
      </c>
      <c r="I135" s="38"/>
      <c r="J135" s="344">
        <v>91</v>
      </c>
      <c r="K135" s="343" t="s">
        <v>224</v>
      </c>
      <c r="L135" s="569">
        <f t="shared" si="14"/>
        <v>0</v>
      </c>
      <c r="P135" s="315"/>
      <c r="W135" s="3" t="b">
        <f t="shared" si="15"/>
        <v>1</v>
      </c>
      <c r="X135" s="566">
        <f t="shared" si="12"/>
        <v>0</v>
      </c>
      <c r="Y135" s="566">
        <f t="shared" si="13"/>
        <v>0</v>
      </c>
    </row>
    <row r="136" spans="1:25" ht="56.25" customHeight="1" x14ac:dyDescent="0.3">
      <c r="A136" s="333">
        <f>'Unit Data from Audit Worksheet'!A153</f>
        <v>581</v>
      </c>
      <c r="B136" s="347" t="str">
        <f>'Unit Data from Audit Worksheet'!C153</f>
        <v>Electric Fund Net Position Statement</v>
      </c>
      <c r="C136" s="332" t="str">
        <f>'Unit Data from Audit Worksheet'!D153</f>
        <v>Electric Fund - Advance To:
Interfund loan receivable-portion of repayment plan longer than 12 months</v>
      </c>
      <c r="D136" s="144"/>
      <c r="E136" s="353">
        <f>'Unit Data from Audit Worksheet'!F153</f>
        <v>0</v>
      </c>
      <c r="F136" s="346"/>
      <c r="G136" s="348"/>
      <c r="H136" s="345"/>
      <c r="I136" s="38"/>
      <c r="J136" s="344">
        <v>581</v>
      </c>
      <c r="K136" s="343" t="s">
        <v>559</v>
      </c>
      <c r="L136" s="569">
        <f t="shared" si="14"/>
        <v>0</v>
      </c>
      <c r="P136" s="315"/>
      <c r="W136" s="3" t="b">
        <f t="shared" si="15"/>
        <v>1</v>
      </c>
      <c r="X136" s="566">
        <f t="shared" si="12"/>
        <v>0</v>
      </c>
      <c r="Y136" s="566">
        <f t="shared" si="13"/>
        <v>0</v>
      </c>
    </row>
    <row r="137" spans="1:25" ht="56.25" customHeight="1" x14ac:dyDescent="0.3">
      <c r="A137" s="333">
        <f>'Unit Data from Audit Worksheet'!A154</f>
        <v>511</v>
      </c>
      <c r="B137" s="347" t="str">
        <f>'Unit Data from Audit Worksheet'!C154</f>
        <v>Electric Fund Net Position Statement</v>
      </c>
      <c r="C137" s="332" t="str">
        <f>'Unit Data from Audit Worksheet'!D154</f>
        <v>Amount of inventories and prepaids</v>
      </c>
      <c r="D137" s="144"/>
      <c r="E137" s="353">
        <f>'Unit Data from Audit Worksheet'!F154</f>
        <v>0</v>
      </c>
      <c r="F137" s="346">
        <f t="shared" ref="F137:F142" si="16">IF(L137&lt;0,"Error: Number is normally positive.",)</f>
        <v>0</v>
      </c>
      <c r="G137" s="348"/>
      <c r="H137" s="345">
        <f>'Unit Data from Audit Worksheet'!I154</f>
        <v>0</v>
      </c>
      <c r="I137" s="38"/>
      <c r="J137" s="344">
        <v>511</v>
      </c>
      <c r="K137" s="343" t="s">
        <v>225</v>
      </c>
      <c r="L137" s="569">
        <f t="shared" si="14"/>
        <v>0</v>
      </c>
      <c r="P137" s="315"/>
      <c r="W137" s="3" t="b">
        <f t="shared" si="15"/>
        <v>1</v>
      </c>
      <c r="X137" s="566">
        <f t="shared" si="12"/>
        <v>0</v>
      </c>
      <c r="Y137" s="566">
        <f t="shared" si="13"/>
        <v>0</v>
      </c>
    </row>
    <row r="138" spans="1:25" ht="62.25" customHeight="1" x14ac:dyDescent="0.3">
      <c r="A138" s="333">
        <f>'Unit Data from Audit Worksheet'!A155</f>
        <v>657</v>
      </c>
      <c r="B138" s="347" t="str">
        <f>'Unit Data from Audit Worksheet'!C155</f>
        <v>Electric Fund Net Position Statement</v>
      </c>
      <c r="C138" s="332" t="str">
        <f>'Unit Data from Audit Worksheet'!D155</f>
        <v xml:space="preserve">Total Current assets as listed on the Electric Net Position Statement.  
</v>
      </c>
      <c r="D138" s="144"/>
      <c r="E138" s="353">
        <f>'Unit Data from Audit Worksheet'!F155</f>
        <v>0</v>
      </c>
      <c r="F138" s="346">
        <f t="shared" si="16"/>
        <v>0</v>
      </c>
      <c r="G138" s="348"/>
      <c r="H138" s="345">
        <f>'Unit Data from Audit Worksheet'!I155</f>
        <v>0</v>
      </c>
      <c r="I138" s="38"/>
      <c r="J138" s="344">
        <v>657</v>
      </c>
      <c r="K138" s="343" t="s">
        <v>741</v>
      </c>
      <c r="L138" s="583">
        <f>IF(D138="",E138,D138)</f>
        <v>0</v>
      </c>
      <c r="P138" s="315"/>
      <c r="Q138" s="559">
        <f>IF((L134+L135+L137)&gt;L140,1,0)</f>
        <v>0</v>
      </c>
      <c r="W138" s="3" t="b">
        <f t="shared" si="15"/>
        <v>1</v>
      </c>
      <c r="X138" s="566">
        <f t="shared" si="12"/>
        <v>0</v>
      </c>
      <c r="Y138" s="566">
        <f t="shared" si="13"/>
        <v>0</v>
      </c>
    </row>
    <row r="139" spans="1:25" ht="62.25" customHeight="1" x14ac:dyDescent="0.3">
      <c r="A139" s="333">
        <f>'Unit Data from Audit Worksheet'!A156</f>
        <v>658</v>
      </c>
      <c r="B139" s="347" t="str">
        <f>'Unit Data from Audit Worksheet'!C156</f>
        <v>Electric Fund Net Position Statement</v>
      </c>
      <c r="C139" s="332" t="str">
        <f>'Unit Data from Audit Worksheet'!D156</f>
        <v>Electric-Any current assets that are restricted (Cash, Accounts Rec., etc..) and included in account 657 above</v>
      </c>
      <c r="D139" s="144"/>
      <c r="E139" s="353">
        <f>'Unit Data from Audit Worksheet'!F156</f>
        <v>0</v>
      </c>
      <c r="F139" s="346">
        <f t="shared" si="16"/>
        <v>0</v>
      </c>
      <c r="G139" s="348"/>
      <c r="H139" s="345"/>
      <c r="I139" s="38"/>
      <c r="J139" s="344">
        <v>658</v>
      </c>
      <c r="K139" s="343" t="s">
        <v>807</v>
      </c>
      <c r="L139" s="583">
        <f>IF(D139="",E139,D139)</f>
        <v>0</v>
      </c>
      <c r="P139" s="315"/>
      <c r="W139" s="3" t="b">
        <f t="shared" si="15"/>
        <v>1</v>
      </c>
      <c r="X139" s="566">
        <f t="shared" si="12"/>
        <v>0</v>
      </c>
      <c r="Y139" s="566">
        <f t="shared" si="13"/>
        <v>0</v>
      </c>
    </row>
    <row r="140" spans="1:25" ht="39.75" customHeight="1" x14ac:dyDescent="0.3">
      <c r="A140" s="333">
        <f>'Unit Data from Audit Worksheet'!A157</f>
        <v>382</v>
      </c>
      <c r="B140" s="347" t="str">
        <f>'Unit Data from Audit Worksheet'!C157</f>
        <v>Electric Fund Net Position Statement</v>
      </c>
      <c r="C140" s="332" t="str">
        <f>'Unit Data from Audit Worksheet'!D157</f>
        <v>Total Assets and deferred outflows</v>
      </c>
      <c r="D140" s="144"/>
      <c r="E140" s="353">
        <f>'Unit Data from Audit Worksheet'!F157</f>
        <v>0</v>
      </c>
      <c r="F140" s="346">
        <f t="shared" si="16"/>
        <v>0</v>
      </c>
      <c r="G140" s="348"/>
      <c r="H140" s="345">
        <f>'Unit Data from Audit Worksheet'!I157</f>
        <v>0</v>
      </c>
      <c r="I140" s="38"/>
      <c r="J140" s="344">
        <v>382</v>
      </c>
      <c r="K140" s="343" t="s">
        <v>114</v>
      </c>
      <c r="L140" s="569">
        <f>IF(D140="",E140,D140)</f>
        <v>0</v>
      </c>
      <c r="P140" s="315"/>
      <c r="W140" s="3" t="b">
        <f t="shared" si="15"/>
        <v>1</v>
      </c>
      <c r="X140" s="566">
        <f t="shared" si="12"/>
        <v>0</v>
      </c>
      <c r="Y140" s="566">
        <f t="shared" si="13"/>
        <v>0</v>
      </c>
    </row>
    <row r="141" spans="1:25" ht="39.75" customHeight="1" x14ac:dyDescent="0.3">
      <c r="A141" s="333">
        <f>'Unit Data from Audit Worksheet'!A158</f>
        <v>360</v>
      </c>
      <c r="B141" s="347" t="str">
        <f>'Unit Data from Audit Worksheet'!C158</f>
        <v>Electric Fund Net Position Statement</v>
      </c>
      <c r="C141" s="332" t="str">
        <f>'Unit Data from Audit Worksheet'!D158</f>
        <v>Total liabilities and total deferred inflows</v>
      </c>
      <c r="D141" s="144"/>
      <c r="E141" s="353">
        <f>'Unit Data from Audit Worksheet'!F158</f>
        <v>0</v>
      </c>
      <c r="F141" s="346">
        <f t="shared" si="16"/>
        <v>0</v>
      </c>
      <c r="G141" s="348"/>
      <c r="H141" s="345">
        <f>'Unit Data from Audit Worksheet'!I158</f>
        <v>0</v>
      </c>
      <c r="I141" s="38"/>
      <c r="J141" s="344">
        <v>360</v>
      </c>
      <c r="K141" s="109" t="s">
        <v>125</v>
      </c>
      <c r="L141" s="569">
        <f>IF(D141="",E141,D141)</f>
        <v>0</v>
      </c>
      <c r="P141" s="315"/>
      <c r="W141" s="3" t="b">
        <f t="shared" si="15"/>
        <v>1</v>
      </c>
      <c r="X141" s="566">
        <f t="shared" si="12"/>
        <v>0</v>
      </c>
      <c r="Y141" s="566">
        <f t="shared" si="13"/>
        <v>0</v>
      </c>
    </row>
    <row r="142" spans="1:25" ht="58.5" customHeight="1" x14ac:dyDescent="0.3">
      <c r="A142" s="333">
        <f>'Unit Data from Audit Worksheet'!A159</f>
        <v>580</v>
      </c>
      <c r="B142" s="347" t="str">
        <f>'Unit Data from Audit Worksheet'!C159</f>
        <v>Electric Fund Net Position Statement</v>
      </c>
      <c r="C142" s="332" t="str">
        <f>'Unit Data from Audit Worksheet'!D159</f>
        <v>Electric Fund - Advance From:
Interfund loans payable-portion of repayment plan longer than 12 months</v>
      </c>
      <c r="D142" s="144"/>
      <c r="E142" s="353">
        <f>'Unit Data from Audit Worksheet'!F159</f>
        <v>0</v>
      </c>
      <c r="F142" s="346">
        <f t="shared" si="16"/>
        <v>0</v>
      </c>
      <c r="G142" s="348"/>
      <c r="H142" s="345">
        <f>'Unit Data from Audit Worksheet'!I159</f>
        <v>0</v>
      </c>
      <c r="I142" s="38"/>
      <c r="J142" s="344">
        <v>580</v>
      </c>
      <c r="K142" s="109" t="s">
        <v>560</v>
      </c>
      <c r="L142" s="569">
        <f>IF(D142="",E142,D142)</f>
        <v>0</v>
      </c>
      <c r="N142" s="578"/>
      <c r="P142" s="315"/>
      <c r="W142" s="3" t="b">
        <f t="shared" si="15"/>
        <v>1</v>
      </c>
      <c r="X142" s="566">
        <f t="shared" si="12"/>
        <v>0</v>
      </c>
      <c r="Y142" s="566">
        <f t="shared" si="13"/>
        <v>0</v>
      </c>
    </row>
    <row r="143" spans="1:25" s="18" customFormat="1" ht="104.25" customHeight="1" x14ac:dyDescent="0.3">
      <c r="A143" s="333">
        <f>'Unit Data from Audit Worksheet'!A160</f>
        <v>639</v>
      </c>
      <c r="B143" s="347" t="str">
        <f>'Unit Data from Audit Worksheet'!C160</f>
        <v>Electric Fund Net Position Statement</v>
      </c>
      <c r="C143" s="332"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3">
        <f>'Unit Data from Audit Worksheet'!F160</f>
        <v>0</v>
      </c>
      <c r="F143" s="346" t="str">
        <f>IF(L143&gt;=(L144+L145+L146+L147+L148+L149),"","Account 639 is less than the total sum of accounts 640 through 644 + 384")</f>
        <v/>
      </c>
      <c r="G143" s="348">
        <f>L143-(L144+L145+L146+L147+L148+L149)</f>
        <v>0</v>
      </c>
      <c r="H143" s="345">
        <f>'Unit Data from Audit Worksheet'!I160</f>
        <v>0</v>
      </c>
      <c r="I143" s="38"/>
      <c r="J143" s="344">
        <v>639</v>
      </c>
      <c r="K143" s="343" t="s">
        <v>675</v>
      </c>
      <c r="L143" s="583">
        <f t="shared" ref="L143:L164" si="17">IF(D143="",E143,D143)</f>
        <v>0</v>
      </c>
      <c r="P143" s="315"/>
      <c r="Q143" s="559"/>
      <c r="R143" s="3"/>
      <c r="W143" s="18" t="b">
        <f t="shared" si="15"/>
        <v>1</v>
      </c>
      <c r="X143" s="575">
        <f t="shared" si="12"/>
        <v>0</v>
      </c>
      <c r="Y143" s="575">
        <f t="shared" si="13"/>
        <v>0</v>
      </c>
    </row>
    <row r="144" spans="1:25" s="18" customFormat="1" ht="104.25" customHeight="1" x14ac:dyDescent="0.3">
      <c r="A144" s="333">
        <f>'Unit Data from Audit Worksheet'!A161</f>
        <v>640</v>
      </c>
      <c r="B144" s="347" t="str">
        <f>'Unit Data from Audit Worksheet'!C161</f>
        <v>Electric Fund Net Position Statement</v>
      </c>
      <c r="C144" s="332"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3">
        <f>'Unit Data from Audit Worksheet'!F161</f>
        <v>0</v>
      </c>
      <c r="F144" s="346">
        <f t="shared" ref="F144:F149" si="18">IF(L144&lt;0,"Error: Number is normally positive.",)</f>
        <v>0</v>
      </c>
      <c r="G144" s="348"/>
      <c r="H144" s="345">
        <f>'Unit Data from Audit Worksheet'!I161</f>
        <v>0</v>
      </c>
      <c r="I144" s="38"/>
      <c r="J144" s="344">
        <v>640</v>
      </c>
      <c r="K144" s="343" t="s">
        <v>676</v>
      </c>
      <c r="L144" s="583">
        <f t="shared" si="17"/>
        <v>0</v>
      </c>
      <c r="P144" s="315"/>
      <c r="Q144" s="559"/>
      <c r="R144" s="3"/>
      <c r="W144" s="18" t="b">
        <f t="shared" si="15"/>
        <v>1</v>
      </c>
      <c r="X144" s="575">
        <f t="shared" si="12"/>
        <v>0</v>
      </c>
      <c r="Y144" s="575">
        <f t="shared" si="13"/>
        <v>0</v>
      </c>
    </row>
    <row r="145" spans="1:25" s="18" customFormat="1" ht="104.25" customHeight="1" x14ac:dyDescent="0.3">
      <c r="A145" s="333">
        <f>'Unit Data from Audit Worksheet'!A162</f>
        <v>641</v>
      </c>
      <c r="B145" s="347" t="str">
        <f>'Unit Data from Audit Worksheet'!C162</f>
        <v>Electric Fund Net Position Statement</v>
      </c>
      <c r="C145" s="332"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3">
        <f>'Unit Data from Audit Worksheet'!F162</f>
        <v>0</v>
      </c>
      <c r="F145" s="346">
        <f t="shared" si="18"/>
        <v>0</v>
      </c>
      <c r="G145" s="348"/>
      <c r="H145" s="345">
        <f>'Unit Data from Audit Worksheet'!I162</f>
        <v>0</v>
      </c>
      <c r="I145" s="38"/>
      <c r="J145" s="344">
        <v>641</v>
      </c>
      <c r="K145" s="343" t="s">
        <v>677</v>
      </c>
      <c r="L145" s="583">
        <f t="shared" si="17"/>
        <v>0</v>
      </c>
      <c r="P145" s="315"/>
      <c r="Q145" s="559"/>
      <c r="R145" s="3"/>
      <c r="W145" s="18" t="b">
        <f t="shared" si="15"/>
        <v>1</v>
      </c>
      <c r="X145" s="575">
        <f t="shared" si="12"/>
        <v>0</v>
      </c>
      <c r="Y145" s="575">
        <f t="shared" si="13"/>
        <v>0</v>
      </c>
    </row>
    <row r="146" spans="1:25" s="18" customFormat="1" ht="104.25" customHeight="1" x14ac:dyDescent="0.3">
      <c r="A146" s="333">
        <f>'Unit Data from Audit Worksheet'!A163</f>
        <v>642</v>
      </c>
      <c r="B146" s="347" t="str">
        <f>'Unit Data from Audit Worksheet'!C163</f>
        <v>Electric Fund Net Position Statement</v>
      </c>
      <c r="C146" s="332"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3">
        <f>'Unit Data from Audit Worksheet'!F163</f>
        <v>0</v>
      </c>
      <c r="F146" s="346">
        <f t="shared" si="18"/>
        <v>0</v>
      </c>
      <c r="G146" s="348"/>
      <c r="H146" s="345">
        <f>'Unit Data from Audit Worksheet'!I163</f>
        <v>0</v>
      </c>
      <c r="I146" s="38"/>
      <c r="J146" s="344">
        <v>642</v>
      </c>
      <c r="K146" s="343" t="s">
        <v>678</v>
      </c>
      <c r="L146" s="583">
        <f t="shared" si="17"/>
        <v>0</v>
      </c>
      <c r="P146" s="315"/>
      <c r="Q146" s="559"/>
      <c r="R146" s="3"/>
      <c r="W146" s="18" t="b">
        <f t="shared" si="15"/>
        <v>1</v>
      </c>
      <c r="X146" s="575">
        <f t="shared" si="12"/>
        <v>0</v>
      </c>
      <c r="Y146" s="575">
        <f t="shared" si="13"/>
        <v>0</v>
      </c>
    </row>
    <row r="147" spans="1:25" s="18" customFormat="1" ht="60.75" customHeight="1" x14ac:dyDescent="0.3">
      <c r="A147" s="333">
        <f>'Unit Data from Audit Worksheet'!A164</f>
        <v>643</v>
      </c>
      <c r="B147" s="347" t="str">
        <f>'Unit Data from Audit Worksheet'!C164</f>
        <v>Electric Fund Net Position Statement</v>
      </c>
      <c r="C147" s="332" t="str">
        <f>'Unit Data from Audit Worksheet'!D164</f>
        <v>Please enter any current liabilities that are payable from restricted assets and included in account 639 above. 
Enter as a positive</v>
      </c>
      <c r="D147" s="144"/>
      <c r="E147" s="353">
        <f>'Unit Data from Audit Worksheet'!F164</f>
        <v>0</v>
      </c>
      <c r="F147" s="346">
        <f t="shared" si="18"/>
        <v>0</v>
      </c>
      <c r="G147" s="348"/>
      <c r="H147" s="345">
        <f>'Unit Data from Audit Worksheet'!I164</f>
        <v>0</v>
      </c>
      <c r="I147" s="38"/>
      <c r="J147" s="344">
        <v>643</v>
      </c>
      <c r="K147" s="343" t="s">
        <v>679</v>
      </c>
      <c r="L147" s="583">
        <f t="shared" si="17"/>
        <v>0</v>
      </c>
      <c r="P147" s="315"/>
      <c r="Q147" s="559"/>
      <c r="R147" s="3"/>
      <c r="W147" s="18" t="b">
        <f t="shared" si="15"/>
        <v>1</v>
      </c>
      <c r="X147" s="575">
        <f t="shared" si="12"/>
        <v>0</v>
      </c>
      <c r="Y147" s="575">
        <f t="shared" si="13"/>
        <v>0</v>
      </c>
    </row>
    <row r="148" spans="1:25" s="18" customFormat="1" ht="102" customHeight="1" x14ac:dyDescent="0.3">
      <c r="A148" s="333">
        <f>'Unit Data from Audit Worksheet'!A165</f>
        <v>644</v>
      </c>
      <c r="B148" s="347" t="str">
        <f>'Unit Data from Audit Worksheet'!C165</f>
        <v>Electric Fund Net Position Statement</v>
      </c>
      <c r="C148" s="332"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3">
        <f>'Unit Data from Audit Worksheet'!F165</f>
        <v>0</v>
      </c>
      <c r="F148" s="346">
        <f t="shared" si="18"/>
        <v>0</v>
      </c>
      <c r="G148" s="348"/>
      <c r="H148" s="345">
        <f>'Unit Data from Audit Worksheet'!I165</f>
        <v>0</v>
      </c>
      <c r="I148" s="38"/>
      <c r="J148" s="276">
        <v>644</v>
      </c>
      <c r="K148" s="343" t="s">
        <v>680</v>
      </c>
      <c r="L148" s="583">
        <f t="shared" si="17"/>
        <v>0</v>
      </c>
      <c r="P148" s="318"/>
      <c r="Q148" s="559"/>
      <c r="R148" s="3"/>
      <c r="W148" s="18" t="b">
        <f t="shared" si="15"/>
        <v>1</v>
      </c>
      <c r="X148" s="575">
        <f t="shared" si="12"/>
        <v>0</v>
      </c>
      <c r="Y148" s="575">
        <f t="shared" si="13"/>
        <v>0</v>
      </c>
    </row>
    <row r="149" spans="1:25" ht="63.75" customHeight="1" x14ac:dyDescent="0.3">
      <c r="A149" s="333">
        <f>+'Unit Data from Audit Worksheet'!A166</f>
        <v>384</v>
      </c>
      <c r="B149" s="333" t="str">
        <f>+'Unit Data from Audit Worksheet'!C166</f>
        <v>Electric Fund Net Position Statement</v>
      </c>
      <c r="C149" s="333" t="str">
        <f>+'Unit Data from Audit Worksheet'!D166</f>
        <v>Unearned revenue (arising from cash receipts) that were included in Current Liabilities in account 639 above.
Enter as a positive</v>
      </c>
      <c r="D149" s="144"/>
      <c r="E149" s="353">
        <f>+'Unit Data from Audit Worksheet'!F166</f>
        <v>0</v>
      </c>
      <c r="F149" s="346">
        <f t="shared" si="18"/>
        <v>0</v>
      </c>
      <c r="G149" s="348"/>
      <c r="H149" s="345">
        <f>'Unit Data from Audit Worksheet'!I166</f>
        <v>0</v>
      </c>
      <c r="I149" s="38"/>
      <c r="J149" s="344">
        <v>384</v>
      </c>
      <c r="K149" s="58" t="s">
        <v>124</v>
      </c>
      <c r="L149" s="569">
        <f t="shared" si="17"/>
        <v>0</v>
      </c>
      <c r="P149" s="315"/>
      <c r="W149" s="3" t="b">
        <f t="shared" si="15"/>
        <v>1</v>
      </c>
      <c r="X149" s="566">
        <f t="shared" si="12"/>
        <v>0</v>
      </c>
      <c r="Y149" s="566">
        <f t="shared" si="13"/>
        <v>0</v>
      </c>
    </row>
    <row r="150" spans="1:25" ht="86.4" x14ac:dyDescent="0.3">
      <c r="A150" s="333">
        <f>+'Unit Data from Audit Worksheet'!A167</f>
        <v>361</v>
      </c>
      <c r="B150" s="333" t="str">
        <f>+'Unit Data from Audit Worksheet'!C167</f>
        <v>Electric Fund Net Position Statement</v>
      </c>
      <c r="C150" s="333"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3">
        <f>+'Unit Data from Audit Worksheet'!F167</f>
        <v>0</v>
      </c>
      <c r="F150" s="346"/>
      <c r="G150" s="348"/>
      <c r="H150" s="345">
        <f>'Unit Data from Audit Worksheet'!I167</f>
        <v>0</v>
      </c>
      <c r="I150" s="38"/>
      <c r="J150" s="344">
        <v>361</v>
      </c>
      <c r="K150" s="343" t="s">
        <v>106</v>
      </c>
      <c r="L150" s="569">
        <f t="shared" si="17"/>
        <v>0</v>
      </c>
      <c r="P150" s="315"/>
      <c r="W150" s="3" t="b">
        <f t="shared" si="15"/>
        <v>1</v>
      </c>
      <c r="X150" s="566">
        <f t="shared" si="12"/>
        <v>0</v>
      </c>
      <c r="Y150" s="566">
        <f t="shared" si="13"/>
        <v>0</v>
      </c>
    </row>
    <row r="151" spans="1:25" ht="46.5" customHeight="1" x14ac:dyDescent="0.3">
      <c r="A151" s="333">
        <f>'Unit Data from Audit Worksheet'!A168</f>
        <v>362</v>
      </c>
      <c r="B151" s="347" t="str">
        <f>'Unit Data from Audit Worksheet'!C168</f>
        <v>Electric Fund Net Position Statement</v>
      </c>
      <c r="C151" s="332" t="str">
        <f>'Unit Data from Audit Worksheet'!D168</f>
        <v>Total net position</v>
      </c>
      <c r="D151" s="144"/>
      <c r="E151" s="353">
        <f>'Unit Data from Audit Worksheet'!F168</f>
        <v>0</v>
      </c>
      <c r="F151" s="346">
        <f>IF(L140-L141-L151=0,,"Error: Total assets less total liabilities do not equal net position acct 382-360-362=0")</f>
        <v>0</v>
      </c>
      <c r="G151" s="91">
        <f>+L140-L141-L151</f>
        <v>0</v>
      </c>
      <c r="H151" s="345">
        <f>'Unit Data from Audit Worksheet'!I168</f>
        <v>0</v>
      </c>
      <c r="I151" s="38"/>
      <c r="J151" s="344">
        <v>362</v>
      </c>
      <c r="K151" s="343" t="s">
        <v>107</v>
      </c>
      <c r="L151" s="569">
        <f t="shared" si="17"/>
        <v>0</v>
      </c>
      <c r="O151" s="577" t="e">
        <f>'Unit Data from Audit Worksheet'!E168</f>
        <v>#N/A</v>
      </c>
      <c r="P151" s="315"/>
      <c r="Q151" s="559">
        <f>IF(+L140-L141-L151=0,0,1)</f>
        <v>0</v>
      </c>
      <c r="W151" s="3" t="b">
        <f t="shared" si="15"/>
        <v>1</v>
      </c>
      <c r="X151" s="566">
        <f t="shared" si="12"/>
        <v>0</v>
      </c>
      <c r="Y151" s="566">
        <f t="shared" si="13"/>
        <v>0</v>
      </c>
    </row>
    <row r="152" spans="1:25" ht="61.5" customHeight="1" x14ac:dyDescent="0.3">
      <c r="A152" s="333">
        <f>'Unit Data from Audit Worksheet'!A171</f>
        <v>88</v>
      </c>
      <c r="B152" s="347" t="str">
        <f>'Unit Data from Audit Worksheet'!C171</f>
        <v>Water Sewer Revenue, Expenses &amp; Changes in Fund Net Position</v>
      </c>
      <c r="C152" s="332" t="str">
        <f>'Unit Data from Audit Worksheet'!D171</f>
        <v>Charges for services. 
Exclude tap, capacity fees and other misc. income .</v>
      </c>
      <c r="D152" s="144"/>
      <c r="E152" s="353">
        <f>'Unit Data from Audit Worksheet'!F171</f>
        <v>0</v>
      </c>
      <c r="F152" s="346"/>
      <c r="G152" s="348"/>
      <c r="H152" s="345">
        <f>'Unit Data from Audit Worksheet'!I171</f>
        <v>0</v>
      </c>
      <c r="I152" s="38"/>
      <c r="J152" s="344">
        <v>88</v>
      </c>
      <c r="K152" s="343" t="s">
        <v>226</v>
      </c>
      <c r="L152" s="569">
        <f t="shared" si="17"/>
        <v>0</v>
      </c>
      <c r="P152" s="315"/>
      <c r="Q152" s="349"/>
      <c r="W152" s="3" t="b">
        <f t="shared" si="15"/>
        <v>1</v>
      </c>
      <c r="X152" s="566">
        <f t="shared" si="12"/>
        <v>0</v>
      </c>
      <c r="Y152" s="566">
        <f t="shared" si="13"/>
        <v>0</v>
      </c>
    </row>
    <row r="153" spans="1:25" ht="72" customHeight="1" x14ac:dyDescent="0.3">
      <c r="A153" s="333">
        <f>'Unit Data from Audit Worksheet'!A172</f>
        <v>84</v>
      </c>
      <c r="B153" s="347" t="str">
        <f>'Unit Data from Audit Worksheet'!C172</f>
        <v>Water Sewer Revenue, Expenses &amp; Changes in Fund Net Position</v>
      </c>
      <c r="C153" s="332" t="str">
        <f>'Unit Data from Audit Worksheet'!D172</f>
        <v>Total Operating revenues</v>
      </c>
      <c r="D153" s="144"/>
      <c r="E153" s="353">
        <f>'Unit Data from Audit Worksheet'!F172</f>
        <v>0</v>
      </c>
      <c r="F153" s="346" t="str">
        <f>IF(L152&gt;L153,"Error: Charges for services exceed total operating revenues. Acct # 88&gt;84"," ")</f>
        <v xml:space="preserve"> </v>
      </c>
      <c r="G153" s="348" t="str">
        <f>IF(Q153=1," Included in error count"," ")</f>
        <v xml:space="preserve"> </v>
      </c>
      <c r="H153" s="345">
        <f>'Unit Data from Audit Worksheet'!I172</f>
        <v>0</v>
      </c>
      <c r="I153" s="38"/>
      <c r="J153" s="344">
        <v>84</v>
      </c>
      <c r="K153" s="343" t="s">
        <v>227</v>
      </c>
      <c r="L153" s="569">
        <f t="shared" si="17"/>
        <v>0</v>
      </c>
      <c r="P153" s="315"/>
      <c r="Q153" s="559">
        <f>IF(L152&gt;L153,1,0)</f>
        <v>0</v>
      </c>
      <c r="W153" s="3" t="b">
        <f t="shared" si="15"/>
        <v>1</v>
      </c>
      <c r="X153" s="566">
        <f t="shared" si="12"/>
        <v>0</v>
      </c>
      <c r="Y153" s="566">
        <f t="shared" si="13"/>
        <v>0</v>
      </c>
    </row>
    <row r="154" spans="1:25" ht="72" customHeight="1" x14ac:dyDescent="0.3">
      <c r="A154" s="333">
        <f>'Unit Data from Audit Worksheet'!A173</f>
        <v>49</v>
      </c>
      <c r="B154" s="347" t="str">
        <f>'Unit Data from Audit Worksheet'!C173</f>
        <v>Water Sewer Revenue, Expenses &amp; Changes in Fund Net Position</v>
      </c>
      <c r="C154" s="332" t="str">
        <f>'Unit Data from Audit Worksheet'!D173</f>
        <v>Depreciation and amortization expense</v>
      </c>
      <c r="D154" s="144"/>
      <c r="E154" s="353">
        <f>'Unit Data from Audit Worksheet'!F173</f>
        <v>0</v>
      </c>
      <c r="F154" s="346">
        <f>IF(L154&lt;0,"Error: Number is normally positive.",)</f>
        <v>0</v>
      </c>
      <c r="G154" s="348"/>
      <c r="H154" s="345">
        <f>'Unit Data from Audit Worksheet'!I173</f>
        <v>0</v>
      </c>
      <c r="I154" s="38"/>
      <c r="J154" s="344">
        <v>49</v>
      </c>
      <c r="K154" s="343" t="s">
        <v>228</v>
      </c>
      <c r="L154" s="569">
        <f t="shared" si="17"/>
        <v>0</v>
      </c>
      <c r="O154" s="577"/>
      <c r="P154" s="315"/>
      <c r="W154" s="3" t="b">
        <f t="shared" si="15"/>
        <v>1</v>
      </c>
      <c r="X154" s="566">
        <f t="shared" si="12"/>
        <v>0</v>
      </c>
      <c r="Y154" s="566">
        <f t="shared" si="13"/>
        <v>0</v>
      </c>
    </row>
    <row r="155" spans="1:25" ht="48" customHeight="1" x14ac:dyDescent="0.3">
      <c r="A155" s="333">
        <f>'Unit Data from Audit Worksheet'!A174</f>
        <v>85</v>
      </c>
      <c r="B155" s="347" t="str">
        <f>'Unit Data from Audit Worksheet'!C174</f>
        <v>Water Sewer Revenue, Expenses &amp; Changes in Fund Net Position</v>
      </c>
      <c r="C155" s="332" t="str">
        <f>'Unit Data from Audit Worksheet'!D174</f>
        <v>Total Operating expenses</v>
      </c>
      <c r="D155" s="144"/>
      <c r="E155" s="353">
        <f>'Unit Data from Audit Worksheet'!F174</f>
        <v>0</v>
      </c>
      <c r="F155" s="346"/>
      <c r="G155" s="348"/>
      <c r="H155" s="345">
        <f>'Unit Data from Audit Worksheet'!I174</f>
        <v>0</v>
      </c>
      <c r="I155" s="38"/>
      <c r="J155" s="344">
        <v>85</v>
      </c>
      <c r="K155" s="343" t="s">
        <v>229</v>
      </c>
      <c r="L155" s="569">
        <f t="shared" si="17"/>
        <v>0</v>
      </c>
      <c r="P155" s="315"/>
      <c r="W155" s="3" t="b">
        <f t="shared" si="15"/>
        <v>1</v>
      </c>
      <c r="X155" s="566">
        <f t="shared" si="12"/>
        <v>0</v>
      </c>
      <c r="Y155" s="566">
        <f t="shared" si="13"/>
        <v>0</v>
      </c>
    </row>
    <row r="156" spans="1:25" ht="48" customHeight="1" x14ac:dyDescent="0.3">
      <c r="A156" s="333">
        <f>'Unit Data from Audit Worksheet'!A175</f>
        <v>89</v>
      </c>
      <c r="B156" s="347" t="str">
        <f>'Unit Data from Audit Worksheet'!C175</f>
        <v>Water Sewer Revenue, Expenses &amp; Changes in Fund Net Position</v>
      </c>
      <c r="C156" s="332" t="str">
        <f>'Unit Data from Audit Worksheet'!D175</f>
        <v>Interest expense</v>
      </c>
      <c r="D156" s="144"/>
      <c r="E156" s="353">
        <f>'Unit Data from Audit Worksheet'!F175</f>
        <v>0</v>
      </c>
      <c r="F156" s="346"/>
      <c r="G156" s="348"/>
      <c r="H156" s="345">
        <f>'Unit Data from Audit Worksheet'!I175</f>
        <v>0</v>
      </c>
      <c r="I156" s="38"/>
      <c r="J156" s="344">
        <v>89</v>
      </c>
      <c r="K156" s="343" t="s">
        <v>230</v>
      </c>
      <c r="L156" s="569">
        <f t="shared" si="17"/>
        <v>0</v>
      </c>
      <c r="P156" s="315"/>
      <c r="W156" s="3" t="b">
        <f t="shared" si="15"/>
        <v>1</v>
      </c>
      <c r="X156" s="566">
        <f t="shared" si="12"/>
        <v>0</v>
      </c>
      <c r="Y156" s="566">
        <f t="shared" si="13"/>
        <v>0</v>
      </c>
    </row>
    <row r="157" spans="1:25" ht="48" customHeight="1" x14ac:dyDescent="0.3">
      <c r="A157" s="333">
        <f>'Unit Data from Audit Worksheet'!A176</f>
        <v>350</v>
      </c>
      <c r="B157" s="347" t="str">
        <f>'Unit Data from Audit Worksheet'!C176</f>
        <v>Water Sewer Revenue, Expenses &amp; Changes in Fund Net Position</v>
      </c>
      <c r="C157" s="332" t="str">
        <f>'Unit Data from Audit Worksheet'!D176</f>
        <v>Total all non-operating revenues  
Exclude Capital contributions.</v>
      </c>
      <c r="D157" s="144"/>
      <c r="E157" s="353">
        <f>'Unit Data from Audit Worksheet'!F176</f>
        <v>0</v>
      </c>
      <c r="F157" s="346"/>
      <c r="G157" s="348"/>
      <c r="H157" s="345">
        <f>'Unit Data from Audit Worksheet'!I176</f>
        <v>0</v>
      </c>
      <c r="I157" s="38"/>
      <c r="J157" s="344">
        <v>350</v>
      </c>
      <c r="K157" s="343" t="s">
        <v>231</v>
      </c>
      <c r="L157" s="569">
        <f t="shared" si="17"/>
        <v>0</v>
      </c>
      <c r="P157" s="315"/>
      <c r="W157" s="3" t="b">
        <f t="shared" si="15"/>
        <v>1</v>
      </c>
      <c r="X157" s="566">
        <f t="shared" si="12"/>
        <v>0</v>
      </c>
      <c r="Y157" s="566">
        <f t="shared" si="13"/>
        <v>0</v>
      </c>
    </row>
    <row r="158" spans="1:25" ht="48" customHeight="1" x14ac:dyDescent="0.3">
      <c r="A158" s="333">
        <f>'Unit Data from Audit Worksheet'!A177</f>
        <v>351</v>
      </c>
      <c r="B158" s="347" t="str">
        <f>'Unit Data from Audit Worksheet'!C177</f>
        <v>Water Sewer Revenue, Expenses &amp; Changes in Fund Net Position</v>
      </c>
      <c r="C158" s="332" t="str">
        <f>'Unit Data from Audit Worksheet'!D177</f>
        <v>Total all non-operating expenses.  
Include any negative special, extraordinary, or capital contribution.</v>
      </c>
      <c r="D158" s="144"/>
      <c r="E158" s="353">
        <f>'Unit Data from Audit Worksheet'!F177</f>
        <v>0</v>
      </c>
      <c r="F158" s="346"/>
      <c r="G158" s="348"/>
      <c r="H158" s="345">
        <f>'Unit Data from Audit Worksheet'!I177</f>
        <v>0</v>
      </c>
      <c r="I158" s="38"/>
      <c r="J158" s="344">
        <v>351</v>
      </c>
      <c r="K158" s="343" t="s">
        <v>232</v>
      </c>
      <c r="L158" s="569">
        <f t="shared" si="17"/>
        <v>0</v>
      </c>
      <c r="P158" s="315"/>
      <c r="W158" s="3" t="b">
        <f t="shared" si="15"/>
        <v>1</v>
      </c>
      <c r="X158" s="566">
        <f t="shared" si="12"/>
        <v>0</v>
      </c>
      <c r="Y158" s="566">
        <f t="shared" si="13"/>
        <v>0</v>
      </c>
    </row>
    <row r="159" spans="1:25" ht="57.6" x14ac:dyDescent="0.3">
      <c r="A159" s="333">
        <f>'Unit Data from Audit Worksheet'!A178</f>
        <v>191</v>
      </c>
      <c r="B159" s="347" t="str">
        <f>'Unit Data from Audit Worksheet'!C178</f>
        <v>Water Sewer Revenue, Expenses &amp; Changes in Fund Net Position</v>
      </c>
      <c r="C159" s="332" t="str">
        <f>'Unit Data from Audit Worksheet'!D178</f>
        <v>Capital contributions. Only include positive capital contributions.  Negative capital contributions should be included with 'Total all non-operating expenses.'</v>
      </c>
      <c r="D159" s="144"/>
      <c r="E159" s="353">
        <f>'Unit Data from Audit Worksheet'!F178</f>
        <v>0</v>
      </c>
      <c r="F159" s="346">
        <f>IF(L159&lt;0,"Error: Enter as a positive.",)</f>
        <v>0</v>
      </c>
      <c r="G159" s="348"/>
      <c r="H159" s="345">
        <f>'Unit Data from Audit Worksheet'!I178</f>
        <v>0</v>
      </c>
      <c r="I159" s="38"/>
      <c r="J159" s="344">
        <v>191</v>
      </c>
      <c r="K159" s="343" t="s">
        <v>233</v>
      </c>
      <c r="L159" s="569">
        <f t="shared" si="17"/>
        <v>0</v>
      </c>
      <c r="P159" s="315"/>
      <c r="W159" s="3" t="b">
        <f t="shared" si="15"/>
        <v>1</v>
      </c>
      <c r="X159" s="566">
        <f t="shared" si="12"/>
        <v>0</v>
      </c>
      <c r="Y159" s="566">
        <f t="shared" si="13"/>
        <v>0</v>
      </c>
    </row>
    <row r="160" spans="1:25" ht="47.25" customHeight="1" x14ac:dyDescent="0.3">
      <c r="A160" s="333">
        <f>'Unit Data from Audit Worksheet'!A179</f>
        <v>352</v>
      </c>
      <c r="B160" s="347" t="str">
        <f>'Unit Data from Audit Worksheet'!C179</f>
        <v>Water Sewer Revenue, Expenses &amp; Changes in Fund Net Position</v>
      </c>
      <c r="C160" s="332" t="str">
        <f>'Unit Data from Audit Worksheet'!D179</f>
        <v>Total Transfers in - all funds (operating and capital)</v>
      </c>
      <c r="D160" s="144"/>
      <c r="E160" s="353">
        <f>'Unit Data from Audit Worksheet'!F179</f>
        <v>0</v>
      </c>
      <c r="F160" s="346"/>
      <c r="G160" s="348"/>
      <c r="H160" s="345">
        <f>'Unit Data from Audit Worksheet'!I179</f>
        <v>0</v>
      </c>
      <c r="I160" s="38"/>
      <c r="J160" s="344">
        <v>352</v>
      </c>
      <c r="K160" s="343" t="s">
        <v>234</v>
      </c>
      <c r="L160" s="569">
        <f t="shared" si="17"/>
        <v>0</v>
      </c>
      <c r="P160" s="315"/>
      <c r="W160" s="3" t="b">
        <f t="shared" si="15"/>
        <v>1</v>
      </c>
      <c r="X160" s="566">
        <f t="shared" si="12"/>
        <v>0</v>
      </c>
      <c r="Y160" s="566">
        <f t="shared" si="13"/>
        <v>0</v>
      </c>
    </row>
    <row r="161" spans="1:25" ht="70.5" customHeight="1" x14ac:dyDescent="0.3">
      <c r="A161" s="585">
        <f>'Unit Data from Audit Worksheet'!A180</f>
        <v>986</v>
      </c>
      <c r="B161" s="351" t="str">
        <f>'Unit Data from Audit Worksheet'!C180</f>
        <v>Water Sewer Revenue, Expenses &amp; Changes in Fund Net Position</v>
      </c>
      <c r="C161" s="586" t="str">
        <f>'Unit Data from Audit Worksheet'!D180</f>
        <v>Of the transfers-in above in acct # 352, list amount of transfers-in that were used to support Water Sewer operations  (exclude capital transfers)</v>
      </c>
      <c r="D161" s="144"/>
      <c r="E161" s="353">
        <f>'Unit Data from Audit Worksheet'!F180</f>
        <v>0</v>
      </c>
      <c r="F161" s="346"/>
      <c r="G161" s="348"/>
      <c r="H161" s="345"/>
      <c r="I161" s="38"/>
      <c r="J161" s="362">
        <v>986</v>
      </c>
      <c r="K161" s="586" t="s">
        <v>1015</v>
      </c>
      <c r="L161" s="587">
        <f t="shared" si="17"/>
        <v>0</v>
      </c>
      <c r="P161" s="315"/>
      <c r="W161" s="3" t="b">
        <f t="shared" si="15"/>
        <v>1</v>
      </c>
      <c r="X161" s="566"/>
      <c r="Y161" s="566"/>
    </row>
    <row r="162" spans="1:25" ht="47.25" customHeight="1" x14ac:dyDescent="0.3">
      <c r="A162" s="333">
        <f>'Unit Data from Audit Worksheet'!A181</f>
        <v>353</v>
      </c>
      <c r="B162" s="347" t="str">
        <f>'Unit Data from Audit Worksheet'!C181</f>
        <v>Water Sewer Revenue, Expenses &amp; Changes in Fund Net Position</v>
      </c>
      <c r="C162" s="332" t="str">
        <f>'Unit Data from Audit Worksheet'!D181</f>
        <v>Total Transfers out</v>
      </c>
      <c r="D162" s="144"/>
      <c r="E162" s="353">
        <f>'Unit Data from Audit Worksheet'!F181</f>
        <v>0</v>
      </c>
      <c r="F162" s="346">
        <f>IF(L162&lt;0,"Error: Enter as a positive.",)</f>
        <v>0</v>
      </c>
      <c r="G162" s="348"/>
      <c r="H162" s="345">
        <f>'Unit Data from Audit Worksheet'!I181</f>
        <v>0</v>
      </c>
      <c r="I162" s="38"/>
      <c r="J162" s="40">
        <v>353</v>
      </c>
      <c r="K162" s="343" t="s">
        <v>235</v>
      </c>
      <c r="L162" s="569">
        <f t="shared" si="17"/>
        <v>0</v>
      </c>
      <c r="P162" s="319"/>
      <c r="W162" s="3" t="b">
        <f t="shared" si="15"/>
        <v>1</v>
      </c>
      <c r="X162" s="566">
        <f t="shared" si="12"/>
        <v>0</v>
      </c>
      <c r="Y162" s="566">
        <f t="shared" si="13"/>
        <v>0</v>
      </c>
    </row>
    <row r="163" spans="1:25" ht="72.75" customHeight="1" x14ac:dyDescent="0.3">
      <c r="A163" s="333">
        <f>'Unit Data from Audit Worksheet'!A182</f>
        <v>50</v>
      </c>
      <c r="B163" s="347" t="str">
        <f>'Unit Data from Audit Worksheet'!C182</f>
        <v>Water Sewer Revenue, Expenses &amp; Changes in Fund Net Position</v>
      </c>
      <c r="C163" s="332" t="str">
        <f>'Unit Data from Audit Worksheet'!D182</f>
        <v>Change in net position - Increase in net position is recorded as a positive and a (Decrease) in net position is recorded as a negative.</v>
      </c>
      <c r="D163" s="144"/>
      <c r="E163" s="149">
        <f>'Unit Data from Audit Worksheet'!F182</f>
        <v>0</v>
      </c>
      <c r="F163" s="346">
        <f>IF(L153-L155+L157-L158+L160+L159-L162-L163=0,,"Error:Total revenues less total expenses do not equal total change in net position. Acct # 84-85+350-351+191+352-353-50")</f>
        <v>0</v>
      </c>
      <c r="G163" s="91">
        <f>+L153-L155+L157-L158+L160+L159-L162-L163</f>
        <v>0</v>
      </c>
      <c r="H163" s="345">
        <f>'Unit Data from Audit Worksheet'!I182</f>
        <v>0</v>
      </c>
      <c r="I163" s="38"/>
      <c r="J163" s="344">
        <v>50</v>
      </c>
      <c r="K163" s="343" t="s">
        <v>100</v>
      </c>
      <c r="L163" s="569">
        <f t="shared" si="17"/>
        <v>0</v>
      </c>
      <c r="P163" s="315"/>
      <c r="Q163" s="559">
        <f>IF(G163&lt;&gt;0,1,0)</f>
        <v>0</v>
      </c>
      <c r="W163" s="3" t="b">
        <f t="shared" si="15"/>
        <v>1</v>
      </c>
      <c r="X163" s="566">
        <f t="shared" si="12"/>
        <v>0</v>
      </c>
      <c r="Y163" s="566">
        <f t="shared" si="13"/>
        <v>0</v>
      </c>
    </row>
    <row r="164" spans="1:25" ht="144" customHeight="1" x14ac:dyDescent="0.3">
      <c r="A164" s="333">
        <f>'Unit Data from Audit Worksheet'!A183</f>
        <v>377</v>
      </c>
      <c r="B164" s="347" t="str">
        <f>'Unit Data from Audit Worksheet'!C183</f>
        <v>Water Sewer Revenue, Expenses &amp; Changes in Fund Net Position</v>
      </c>
      <c r="C164" s="332"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5">
        <f>'Unit Data from Audit Worksheet'!I183</f>
        <v>0</v>
      </c>
      <c r="I164" s="38"/>
      <c r="J164" s="344">
        <v>377</v>
      </c>
      <c r="K164" s="343" t="s">
        <v>109</v>
      </c>
      <c r="L164" s="569">
        <f t="shared" si="17"/>
        <v>0</v>
      </c>
      <c r="P164" s="315"/>
      <c r="Q164" s="559" t="e">
        <f>IF(G164&lt;&gt;0,1,0)</f>
        <v>#N/A</v>
      </c>
      <c r="W164" s="3" t="b">
        <f t="shared" si="15"/>
        <v>1</v>
      </c>
      <c r="X164" s="566">
        <f t="shared" si="12"/>
        <v>0</v>
      </c>
      <c r="Y164" s="566">
        <f t="shared" si="13"/>
        <v>0</v>
      </c>
    </row>
    <row r="165" spans="1:25" ht="63" customHeight="1" x14ac:dyDescent="0.3">
      <c r="A165" s="594">
        <f>'Unit Data from Audit Worksheet'!A184</f>
        <v>537</v>
      </c>
      <c r="B165" s="347" t="str">
        <f>'Unit Data from Audit Worksheet'!C184</f>
        <v>Water Sewer Revenue, Expenses &amp; Changes in Fund Net Position</v>
      </c>
      <c r="C165" s="332" t="str">
        <f>'Unit Data from Audit Worksheet'!D184</f>
        <v>Did unit raise Water Sewer rates during the audited fiscal period? - answer Yes or No</v>
      </c>
      <c r="D165" s="139"/>
      <c r="E165" s="353">
        <f>'Unit Data from Audit Worksheet'!F184</f>
        <v>0</v>
      </c>
      <c r="F165" s="346" t="s">
        <v>550</v>
      </c>
      <c r="G165" s="348"/>
      <c r="H165" s="345">
        <f>'Unit Data from Audit Worksheet'!I184</f>
        <v>0</v>
      </c>
      <c r="I165" s="38"/>
      <c r="J165" s="67">
        <v>537</v>
      </c>
      <c r="K165" s="65" t="s">
        <v>291</v>
      </c>
      <c r="L165" s="595">
        <f>IF(E165="Yes",1,IF(E165="No",2,0))</f>
        <v>0</v>
      </c>
      <c r="N165" s="61" t="s">
        <v>540</v>
      </c>
      <c r="P165" s="320"/>
      <c r="W165" s="3" t="b">
        <f t="shared" ref="W165:W196" si="19">EXACT(A165,J165)</f>
        <v>1</v>
      </c>
      <c r="X165" s="566">
        <f t="shared" si="12"/>
        <v>0</v>
      </c>
      <c r="Y165" s="566">
        <f t="shared" si="13"/>
        <v>0</v>
      </c>
    </row>
    <row r="166" spans="1:25" ht="63.75" customHeight="1" x14ac:dyDescent="0.3">
      <c r="A166" s="594">
        <f>'Unit Data from Audit Worksheet'!A185</f>
        <v>538</v>
      </c>
      <c r="B166" s="347" t="str">
        <f>'Unit Data from Audit Worksheet'!C185</f>
        <v>Water Sewer Revenue, Expenses &amp; Changes in Fund Net Position</v>
      </c>
      <c r="C166" s="332" t="str">
        <f>'Unit Data from Audit Worksheet'!D185</f>
        <v>Did unit raise Water Sewer rates during the budget year following the audited fiscal year? - answer Yes or No</v>
      </c>
      <c r="D166" s="139"/>
      <c r="E166" s="353">
        <f>'Unit Data from Audit Worksheet'!F185</f>
        <v>0</v>
      </c>
      <c r="F166" s="346" t="s">
        <v>550</v>
      </c>
      <c r="G166" s="348"/>
      <c r="H166" s="345">
        <f>'Unit Data from Audit Worksheet'!I185</f>
        <v>0</v>
      </c>
      <c r="I166" s="38"/>
      <c r="J166" s="67">
        <v>538</v>
      </c>
      <c r="K166" s="65" t="s">
        <v>290</v>
      </c>
      <c r="L166" s="595">
        <f>IF(E166="Yes",1,IF(E166="No",2,0))</f>
        <v>0</v>
      </c>
      <c r="N166" s="61" t="s">
        <v>540</v>
      </c>
      <c r="P166" s="320"/>
      <c r="W166" s="3" t="b">
        <f t="shared" si="19"/>
        <v>1</v>
      </c>
      <c r="X166" s="566">
        <f t="shared" si="12"/>
        <v>0</v>
      </c>
      <c r="Y166" s="566">
        <f t="shared" si="13"/>
        <v>0</v>
      </c>
    </row>
    <row r="167" spans="1:25" ht="47.25" customHeight="1" x14ac:dyDescent="0.3">
      <c r="A167" s="333">
        <f>'Unit Data from Audit Worksheet'!A187</f>
        <v>97</v>
      </c>
      <c r="B167" s="347" t="str">
        <f>'Unit Data from Audit Worksheet'!C187</f>
        <v>Electric Fund Revenue, Expenses &amp; Changes in Fund Net Position</v>
      </c>
      <c r="C167" s="332" t="str">
        <f>'Unit Data from Audit Worksheet'!D187</f>
        <v>Charges for services</v>
      </c>
      <c r="D167" s="352"/>
      <c r="E167" s="353">
        <f>'Unit Data from Audit Worksheet'!F187</f>
        <v>0</v>
      </c>
      <c r="F167" s="346">
        <f>IF(L167&lt;0,"Error: Enter as a positive.",)</f>
        <v>0</v>
      </c>
      <c r="G167" s="348"/>
      <c r="H167" s="345">
        <f>'Unit Data from Audit Worksheet'!I187</f>
        <v>0</v>
      </c>
      <c r="I167" s="38"/>
      <c r="J167" s="344">
        <v>97</v>
      </c>
      <c r="K167" s="343" t="s">
        <v>236</v>
      </c>
      <c r="L167" s="569">
        <f t="shared" ref="L167:L234" si="20">IF(D167="",E167,D167)</f>
        <v>0</v>
      </c>
      <c r="P167" s="315"/>
      <c r="W167" s="3" t="b">
        <f t="shared" si="19"/>
        <v>1</v>
      </c>
      <c r="X167" s="566">
        <f t="shared" si="12"/>
        <v>0</v>
      </c>
      <c r="Y167" s="566">
        <f t="shared" si="13"/>
        <v>0</v>
      </c>
    </row>
    <row r="168" spans="1:25" ht="45.75" customHeight="1" x14ac:dyDescent="0.3">
      <c r="A168" s="333">
        <f>'Unit Data from Audit Worksheet'!A188</f>
        <v>93</v>
      </c>
      <c r="B168" s="347" t="str">
        <f>'Unit Data from Audit Worksheet'!C188</f>
        <v>Electric Fund Revenue, Expenses &amp; Changes in Fund Net Position</v>
      </c>
      <c r="C168" s="332" t="str">
        <f>'Unit Data from Audit Worksheet'!D188</f>
        <v>Total Operating revenues</v>
      </c>
      <c r="D168" s="352"/>
      <c r="E168" s="353">
        <f>'Unit Data from Audit Worksheet'!F188</f>
        <v>0</v>
      </c>
      <c r="F168" s="346" t="str">
        <f>IF(L167&gt;L168,"Error: Charges for services exceeds total operating revenues Acct 97&gt;=93"," ")</f>
        <v xml:space="preserve"> </v>
      </c>
      <c r="G168" s="348" t="str">
        <f>IF(Q168=1," Included in error count"," ")</f>
        <v xml:space="preserve"> </v>
      </c>
      <c r="H168" s="345">
        <f>'Unit Data from Audit Worksheet'!I188</f>
        <v>0</v>
      </c>
      <c r="I168" s="38"/>
      <c r="J168" s="344">
        <v>93</v>
      </c>
      <c r="K168" s="343" t="s">
        <v>237</v>
      </c>
      <c r="L168" s="569">
        <f t="shared" si="20"/>
        <v>0</v>
      </c>
      <c r="P168" s="315"/>
      <c r="Q168" s="559">
        <f>IF(L167&gt;L168,1,0)</f>
        <v>0</v>
      </c>
      <c r="W168" s="3" t="b">
        <f t="shared" si="19"/>
        <v>1</v>
      </c>
      <c r="X168" s="566">
        <f t="shared" si="12"/>
        <v>0</v>
      </c>
      <c r="Y168" s="566">
        <f t="shared" si="13"/>
        <v>0</v>
      </c>
    </row>
    <row r="169" spans="1:25" ht="45.75" customHeight="1" x14ac:dyDescent="0.3">
      <c r="A169" s="333">
        <f>'Unit Data from Audit Worksheet'!A189</f>
        <v>99</v>
      </c>
      <c r="B169" s="347" t="str">
        <f>'Unit Data from Audit Worksheet'!C189</f>
        <v>Electric Fund Revenue, Expenses &amp; Changes in Fund Net Position</v>
      </c>
      <c r="C169" s="332" t="str">
        <f>'Unit Data from Audit Worksheet'!D189</f>
        <v>Electrical power purchases</v>
      </c>
      <c r="D169" s="352"/>
      <c r="E169" s="353">
        <f>'Unit Data from Audit Worksheet'!F189</f>
        <v>0</v>
      </c>
      <c r="F169" s="346">
        <f>IF(L169&lt;0,"Error: Enter as a positive.",)</f>
        <v>0</v>
      </c>
      <c r="G169" s="348"/>
      <c r="H169" s="345">
        <f>'Unit Data from Audit Worksheet'!I189</f>
        <v>0</v>
      </c>
      <c r="I169" s="38"/>
      <c r="J169" s="344">
        <v>99</v>
      </c>
      <c r="K169" s="343" t="s">
        <v>238</v>
      </c>
      <c r="L169" s="569">
        <f t="shared" si="20"/>
        <v>0</v>
      </c>
      <c r="P169" s="315"/>
      <c r="W169" s="3" t="b">
        <f t="shared" si="19"/>
        <v>1</v>
      </c>
      <c r="X169" s="566">
        <f t="shared" si="12"/>
        <v>0</v>
      </c>
      <c r="Y169" s="566">
        <f t="shared" si="13"/>
        <v>0</v>
      </c>
    </row>
    <row r="170" spans="1:25" ht="45.75" customHeight="1" x14ac:dyDescent="0.3">
      <c r="A170" s="333">
        <f>'Unit Data from Audit Worksheet'!A190</f>
        <v>52</v>
      </c>
      <c r="B170" s="347" t="str">
        <f>'Unit Data from Audit Worksheet'!C190</f>
        <v>Electric Fund Revenue, Expenses &amp; Changes in Fund Net Position</v>
      </c>
      <c r="C170" s="332" t="str">
        <f>'Unit Data from Audit Worksheet'!D190</f>
        <v>Depreciation and amortization expense</v>
      </c>
      <c r="D170" s="352"/>
      <c r="E170" s="353">
        <f>'Unit Data from Audit Worksheet'!F190</f>
        <v>0</v>
      </c>
      <c r="F170" s="346">
        <f>IF(L170&lt;0,"Error: Enter as a positive.",)</f>
        <v>0</v>
      </c>
      <c r="G170" s="348"/>
      <c r="H170" s="345">
        <f>'Unit Data from Audit Worksheet'!I190</f>
        <v>0</v>
      </c>
      <c r="I170" s="38"/>
      <c r="J170" s="344">
        <v>52</v>
      </c>
      <c r="K170" s="343" t="s">
        <v>239</v>
      </c>
      <c r="L170" s="569">
        <f t="shared" si="20"/>
        <v>0</v>
      </c>
      <c r="P170" s="315"/>
      <c r="W170" s="3" t="b">
        <f t="shared" si="19"/>
        <v>1</v>
      </c>
      <c r="X170" s="566">
        <f t="shared" si="12"/>
        <v>0</v>
      </c>
      <c r="Y170" s="566">
        <f t="shared" si="13"/>
        <v>0</v>
      </c>
    </row>
    <row r="171" spans="1:25" ht="45.75" customHeight="1" x14ac:dyDescent="0.3">
      <c r="A171" s="333">
        <f>'Unit Data from Audit Worksheet'!A191</f>
        <v>94</v>
      </c>
      <c r="B171" s="347" t="str">
        <f>'Unit Data from Audit Worksheet'!C191</f>
        <v>Electric Fund Revenue, Expenses &amp; Changes in Fund Net Position</v>
      </c>
      <c r="C171" s="332" t="str">
        <f>'Unit Data from Audit Worksheet'!D191</f>
        <v>Total Operating expenses</v>
      </c>
      <c r="D171" s="352"/>
      <c r="E171" s="353">
        <f>'Unit Data from Audit Worksheet'!F191</f>
        <v>0</v>
      </c>
      <c r="F171" s="346">
        <f>IF(L171&lt;0,"Error: Enter as a positive.",)</f>
        <v>0</v>
      </c>
      <c r="G171" s="348"/>
      <c r="H171" s="345">
        <f>'Unit Data from Audit Worksheet'!I191</f>
        <v>0</v>
      </c>
      <c r="I171" s="38"/>
      <c r="J171" s="344">
        <v>94</v>
      </c>
      <c r="K171" s="343" t="s">
        <v>240</v>
      </c>
      <c r="L171" s="569">
        <f t="shared" si="20"/>
        <v>0</v>
      </c>
      <c r="P171" s="315"/>
      <c r="W171" s="3" t="b">
        <f t="shared" si="19"/>
        <v>1</v>
      </c>
      <c r="X171" s="566">
        <f t="shared" si="12"/>
        <v>0</v>
      </c>
      <c r="Y171" s="566">
        <f t="shared" si="13"/>
        <v>0</v>
      </c>
    </row>
    <row r="172" spans="1:25" ht="46.5" customHeight="1" x14ac:dyDescent="0.3">
      <c r="A172" s="333">
        <f>'Unit Data from Audit Worksheet'!A192</f>
        <v>98</v>
      </c>
      <c r="B172" s="347" t="str">
        <f>'Unit Data from Audit Worksheet'!C192</f>
        <v>Electric Fund Revenue, Expenses &amp; Changes in Fund Net Position</v>
      </c>
      <c r="C172" s="332" t="str">
        <f>'Unit Data from Audit Worksheet'!D192</f>
        <v>Interest expense</v>
      </c>
      <c r="D172" s="352"/>
      <c r="E172" s="353">
        <f>'Unit Data from Audit Worksheet'!F192</f>
        <v>0</v>
      </c>
      <c r="F172" s="346">
        <f>IF(L172&lt;0,"Error: Enter as a positive.",)</f>
        <v>0</v>
      </c>
      <c r="G172" s="348"/>
      <c r="H172" s="345">
        <f>'Unit Data from Audit Worksheet'!I192</f>
        <v>0</v>
      </c>
      <c r="I172" s="38"/>
      <c r="J172" s="344">
        <v>98</v>
      </c>
      <c r="K172" s="343" t="s">
        <v>241</v>
      </c>
      <c r="L172" s="569">
        <f t="shared" si="20"/>
        <v>0</v>
      </c>
      <c r="P172" s="315"/>
      <c r="W172" s="3" t="b">
        <f t="shared" si="19"/>
        <v>1</v>
      </c>
      <c r="X172" s="566">
        <f t="shared" si="12"/>
        <v>0</v>
      </c>
      <c r="Y172" s="566">
        <f t="shared" si="13"/>
        <v>0</v>
      </c>
    </row>
    <row r="173" spans="1:25" ht="51" customHeight="1" x14ac:dyDescent="0.3">
      <c r="A173" s="333">
        <f>'Unit Data from Audit Worksheet'!A193</f>
        <v>363</v>
      </c>
      <c r="B173" s="347" t="str">
        <f>'Unit Data from Audit Worksheet'!C193</f>
        <v>Electric Fund Revenue, Expenses &amp; Changes in Fund Net Position</v>
      </c>
      <c r="C173" s="332" t="str">
        <f>'Unit Data from Audit Worksheet'!D193</f>
        <v>Total all the non-operating revenues  
Exclude Capital Contributions.</v>
      </c>
      <c r="D173" s="352"/>
      <c r="E173" s="353">
        <f>'Unit Data from Audit Worksheet'!F193</f>
        <v>0</v>
      </c>
      <c r="F173" s="346"/>
      <c r="G173" s="348"/>
      <c r="H173" s="345">
        <f>'Unit Data from Audit Worksheet'!I193</f>
        <v>0</v>
      </c>
      <c r="I173" s="38"/>
      <c r="J173" s="344">
        <v>363</v>
      </c>
      <c r="K173" s="343" t="s">
        <v>242</v>
      </c>
      <c r="L173" s="569">
        <f t="shared" si="20"/>
        <v>0</v>
      </c>
      <c r="P173" s="315"/>
      <c r="W173" s="3" t="b">
        <f t="shared" si="19"/>
        <v>1</v>
      </c>
      <c r="X173" s="566">
        <f t="shared" si="12"/>
        <v>0</v>
      </c>
      <c r="Y173" s="566">
        <f t="shared" si="13"/>
        <v>0</v>
      </c>
    </row>
    <row r="174" spans="1:25" ht="60" customHeight="1" x14ac:dyDescent="0.3">
      <c r="A174" s="333">
        <f>'Unit Data from Audit Worksheet'!A194</f>
        <v>364</v>
      </c>
      <c r="B174" s="347" t="str">
        <f>'Unit Data from Audit Worksheet'!C194</f>
        <v>Electric Fund Revenue, Expenses &amp; Changes in Fund Net Position</v>
      </c>
      <c r="C174" s="332" t="str">
        <f>'Unit Data from Audit Worksheet'!D194</f>
        <v>Total all non-operating expenses.  
Include negative special, extraordinary, or capital contribution.</v>
      </c>
      <c r="D174" s="352"/>
      <c r="E174" s="353">
        <f>'Unit Data from Audit Worksheet'!F194</f>
        <v>0</v>
      </c>
      <c r="F174" s="346">
        <f>IF(L174&lt;0,"Error: Enter as a positive.",)</f>
        <v>0</v>
      </c>
      <c r="G174" s="348"/>
      <c r="H174" s="345">
        <f>'Unit Data from Audit Worksheet'!I194</f>
        <v>0</v>
      </c>
      <c r="I174" s="38"/>
      <c r="J174" s="344">
        <v>364</v>
      </c>
      <c r="K174" s="343" t="s">
        <v>243</v>
      </c>
      <c r="L174" s="569">
        <f t="shared" si="20"/>
        <v>0</v>
      </c>
      <c r="P174" s="315"/>
      <c r="W174" s="3" t="b">
        <f t="shared" si="19"/>
        <v>1</v>
      </c>
      <c r="X174" s="566">
        <f t="shared" si="12"/>
        <v>0</v>
      </c>
      <c r="Y174" s="566">
        <f t="shared" si="13"/>
        <v>0</v>
      </c>
    </row>
    <row r="175" spans="1:25" ht="89.25" customHeight="1" x14ac:dyDescent="0.3">
      <c r="A175" s="333">
        <f>'Unit Data from Audit Worksheet'!A195</f>
        <v>192</v>
      </c>
      <c r="B175" s="347" t="str">
        <f>'Unit Data from Audit Worksheet'!C195</f>
        <v>Electric Fund Revenue, Expenses &amp; Changes in Fund Net Position</v>
      </c>
      <c r="C175" s="332" t="str">
        <f>'Unit Data from Audit Worksheet'!D195</f>
        <v>Capital Contributions.  
Include only positive capital Contributions.  Negative capital contributions should be included with 'Total all non-operating expenses.'</v>
      </c>
      <c r="D175" s="352"/>
      <c r="E175" s="353">
        <f>'Unit Data from Audit Worksheet'!F195</f>
        <v>0</v>
      </c>
      <c r="F175" s="346">
        <f>IF(L175&lt;0,"Error: Enter as a positive.",)</f>
        <v>0</v>
      </c>
      <c r="G175" s="348"/>
      <c r="H175" s="345">
        <f>'Unit Data from Audit Worksheet'!I195</f>
        <v>0</v>
      </c>
      <c r="I175" s="38"/>
      <c r="J175" s="344">
        <v>192</v>
      </c>
      <c r="K175" s="343" t="s">
        <v>244</v>
      </c>
      <c r="L175" s="569">
        <f t="shared" si="20"/>
        <v>0</v>
      </c>
      <c r="P175" s="315"/>
      <c r="W175" s="3" t="b">
        <f t="shared" si="19"/>
        <v>1</v>
      </c>
      <c r="X175" s="566">
        <f t="shared" si="12"/>
        <v>0</v>
      </c>
      <c r="Y175" s="566">
        <f t="shared" si="13"/>
        <v>0</v>
      </c>
    </row>
    <row r="176" spans="1:25" ht="42.75" customHeight="1" x14ac:dyDescent="0.3">
      <c r="A176" s="333">
        <f>'Unit Data from Audit Worksheet'!A196</f>
        <v>365</v>
      </c>
      <c r="B176" s="347" t="str">
        <f>'Unit Data from Audit Worksheet'!C196</f>
        <v>Electric Fund Revenue, Expenses &amp; Changes in Fund Net Position</v>
      </c>
      <c r="C176" s="332" t="str">
        <f>'Unit Data from Audit Worksheet'!D196</f>
        <v>Total Transfers In (From all Funds)</v>
      </c>
      <c r="D176" s="352"/>
      <c r="E176" s="353">
        <f>'Unit Data from Audit Worksheet'!F196</f>
        <v>0</v>
      </c>
      <c r="F176" s="346"/>
      <c r="G176" s="348"/>
      <c r="H176" s="345">
        <f>'Unit Data from Audit Worksheet'!I196</f>
        <v>0</v>
      </c>
      <c r="I176" s="38"/>
      <c r="J176" s="344">
        <v>365</v>
      </c>
      <c r="K176" s="343" t="s">
        <v>245</v>
      </c>
      <c r="L176" s="569">
        <f t="shared" si="20"/>
        <v>0</v>
      </c>
      <c r="P176" s="315"/>
      <c r="W176" s="3" t="b">
        <f t="shared" si="19"/>
        <v>1</v>
      </c>
      <c r="X176" s="566">
        <f t="shared" si="12"/>
        <v>0</v>
      </c>
      <c r="Y176" s="566">
        <f t="shared" si="13"/>
        <v>0</v>
      </c>
    </row>
    <row r="177" spans="1:25" ht="42.75" customHeight="1" x14ac:dyDescent="0.3">
      <c r="A177" s="333">
        <f>'Unit Data from Audit Worksheet'!A197</f>
        <v>366</v>
      </c>
      <c r="B177" s="347" t="str">
        <f>'Unit Data from Audit Worksheet'!C197</f>
        <v>Electric Fund Revenue, Expenses &amp; Changes in Fund Net Position</v>
      </c>
      <c r="C177" s="332" t="str">
        <f>'Unit Data from Audit Worksheet'!D197</f>
        <v>Total Transfers Out (To all funds)</v>
      </c>
      <c r="D177" s="352"/>
      <c r="E177" s="353">
        <f>'Unit Data from Audit Worksheet'!F197</f>
        <v>0</v>
      </c>
      <c r="F177" s="346">
        <f>IF(L177&lt;0,"Error: Enter as a positive.",)</f>
        <v>0</v>
      </c>
      <c r="G177" s="348"/>
      <c r="H177" s="345">
        <f>'Unit Data from Audit Worksheet'!I197</f>
        <v>0</v>
      </c>
      <c r="I177" s="38"/>
      <c r="J177" s="344">
        <v>366</v>
      </c>
      <c r="K177" s="343" t="s">
        <v>532</v>
      </c>
      <c r="L177" s="569">
        <f t="shared" si="20"/>
        <v>0</v>
      </c>
      <c r="P177" s="315"/>
      <c r="W177" s="3" t="b">
        <f t="shared" si="19"/>
        <v>1</v>
      </c>
      <c r="X177" s="566">
        <f t="shared" si="12"/>
        <v>0</v>
      </c>
      <c r="Y177" s="566">
        <f t="shared" si="13"/>
        <v>0</v>
      </c>
    </row>
    <row r="178" spans="1:25" s="18" customFormat="1" ht="76.5" customHeight="1" x14ac:dyDescent="0.3">
      <c r="A178" s="333">
        <f>'Unit Data from Audit Worksheet'!A198</f>
        <v>53</v>
      </c>
      <c r="B178" s="347" t="str">
        <f>'Unit Data from Audit Worksheet'!C198</f>
        <v>Electric Fund Revenue, Expenses &amp; Changes in Fund Net Position</v>
      </c>
      <c r="C178" s="332" t="str">
        <f>'Unit Data from Audit Worksheet'!D198</f>
        <v>Change in net position - Increase in net position is recorded as a positive and a (decrease) in net position is recorded as a negative.</v>
      </c>
      <c r="D178" s="352"/>
      <c r="E178" s="353">
        <f>'Unit Data from Audit Worksheet'!F198</f>
        <v>0</v>
      </c>
      <c r="F178" s="346">
        <f>IF(L168-L171+L173-L174+L175+L176-L177-L178=0,,"Error: Total revenues less total exp. does not equal change in net position Acct 93-94+363-364+192+365-366-53=0")</f>
        <v>0</v>
      </c>
      <c r="G178" s="91">
        <f>+L168-L171+L173-L174+L175+L176-L177-L178</f>
        <v>0</v>
      </c>
      <c r="H178" s="345">
        <f>'Unit Data from Audit Worksheet'!I198</f>
        <v>0</v>
      </c>
      <c r="I178" s="38"/>
      <c r="J178" s="344">
        <v>53</v>
      </c>
      <c r="K178" s="343" t="s">
        <v>101</v>
      </c>
      <c r="L178" s="569">
        <f t="shared" si="20"/>
        <v>0</v>
      </c>
      <c r="P178" s="315"/>
      <c r="Q178" s="559">
        <f>IF(G178&lt;&gt;0,1,0)</f>
        <v>0</v>
      </c>
      <c r="R178" s="3"/>
      <c r="W178" s="3" t="b">
        <f t="shared" si="19"/>
        <v>1</v>
      </c>
      <c r="X178" s="566">
        <f t="shared" si="12"/>
        <v>0</v>
      </c>
      <c r="Y178" s="566">
        <f t="shared" si="13"/>
        <v>0</v>
      </c>
    </row>
    <row r="179" spans="1:25" ht="140.25" customHeight="1" x14ac:dyDescent="0.3">
      <c r="A179" s="333">
        <f>'Unit Data from Audit Worksheet'!A199</f>
        <v>378</v>
      </c>
      <c r="B179" s="347" t="str">
        <f>'Unit Data from Audit Worksheet'!C199</f>
        <v>Electric Fund Revenue, Expenses &amp; Changes in Fund Net Position</v>
      </c>
      <c r="C179" s="332"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2"/>
      <c r="E179" s="353">
        <f>+'Unit Data from Audit Worksheet'!F199</f>
        <v>0</v>
      </c>
      <c r="F179" s="346" t="e">
        <f>IF(L151-L178-L179=O151,,"Error: Beg. Bal does not agree with our records Acct 362-53-378= pr yr 362")</f>
        <v>#N/A</v>
      </c>
      <c r="G179" s="91" t="e">
        <f>L151-L178-L179-O151</f>
        <v>#N/A</v>
      </c>
      <c r="H179" s="345">
        <f>'Unit Data from Audit Worksheet'!I199</f>
        <v>0</v>
      </c>
      <c r="I179" s="38"/>
      <c r="J179" s="344">
        <v>378</v>
      </c>
      <c r="K179" s="343" t="s">
        <v>110</v>
      </c>
      <c r="L179" s="569">
        <f t="shared" si="20"/>
        <v>0</v>
      </c>
      <c r="P179" s="315"/>
      <c r="Q179" s="559" t="e">
        <f>IF(G179&lt;&gt;0,1,0)</f>
        <v>#N/A</v>
      </c>
      <c r="W179" s="3" t="b">
        <f t="shared" si="19"/>
        <v>1</v>
      </c>
      <c r="X179" s="566">
        <f t="shared" si="12"/>
        <v>0</v>
      </c>
      <c r="Y179" s="566">
        <f t="shared" si="13"/>
        <v>0</v>
      </c>
    </row>
    <row r="180" spans="1:25" ht="28.8" x14ac:dyDescent="0.3">
      <c r="A180" s="333">
        <f>'Unit Data from Audit Worksheet'!A204</f>
        <v>51</v>
      </c>
      <c r="B180" s="347" t="str">
        <f>'Unit Data from Audit Worksheet'!C204</f>
        <v>Water Sewer Cash Flow Statement</v>
      </c>
      <c r="C180" s="332" t="str">
        <f>'Unit Data from Audit Worksheet'!D204</f>
        <v>Total Cash flow from operating activities  - (Enter negative cash flows as negative)</v>
      </c>
      <c r="D180" s="352"/>
      <c r="E180" s="353">
        <f>'Unit Data from Audit Worksheet'!F204</f>
        <v>0</v>
      </c>
      <c r="F180" s="346"/>
      <c r="G180" s="348"/>
      <c r="H180" s="345">
        <f>'Unit Data from Audit Worksheet'!I204</f>
        <v>0</v>
      </c>
      <c r="I180" s="38"/>
      <c r="J180" s="344">
        <v>51</v>
      </c>
      <c r="K180" s="343" t="s">
        <v>246</v>
      </c>
      <c r="L180" s="569">
        <f t="shared" si="20"/>
        <v>0</v>
      </c>
      <c r="P180" s="315"/>
      <c r="W180" s="3" t="b">
        <f t="shared" si="19"/>
        <v>1</v>
      </c>
      <c r="X180" s="566">
        <f t="shared" si="12"/>
        <v>0</v>
      </c>
      <c r="Y180" s="566">
        <f t="shared" si="13"/>
        <v>0</v>
      </c>
    </row>
    <row r="181" spans="1:25" ht="64.5" customHeight="1" x14ac:dyDescent="0.3">
      <c r="A181" s="333">
        <f>'Unit Data from Audit Worksheet'!A205</f>
        <v>332</v>
      </c>
      <c r="B181" s="347" t="str">
        <f>'Unit Data from Audit Worksheet'!C205</f>
        <v>Water Sewer Cash Flow Statement</v>
      </c>
      <c r="C181" s="332" t="str">
        <f>'Unit Data from Audit Worksheet'!D205</f>
        <v>Total Capital outlay. 
Include acquisition and construction of capital assets.</v>
      </c>
      <c r="D181" s="352"/>
      <c r="E181" s="353">
        <f>'Unit Data from Audit Worksheet'!F205</f>
        <v>0</v>
      </c>
      <c r="F181" s="346">
        <f>IF(L181&lt;0,"Error: Enter as a positive.",)</f>
        <v>0</v>
      </c>
      <c r="G181" s="348"/>
      <c r="H181" s="345">
        <f>'Unit Data from Audit Worksheet'!I205</f>
        <v>0</v>
      </c>
      <c r="I181" s="38"/>
      <c r="J181" s="344">
        <v>332</v>
      </c>
      <c r="K181" s="343" t="s">
        <v>248</v>
      </c>
      <c r="L181" s="569">
        <f t="shared" si="20"/>
        <v>0</v>
      </c>
      <c r="O181" s="577"/>
      <c r="P181" s="315"/>
      <c r="W181" s="3" t="b">
        <f t="shared" si="19"/>
        <v>1</v>
      </c>
      <c r="X181" s="566">
        <f t="shared" si="12"/>
        <v>0</v>
      </c>
      <c r="Y181" s="566">
        <f t="shared" si="13"/>
        <v>0</v>
      </c>
    </row>
    <row r="182" spans="1:25" ht="58.5" customHeight="1" x14ac:dyDescent="0.3">
      <c r="A182" s="333">
        <f>'Unit Data from Audit Worksheet'!A206</f>
        <v>331</v>
      </c>
      <c r="B182" s="347" t="str">
        <f>'Unit Data from Audit Worksheet'!C206</f>
        <v>Water Sewer Cash Flow Statement</v>
      </c>
      <c r="C182" s="332" t="str">
        <f>'Unit Data from Audit Worksheet'!D206</f>
        <v>Principal paid on long-term debt.  Amount should be reduced by principal payments for debt refunding.</v>
      </c>
      <c r="D182" s="352"/>
      <c r="E182" s="353">
        <f>'Unit Data from Audit Worksheet'!F206</f>
        <v>0</v>
      </c>
      <c r="F182" s="346">
        <f>IF(L182&lt;0,"Error: Enter as a positive.",)</f>
        <v>0</v>
      </c>
      <c r="G182" s="348"/>
      <c r="H182" s="345">
        <f>'Unit Data from Audit Worksheet'!I206</f>
        <v>0</v>
      </c>
      <c r="I182" s="38"/>
      <c r="J182" s="344">
        <v>331</v>
      </c>
      <c r="K182" s="343" t="s">
        <v>247</v>
      </c>
      <c r="L182" s="569">
        <f t="shared" si="20"/>
        <v>0</v>
      </c>
      <c r="O182" s="577"/>
      <c r="P182" s="315"/>
      <c r="W182" s="3" t="b">
        <f t="shared" si="19"/>
        <v>1</v>
      </c>
      <c r="X182" s="566">
        <f t="shared" ref="X182:X276" si="21">E182-L182</f>
        <v>0</v>
      </c>
      <c r="Y182" s="566">
        <f t="shared" ref="Y182:Y276" si="22">D182-L182</f>
        <v>0</v>
      </c>
    </row>
    <row r="183" spans="1:25" ht="51.75" customHeight="1" x14ac:dyDescent="0.3">
      <c r="A183" s="333">
        <f>'Unit Data from Audit Worksheet'!A208</f>
        <v>55</v>
      </c>
      <c r="B183" s="347" t="str">
        <f>'Unit Data from Audit Worksheet'!C208</f>
        <v>Electric Fund Cash Flow Statement</v>
      </c>
      <c r="C183" s="332" t="str">
        <f>'Unit Data from Audit Worksheet'!D208</f>
        <v>Cash flow from operating activities - (enter negative cash flows as negative)</v>
      </c>
      <c r="D183" s="352"/>
      <c r="E183" s="353">
        <f>'Unit Data from Audit Worksheet'!F208</f>
        <v>0</v>
      </c>
      <c r="F183" s="346"/>
      <c r="G183" s="348"/>
      <c r="H183" s="345">
        <f>'Unit Data from Audit Worksheet'!I208</f>
        <v>0</v>
      </c>
      <c r="I183" s="38"/>
      <c r="J183" s="344">
        <v>55</v>
      </c>
      <c r="K183" s="343" t="s">
        <v>249</v>
      </c>
      <c r="L183" s="569">
        <f t="shared" si="20"/>
        <v>0</v>
      </c>
      <c r="P183" s="315"/>
      <c r="W183" s="3" t="b">
        <f t="shared" si="19"/>
        <v>1</v>
      </c>
      <c r="X183" s="566">
        <f t="shared" si="21"/>
        <v>0</v>
      </c>
      <c r="Y183" s="566">
        <f t="shared" si="22"/>
        <v>0</v>
      </c>
    </row>
    <row r="184" spans="1:25" ht="58.5" customHeight="1" x14ac:dyDescent="0.3">
      <c r="A184" s="333">
        <f>'Unit Data from Audit Worksheet'!A209</f>
        <v>101</v>
      </c>
      <c r="B184" s="347" t="str">
        <f>'Unit Data from Audit Worksheet'!C209</f>
        <v>Electric Fund Cash Flow Statement</v>
      </c>
      <c r="C184" s="332" t="str">
        <f>'Unit Data from Audit Worksheet'!D209</f>
        <v>Total Capital outlay.  
Include acquisition and construction of capital assets.</v>
      </c>
      <c r="D184" s="352"/>
      <c r="E184" s="353">
        <f>'Unit Data from Audit Worksheet'!F209</f>
        <v>0</v>
      </c>
      <c r="F184" s="346">
        <f>IF(L184&lt;0,"Error: Enter as a positive.",)</f>
        <v>0</v>
      </c>
      <c r="G184" s="348"/>
      <c r="H184" s="345">
        <f>'Unit Data from Audit Worksheet'!I209</f>
        <v>0</v>
      </c>
      <c r="I184" s="38"/>
      <c r="J184" s="344">
        <v>101</v>
      </c>
      <c r="K184" s="343" t="s">
        <v>250</v>
      </c>
      <c r="L184" s="569">
        <f t="shared" si="20"/>
        <v>0</v>
      </c>
      <c r="P184" s="315"/>
      <c r="W184" s="3" t="b">
        <f t="shared" si="19"/>
        <v>1</v>
      </c>
      <c r="X184" s="566">
        <f t="shared" si="21"/>
        <v>0</v>
      </c>
      <c r="Y184" s="566">
        <f t="shared" si="22"/>
        <v>0</v>
      </c>
    </row>
    <row r="185" spans="1:25" ht="60.75" customHeight="1" x14ac:dyDescent="0.3">
      <c r="A185" s="333">
        <f>'Unit Data from Audit Worksheet'!A210</f>
        <v>100</v>
      </c>
      <c r="B185" s="347" t="str">
        <f>'Unit Data from Audit Worksheet'!C210</f>
        <v>Electric Fund Cash Flow Statement</v>
      </c>
      <c r="C185" s="332" t="str">
        <f>'Unit Data from Audit Worksheet'!D210</f>
        <v>Principal paid on long-term debt.  Amount should be reduced by principal payments for debt refunding.</v>
      </c>
      <c r="D185" s="352"/>
      <c r="E185" s="353">
        <f>'Unit Data from Audit Worksheet'!F210</f>
        <v>0</v>
      </c>
      <c r="F185" s="346">
        <f>IF(L185&lt;0,"Error: Enter as a positive.",)</f>
        <v>0</v>
      </c>
      <c r="G185" s="348"/>
      <c r="H185" s="345">
        <f>'Unit Data from Audit Worksheet'!I210</f>
        <v>0</v>
      </c>
      <c r="I185" s="38"/>
      <c r="J185" s="344">
        <v>100</v>
      </c>
      <c r="K185" s="343" t="s">
        <v>251</v>
      </c>
      <c r="L185" s="569">
        <f t="shared" si="20"/>
        <v>0</v>
      </c>
      <c r="P185" s="315"/>
      <c r="W185" s="3" t="b">
        <f t="shared" si="19"/>
        <v>1</v>
      </c>
      <c r="X185" s="566">
        <f t="shared" si="21"/>
        <v>0</v>
      </c>
      <c r="Y185" s="566">
        <f t="shared" si="22"/>
        <v>0</v>
      </c>
    </row>
    <row r="186" spans="1:25" ht="71.25" customHeight="1" x14ac:dyDescent="0.3">
      <c r="A186" s="333">
        <f>'Unit Data from Audit Worksheet'!A212</f>
        <v>512</v>
      </c>
      <c r="B186" s="347" t="str">
        <f>'Unit Data from Audit Worksheet'!C212</f>
        <v>Fiduciary Statements</v>
      </c>
      <c r="C186" s="332" t="str">
        <f>'Unit Data from Audit Worksheet'!D212</f>
        <v>Cash and investments.  
Include:  unrestricted and restricted.  
                   cash and investments held 
                   by a third party</v>
      </c>
      <c r="D186" s="352"/>
      <c r="E186" s="353">
        <f>'Unit Data from Audit Worksheet'!F212</f>
        <v>0</v>
      </c>
      <c r="F186" s="346">
        <f>IF(L186&lt;0,"Error: Number is normally positive.",)</f>
        <v>0</v>
      </c>
      <c r="G186" s="348"/>
      <c r="H186" s="345">
        <f>'Unit Data from Audit Worksheet'!I212</f>
        <v>0</v>
      </c>
      <c r="I186" s="38"/>
      <c r="J186" s="344">
        <v>512</v>
      </c>
      <c r="K186" s="343" t="s">
        <v>252</v>
      </c>
      <c r="L186" s="569">
        <f t="shared" si="20"/>
        <v>0</v>
      </c>
      <c r="P186" s="315"/>
      <c r="W186" s="3" t="b">
        <f t="shared" si="19"/>
        <v>1</v>
      </c>
      <c r="X186" s="566">
        <f t="shared" si="21"/>
        <v>0</v>
      </c>
      <c r="Y186" s="566">
        <f t="shared" si="22"/>
        <v>0</v>
      </c>
    </row>
    <row r="187" spans="1:25" ht="62.25" customHeight="1" x14ac:dyDescent="0.3">
      <c r="A187" s="333">
        <f>'Unit Data from Audit Worksheet'!A214</f>
        <v>656</v>
      </c>
      <c r="B187" s="347">
        <f>'Unit Data from Audit Worksheet'!C214</f>
        <v>0</v>
      </c>
      <c r="C187" s="332" t="str">
        <f>'Unit Data from Audit Worksheet'!D214</f>
        <v>Do you use prepared food/occupancy tax revenue stream to support debt?  Select "1" for Yes and "2" for No</v>
      </c>
      <c r="D187" s="139"/>
      <c r="E187" s="353">
        <f>'Unit Data from Audit Worksheet'!F214</f>
        <v>0</v>
      </c>
      <c r="F187" s="346"/>
      <c r="G187" s="348"/>
      <c r="H187" s="345"/>
      <c r="I187" s="38"/>
      <c r="J187" s="344">
        <v>656</v>
      </c>
      <c r="K187" s="350" t="s">
        <v>744</v>
      </c>
      <c r="L187" s="595">
        <f>E187</f>
        <v>0</v>
      </c>
      <c r="M187" s="18"/>
      <c r="N187" s="18"/>
      <c r="O187" s="18"/>
      <c r="P187" s="315"/>
      <c r="W187" s="3" t="b">
        <f t="shared" si="19"/>
        <v>1</v>
      </c>
      <c r="X187" s="566">
        <f t="shared" si="21"/>
        <v>0</v>
      </c>
      <c r="Y187" s="566">
        <f t="shared" si="22"/>
        <v>0</v>
      </c>
    </row>
    <row r="188" spans="1:25" s="18" customFormat="1" ht="102.75" customHeight="1" x14ac:dyDescent="0.3">
      <c r="A188" s="333">
        <f>'Unit Data from Audit Worksheet'!A216</f>
        <v>535</v>
      </c>
      <c r="B188" s="347" t="str">
        <f>'Unit Data from Audit Worksheet'!C216</f>
        <v>Cash and Investment Note</v>
      </c>
      <c r="C188" s="332" t="str">
        <f>'Unit Data from Audit Worksheet'!D216</f>
        <v>Cash and Investment - Please list the book value of any unspent debt proceeds (bonds, installment, etc.) in any funds as of June 30.  This information may be on the face of your statements or in the notes</v>
      </c>
      <c r="D188" s="352"/>
      <c r="E188" s="353">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48"/>
      <c r="H188" s="345">
        <f>'Unit Data from Audit Worksheet'!I216</f>
        <v>0</v>
      </c>
      <c r="I188" s="38"/>
      <c r="J188" s="344">
        <v>535</v>
      </c>
      <c r="K188" s="62" t="s">
        <v>253</v>
      </c>
      <c r="L188" s="569">
        <f t="shared" si="20"/>
        <v>0</v>
      </c>
      <c r="P188" s="315"/>
      <c r="Q188" s="559"/>
      <c r="R188" s="3"/>
      <c r="W188" s="3" t="b">
        <f t="shared" si="19"/>
        <v>1</v>
      </c>
      <c r="X188" s="566">
        <f t="shared" si="21"/>
        <v>0</v>
      </c>
      <c r="Y188" s="566">
        <f t="shared" si="22"/>
        <v>0</v>
      </c>
    </row>
    <row r="189" spans="1:25" ht="45.75" customHeight="1" x14ac:dyDescent="0.3">
      <c r="A189" s="333">
        <f>'Unit Data from Audit Worksheet'!A220</f>
        <v>334</v>
      </c>
      <c r="B189" s="347" t="str">
        <f>'Unit Data from Audit Worksheet'!C220</f>
        <v>Gov.-Capital Assets Schedule in the Notes</v>
      </c>
      <c r="C189" s="332" t="str">
        <f>'Unit Data from Audit Worksheet'!D220</f>
        <v>Gross value.  
Exclude non-depreciable.</v>
      </c>
      <c r="D189" s="352"/>
      <c r="E189" s="353">
        <f>'Unit Data from Audit Worksheet'!F220</f>
        <v>0</v>
      </c>
      <c r="F189" s="87"/>
      <c r="G189" s="348"/>
      <c r="H189" s="345">
        <f>'Unit Data from Audit Worksheet'!I220</f>
        <v>0</v>
      </c>
      <c r="I189" s="38"/>
      <c r="J189" s="344">
        <v>334</v>
      </c>
      <c r="K189" s="62" t="s">
        <v>272</v>
      </c>
      <c r="L189" s="569">
        <f t="shared" si="20"/>
        <v>0</v>
      </c>
      <c r="P189" s="315"/>
      <c r="W189" s="3" t="b">
        <f t="shared" si="19"/>
        <v>1</v>
      </c>
      <c r="X189" s="566">
        <f t="shared" si="21"/>
        <v>0</v>
      </c>
      <c r="Y189" s="566">
        <f t="shared" si="22"/>
        <v>0</v>
      </c>
    </row>
    <row r="190" spans="1:25" ht="57" customHeight="1" x14ac:dyDescent="0.3">
      <c r="A190" s="333">
        <f>'Unit Data from Audit Worksheet'!A221</f>
        <v>373</v>
      </c>
      <c r="B190" s="347" t="str">
        <f>'Unit Data from Audit Worksheet'!C221</f>
        <v>Gov.-Capital Assets Schedule in the Notes</v>
      </c>
      <c r="C190" s="332" t="str">
        <f>'Unit Data from Audit Worksheet'!D221</f>
        <v>Accumulated depreciation</v>
      </c>
      <c r="D190" s="352"/>
      <c r="E190" s="353">
        <f>'Unit Data from Audit Worksheet'!F221</f>
        <v>0</v>
      </c>
      <c r="F190" s="87"/>
      <c r="G190" s="348"/>
      <c r="H190" s="345">
        <f>'Unit Data from Audit Worksheet'!I221</f>
        <v>0</v>
      </c>
      <c r="I190" s="38"/>
      <c r="J190" s="344">
        <v>373</v>
      </c>
      <c r="K190" s="58" t="s">
        <v>543</v>
      </c>
      <c r="L190" s="569">
        <f t="shared" si="20"/>
        <v>0</v>
      </c>
      <c r="P190" s="315"/>
      <c r="W190" s="3" t="b">
        <f t="shared" si="19"/>
        <v>1</v>
      </c>
      <c r="X190" s="566">
        <f t="shared" si="21"/>
        <v>0</v>
      </c>
      <c r="Y190" s="566">
        <f t="shared" si="22"/>
        <v>0</v>
      </c>
    </row>
    <row r="191" spans="1:25" ht="102.75" customHeight="1" x14ac:dyDescent="0.3">
      <c r="A191" s="585">
        <f>'Unit Data from Audit Worksheet'!A222</f>
        <v>987</v>
      </c>
      <c r="B191" s="351">
        <f>'Unit Data from Audit Worksheet'!C222</f>
        <v>0</v>
      </c>
      <c r="C191" s="586" t="str">
        <f>'Unit Data from Audit Worksheet'!D222</f>
        <v xml:space="preserve">Estimated cost not yet budgeted of any mandate placed on unit by DEQ, a court order or some similar requirement (that has no realistic appeal path). </v>
      </c>
      <c r="D191" s="352"/>
      <c r="E191" s="353">
        <f>'Unit Data from Audit Worksheet'!F222</f>
        <v>0</v>
      </c>
      <c r="F191" s="87"/>
      <c r="G191" s="348"/>
      <c r="H191" s="345">
        <f>'Unit Data from Audit Worksheet'!I222</f>
        <v>0</v>
      </c>
      <c r="I191" s="38"/>
      <c r="J191" s="362">
        <v>987</v>
      </c>
      <c r="K191" s="596" t="s">
        <v>1233</v>
      </c>
      <c r="L191" s="587">
        <f t="shared" si="20"/>
        <v>0</v>
      </c>
      <c r="P191" s="315"/>
      <c r="W191" s="3" t="b">
        <f t="shared" si="19"/>
        <v>1</v>
      </c>
      <c r="X191" s="566"/>
      <c r="Y191" s="566"/>
    </row>
    <row r="192" spans="1:25" ht="69" customHeight="1" x14ac:dyDescent="0.3">
      <c r="A192" s="585">
        <f>'Unit Data from Audit Worksheet'!A223</f>
        <v>988</v>
      </c>
      <c r="B192" s="351">
        <f>'Unit Data from Audit Worksheet'!C223</f>
        <v>0</v>
      </c>
      <c r="C192" s="586" t="str">
        <f>'Unit Data from Audit Worksheet'!D223</f>
        <v>Do you operate a landfill that will be closing  or have a significant portion closing within the next 5 years?  Select "1" for Yes and "2" for No</v>
      </c>
      <c r="D192" s="352"/>
      <c r="E192" s="353">
        <f>'Unit Data from Audit Worksheet'!F223</f>
        <v>0</v>
      </c>
      <c r="F192" s="87"/>
      <c r="G192" s="348"/>
      <c r="H192" s="345">
        <f>'Unit Data from Audit Worksheet'!I223</f>
        <v>0</v>
      </c>
      <c r="I192" s="38"/>
      <c r="J192" s="362">
        <v>988</v>
      </c>
      <c r="K192" s="596" t="s">
        <v>1681</v>
      </c>
      <c r="L192" s="587">
        <f t="shared" si="20"/>
        <v>0</v>
      </c>
      <c r="P192" s="315"/>
      <c r="W192" s="3" t="b">
        <f t="shared" si="19"/>
        <v>1</v>
      </c>
      <c r="X192" s="566"/>
      <c r="Y192" s="566"/>
    </row>
    <row r="193" spans="1:25" ht="95.25" customHeight="1" x14ac:dyDescent="0.3">
      <c r="A193" s="585">
        <f>'Unit Data from Audit Worksheet'!A224</f>
        <v>989</v>
      </c>
      <c r="B193" s="351">
        <f>'Unit Data from Audit Worksheet'!C224</f>
        <v>0</v>
      </c>
      <c r="C193" s="586" t="str">
        <f>'Unit Data from Audit Worksheet'!D224</f>
        <v>If you answered "yes" to question #988 above, will you have the closure/postclosure cost fully funded by the date of closure?  Select "1" for Yes,  "2" for No, or "3" for N/A.</v>
      </c>
      <c r="D193" s="352"/>
      <c r="E193" s="353">
        <f>'Unit Data from Audit Worksheet'!F224</f>
        <v>0</v>
      </c>
      <c r="F193" s="87"/>
      <c r="G193" s="348"/>
      <c r="H193" s="345">
        <f>'Unit Data from Audit Worksheet'!I224</f>
        <v>0</v>
      </c>
      <c r="I193" s="38"/>
      <c r="J193" s="362">
        <v>989</v>
      </c>
      <c r="K193" s="596" t="s">
        <v>1492</v>
      </c>
      <c r="L193" s="587">
        <f t="shared" si="20"/>
        <v>0</v>
      </c>
      <c r="P193" s="315"/>
      <c r="W193" s="3" t="b">
        <f t="shared" si="19"/>
        <v>1</v>
      </c>
      <c r="X193" s="566"/>
      <c r="Y193" s="566"/>
    </row>
    <row r="194" spans="1:25" ht="57" customHeight="1" x14ac:dyDescent="0.3">
      <c r="A194" s="333">
        <f>'Unit Data from Audit Worksheet'!A228</f>
        <v>327</v>
      </c>
      <c r="B194" s="347" t="str">
        <f>'Unit Data from Audit Worksheet'!C228</f>
        <v>WS-Capital Assets Schedule in the Notes</v>
      </c>
      <c r="C194" s="332" t="str">
        <f>'Unit Data from Audit Worksheet'!D228</f>
        <v>Land and all other non depreciable capital assets 
Exclude construction in progress</v>
      </c>
      <c r="D194" s="352"/>
      <c r="E194" s="353">
        <f>'Unit Data from Audit Worksheet'!F228</f>
        <v>0</v>
      </c>
      <c r="F194" s="87"/>
      <c r="G194" s="348"/>
      <c r="H194" s="345">
        <f>'Unit Data from Audit Worksheet'!I228</f>
        <v>0</v>
      </c>
      <c r="I194" s="38"/>
      <c r="J194" s="344">
        <v>327</v>
      </c>
      <c r="K194" s="58" t="s">
        <v>544</v>
      </c>
      <c r="L194" s="569">
        <f t="shared" si="20"/>
        <v>0</v>
      </c>
      <c r="P194" s="315"/>
      <c r="W194" s="3" t="b">
        <f t="shared" si="19"/>
        <v>1</v>
      </c>
      <c r="X194" s="566">
        <f t="shared" si="21"/>
        <v>0</v>
      </c>
      <c r="Y194" s="566">
        <f t="shared" si="22"/>
        <v>0</v>
      </c>
    </row>
    <row r="195" spans="1:25" ht="57" customHeight="1" x14ac:dyDescent="0.3">
      <c r="A195" s="333">
        <f>'Unit Data from Audit Worksheet'!A229</f>
        <v>328</v>
      </c>
      <c r="B195" s="347" t="str">
        <f>'Unit Data from Audit Worksheet'!C229</f>
        <v>WS-Capital Assets Schedule in the Notes</v>
      </c>
      <c r="C195" s="332" t="str">
        <f>'Unit Data from Audit Worksheet'!D229</f>
        <v>Construction in progress</v>
      </c>
      <c r="D195" s="352"/>
      <c r="E195" s="353">
        <f>'Unit Data from Audit Worksheet'!F229</f>
        <v>0</v>
      </c>
      <c r="F195" s="87"/>
      <c r="G195" s="348"/>
      <c r="H195" s="345">
        <f>'Unit Data from Audit Worksheet'!I229</f>
        <v>0</v>
      </c>
      <c r="I195" s="38"/>
      <c r="J195" s="344">
        <v>328</v>
      </c>
      <c r="K195" s="58" t="s">
        <v>545</v>
      </c>
      <c r="L195" s="569">
        <f t="shared" si="20"/>
        <v>0</v>
      </c>
      <c r="P195" s="315"/>
      <c r="W195" s="3" t="b">
        <f t="shared" si="19"/>
        <v>1</v>
      </c>
      <c r="X195" s="566">
        <f t="shared" si="21"/>
        <v>0</v>
      </c>
      <c r="Y195" s="566">
        <f t="shared" si="22"/>
        <v>0</v>
      </c>
    </row>
    <row r="196" spans="1:25" ht="46.5" customHeight="1" x14ac:dyDescent="0.3">
      <c r="A196" s="333">
        <f>'Unit Data from Audit Worksheet'!A233</f>
        <v>515</v>
      </c>
      <c r="B196" s="347" t="str">
        <f>'Unit Data from Audit Worksheet'!C233</f>
        <v>WS Capital Assets Schedule-Gross Value</v>
      </c>
      <c r="C196" s="332" t="str">
        <f>'Unit Data from Audit Worksheet'!D233</f>
        <v>Buildings</v>
      </c>
      <c r="D196" s="352"/>
      <c r="E196" s="353">
        <f>'Unit Data from Audit Worksheet'!F233</f>
        <v>0</v>
      </c>
      <c r="F196" s="87"/>
      <c r="G196" s="348"/>
      <c r="H196" s="345">
        <f>'Unit Data from Audit Worksheet'!I233</f>
        <v>0</v>
      </c>
      <c r="I196" s="38"/>
      <c r="J196" s="344">
        <v>515</v>
      </c>
      <c r="K196" s="58" t="s">
        <v>273</v>
      </c>
      <c r="L196" s="569">
        <f t="shared" si="20"/>
        <v>0</v>
      </c>
      <c r="P196" s="315"/>
      <c r="W196" s="3" t="b">
        <f t="shared" si="19"/>
        <v>1</v>
      </c>
      <c r="X196" s="566">
        <f t="shared" si="21"/>
        <v>0</v>
      </c>
      <c r="Y196" s="566">
        <f t="shared" si="22"/>
        <v>0</v>
      </c>
    </row>
    <row r="197" spans="1:25" ht="46.5" customHeight="1" x14ac:dyDescent="0.3">
      <c r="A197" s="333">
        <f>'Unit Data from Audit Worksheet'!A234</f>
        <v>516</v>
      </c>
      <c r="B197" s="347" t="str">
        <f>'Unit Data from Audit Worksheet'!C234</f>
        <v>WS Capital Assets Schedule-Gross Value</v>
      </c>
      <c r="C197" s="332" t="str">
        <f>'Unit Data from Audit Worksheet'!D234</f>
        <v>Plant / distributions systems / water lines</v>
      </c>
      <c r="D197" s="352"/>
      <c r="E197" s="353">
        <f>'Unit Data from Audit Worksheet'!F234</f>
        <v>0</v>
      </c>
      <c r="F197" s="87"/>
      <c r="G197" s="348"/>
      <c r="H197" s="345">
        <f>'Unit Data from Audit Worksheet'!I234</f>
        <v>0</v>
      </c>
      <c r="I197" s="38"/>
      <c r="J197" s="344">
        <v>516</v>
      </c>
      <c r="K197" s="58" t="s">
        <v>274</v>
      </c>
      <c r="L197" s="569">
        <f t="shared" si="20"/>
        <v>0</v>
      </c>
      <c r="P197" s="315"/>
      <c r="W197" s="3" t="b">
        <f t="shared" ref="W197:W228" si="23">EXACT(A197,J197)</f>
        <v>1</v>
      </c>
      <c r="X197" s="566">
        <f t="shared" si="21"/>
        <v>0</v>
      </c>
      <c r="Y197" s="566">
        <f t="shared" si="22"/>
        <v>0</v>
      </c>
    </row>
    <row r="198" spans="1:25" ht="46.5" customHeight="1" x14ac:dyDescent="0.3">
      <c r="A198" s="333">
        <f>'Unit Data from Audit Worksheet'!A235</f>
        <v>517</v>
      </c>
      <c r="B198" s="347" t="str">
        <f>'Unit Data from Audit Worksheet'!C235</f>
        <v>WS Capital Assets Schedule-Gross Value</v>
      </c>
      <c r="C198" s="332" t="str">
        <f>'Unit Data from Audit Worksheet'!D235</f>
        <v>Infrastructure(other infrastructure)</v>
      </c>
      <c r="D198" s="352"/>
      <c r="E198" s="353">
        <f>'Unit Data from Audit Worksheet'!F235</f>
        <v>0</v>
      </c>
      <c r="F198" s="87"/>
      <c r="G198" s="348"/>
      <c r="H198" s="345">
        <f>'Unit Data from Audit Worksheet'!I235</f>
        <v>0</v>
      </c>
      <c r="I198" s="38"/>
      <c r="J198" s="344">
        <v>517</v>
      </c>
      <c r="K198" s="597" t="s">
        <v>275</v>
      </c>
      <c r="L198" s="569">
        <f t="shared" si="20"/>
        <v>0</v>
      </c>
      <c r="P198" s="315"/>
      <c r="W198" s="3" t="b">
        <f t="shared" si="23"/>
        <v>1</v>
      </c>
      <c r="X198" s="566">
        <f t="shared" si="21"/>
        <v>0</v>
      </c>
      <c r="Y198" s="566">
        <f t="shared" si="22"/>
        <v>0</v>
      </c>
    </row>
    <row r="199" spans="1:25" ht="46.5" customHeight="1" x14ac:dyDescent="0.3">
      <c r="A199" s="333">
        <f>'Unit Data from Audit Worksheet'!A236</f>
        <v>518</v>
      </c>
      <c r="B199" s="347" t="str">
        <f>'Unit Data from Audit Worksheet'!C236</f>
        <v>WS Capital Assets Schedule-Gross Value</v>
      </c>
      <c r="C199" s="332" t="str">
        <f>'Unit Data from Audit Worksheet'!D236</f>
        <v>All other depreciable capital assets</v>
      </c>
      <c r="D199" s="352"/>
      <c r="E199" s="353">
        <f>'Unit Data from Audit Worksheet'!F236</f>
        <v>0</v>
      </c>
      <c r="F199" s="87"/>
      <c r="G199" s="348"/>
      <c r="H199" s="345">
        <f>'Unit Data from Audit Worksheet'!I236</f>
        <v>0</v>
      </c>
      <c r="I199" s="38"/>
      <c r="J199" s="344">
        <v>518</v>
      </c>
      <c r="K199" s="597" t="s">
        <v>276</v>
      </c>
      <c r="L199" s="569">
        <f t="shared" si="20"/>
        <v>0</v>
      </c>
      <c r="P199" s="315"/>
      <c r="W199" s="3" t="b">
        <f t="shared" si="23"/>
        <v>1</v>
      </c>
      <c r="X199" s="566">
        <f t="shared" si="21"/>
        <v>0</v>
      </c>
      <c r="Y199" s="566">
        <f t="shared" si="22"/>
        <v>0</v>
      </c>
    </row>
    <row r="200" spans="1:25" ht="52.5" customHeight="1" x14ac:dyDescent="0.3">
      <c r="A200" s="333">
        <f>'Unit Data from Audit Worksheet'!A239</f>
        <v>519</v>
      </c>
      <c r="B200" s="347" t="str">
        <f>'Unit Data from Audit Worksheet'!C239</f>
        <v>WS Capital Assets Schedule-Annual Depreciation</v>
      </c>
      <c r="C200" s="332" t="str">
        <f>'Unit Data from Audit Worksheet'!D239</f>
        <v>Buildings annual depreciation</v>
      </c>
      <c r="D200" s="352"/>
      <c r="E200" s="353">
        <f>'Unit Data from Audit Worksheet'!F239</f>
        <v>0</v>
      </c>
      <c r="F200" s="87"/>
      <c r="G200" s="348"/>
      <c r="H200" s="345">
        <f>'Unit Data from Audit Worksheet'!I239</f>
        <v>0</v>
      </c>
      <c r="I200" s="38"/>
      <c r="J200" s="344">
        <v>519</v>
      </c>
      <c r="K200" s="597" t="s">
        <v>277</v>
      </c>
      <c r="L200" s="569">
        <f t="shared" si="20"/>
        <v>0</v>
      </c>
      <c r="P200" s="315"/>
      <c r="W200" s="3" t="b">
        <f t="shared" si="23"/>
        <v>1</v>
      </c>
      <c r="X200" s="566">
        <f t="shared" si="21"/>
        <v>0</v>
      </c>
      <c r="Y200" s="566">
        <f t="shared" si="22"/>
        <v>0</v>
      </c>
    </row>
    <row r="201" spans="1:25" ht="52.5" customHeight="1" x14ac:dyDescent="0.3">
      <c r="A201" s="333">
        <f>'Unit Data from Audit Worksheet'!A240</f>
        <v>520</v>
      </c>
      <c r="B201" s="347" t="str">
        <f>'Unit Data from Audit Worksheet'!C240</f>
        <v>WS Capital Assets Schedule-Annual Depreciation</v>
      </c>
      <c r="C201" s="332" t="str">
        <f>'Unit Data from Audit Worksheet'!D240</f>
        <v>Plant / distributions systems / water lines annual depreciation</v>
      </c>
      <c r="D201" s="352"/>
      <c r="E201" s="353">
        <f>'Unit Data from Audit Worksheet'!F240</f>
        <v>0</v>
      </c>
      <c r="F201" s="87"/>
      <c r="G201" s="348"/>
      <c r="H201" s="345">
        <f>'Unit Data from Audit Worksheet'!I240</f>
        <v>0</v>
      </c>
      <c r="I201" s="38"/>
      <c r="J201" s="344">
        <v>520</v>
      </c>
      <c r="K201" s="597" t="s">
        <v>278</v>
      </c>
      <c r="L201" s="569">
        <f t="shared" si="20"/>
        <v>0</v>
      </c>
      <c r="P201" s="315"/>
      <c r="W201" s="3" t="b">
        <f t="shared" si="23"/>
        <v>1</v>
      </c>
      <c r="X201" s="566">
        <f t="shared" si="21"/>
        <v>0</v>
      </c>
      <c r="Y201" s="566">
        <f t="shared" si="22"/>
        <v>0</v>
      </c>
    </row>
    <row r="202" spans="1:25" ht="52.5" customHeight="1" x14ac:dyDescent="0.3">
      <c r="A202" s="333">
        <f>'Unit Data from Audit Worksheet'!A241</f>
        <v>521</v>
      </c>
      <c r="B202" s="347" t="str">
        <f>'Unit Data from Audit Worksheet'!C241</f>
        <v>WS Capital Assets Schedule-Annual Depreciation</v>
      </c>
      <c r="C202" s="332" t="str">
        <f>'Unit Data from Audit Worksheet'!D241</f>
        <v>Infrastructure(other infrastructure) annual depreciation</v>
      </c>
      <c r="D202" s="352"/>
      <c r="E202" s="353">
        <f>'Unit Data from Audit Worksheet'!F241</f>
        <v>0</v>
      </c>
      <c r="F202" s="87"/>
      <c r="G202" s="348"/>
      <c r="H202" s="345">
        <f>'Unit Data from Audit Worksheet'!I241</f>
        <v>0</v>
      </c>
      <c r="I202" s="38"/>
      <c r="J202" s="344">
        <v>521</v>
      </c>
      <c r="K202" s="58" t="s">
        <v>279</v>
      </c>
      <c r="L202" s="569">
        <f t="shared" si="20"/>
        <v>0</v>
      </c>
      <c r="P202" s="315"/>
      <c r="W202" s="3" t="b">
        <f t="shared" si="23"/>
        <v>1</v>
      </c>
      <c r="X202" s="566">
        <f t="shared" si="21"/>
        <v>0</v>
      </c>
      <c r="Y202" s="566">
        <f t="shared" si="22"/>
        <v>0</v>
      </c>
    </row>
    <row r="203" spans="1:25" ht="42.75" customHeight="1" x14ac:dyDescent="0.3">
      <c r="A203" s="333">
        <f>'Unit Data from Audit Worksheet'!A242</f>
        <v>522</v>
      </c>
      <c r="B203" s="347" t="str">
        <f>'Unit Data from Audit Worksheet'!C242</f>
        <v>WS Capital Assets Schedule-Annual Depreciation</v>
      </c>
      <c r="C203" s="332" t="str">
        <f>'Unit Data from Audit Worksheet'!D242</f>
        <v>All other depreciable capital assets annual depreciation</v>
      </c>
      <c r="D203" s="352"/>
      <c r="E203" s="353">
        <f>'Unit Data from Audit Worksheet'!F242</f>
        <v>0</v>
      </c>
      <c r="F203" s="87"/>
      <c r="G203" s="348"/>
      <c r="H203" s="345">
        <f>'Unit Data from Audit Worksheet'!I242</f>
        <v>0</v>
      </c>
      <c r="I203" s="38"/>
      <c r="J203" s="344">
        <v>522</v>
      </c>
      <c r="K203" s="58" t="s">
        <v>280</v>
      </c>
      <c r="L203" s="569">
        <f t="shared" si="20"/>
        <v>0</v>
      </c>
      <c r="P203" s="315"/>
      <c r="W203" s="3" t="b">
        <f t="shared" si="23"/>
        <v>1</v>
      </c>
      <c r="X203" s="566">
        <f t="shared" si="21"/>
        <v>0</v>
      </c>
      <c r="Y203" s="566">
        <f t="shared" si="22"/>
        <v>0</v>
      </c>
    </row>
    <row r="204" spans="1:25" ht="42.75" customHeight="1" x14ac:dyDescent="0.3">
      <c r="A204" s="333">
        <f>'Unit Data from Audit Worksheet'!A245</f>
        <v>523</v>
      </c>
      <c r="B204" s="347" t="str">
        <f>'Unit Data from Audit Worksheet'!C245</f>
        <v>WS Capital Assets Schedule-Accumulated Depreciation</v>
      </c>
      <c r="C204" s="332" t="str">
        <f>'Unit Data from Audit Worksheet'!D245</f>
        <v>Building accumulated depreciation</v>
      </c>
      <c r="D204" s="352"/>
      <c r="E204" s="353">
        <f>'Unit Data from Audit Worksheet'!F245</f>
        <v>0</v>
      </c>
      <c r="F204" s="87"/>
      <c r="G204" s="348"/>
      <c r="H204" s="345">
        <f>'Unit Data from Audit Worksheet'!I245</f>
        <v>0</v>
      </c>
      <c r="I204" s="38"/>
      <c r="J204" s="344">
        <v>523</v>
      </c>
      <c r="K204" s="58" t="s">
        <v>281</v>
      </c>
      <c r="L204" s="569">
        <f t="shared" si="20"/>
        <v>0</v>
      </c>
      <c r="P204" s="315"/>
      <c r="W204" s="3" t="b">
        <f t="shared" si="23"/>
        <v>1</v>
      </c>
      <c r="X204" s="566">
        <f t="shared" si="21"/>
        <v>0</v>
      </c>
      <c r="Y204" s="566">
        <f t="shared" si="22"/>
        <v>0</v>
      </c>
    </row>
    <row r="205" spans="1:25" ht="51" customHeight="1" x14ac:dyDescent="0.3">
      <c r="A205" s="333">
        <f>'Unit Data from Audit Worksheet'!A246</f>
        <v>524</v>
      </c>
      <c r="B205" s="347" t="str">
        <f>'Unit Data from Audit Worksheet'!C246</f>
        <v>WS Capital Assets Schedule-Accumulated Depreciation</v>
      </c>
      <c r="C205" s="332" t="str">
        <f>'Unit Data from Audit Worksheet'!D246</f>
        <v>Plant / distributions systems / water lines accumulated depreciation</v>
      </c>
      <c r="D205" s="352"/>
      <c r="E205" s="353">
        <f>'Unit Data from Audit Worksheet'!F246</f>
        <v>0</v>
      </c>
      <c r="F205" s="87"/>
      <c r="G205" s="348"/>
      <c r="H205" s="345">
        <f>'Unit Data from Audit Worksheet'!I246</f>
        <v>0</v>
      </c>
      <c r="I205" s="38"/>
      <c r="J205" s="344">
        <v>524</v>
      </c>
      <c r="K205" s="58" t="s">
        <v>282</v>
      </c>
      <c r="L205" s="569">
        <f t="shared" si="20"/>
        <v>0</v>
      </c>
      <c r="P205" s="315"/>
      <c r="W205" s="3" t="b">
        <f t="shared" si="23"/>
        <v>1</v>
      </c>
      <c r="X205" s="566">
        <f t="shared" si="21"/>
        <v>0</v>
      </c>
      <c r="Y205" s="566">
        <f t="shared" si="22"/>
        <v>0</v>
      </c>
    </row>
    <row r="206" spans="1:25" ht="57.75" customHeight="1" x14ac:dyDescent="0.3">
      <c r="A206" s="333">
        <f>'Unit Data from Audit Worksheet'!A247</f>
        <v>525</v>
      </c>
      <c r="B206" s="347" t="str">
        <f>'Unit Data from Audit Worksheet'!C247</f>
        <v>WS Capital Assets Schedule-Accumulated Depreciation</v>
      </c>
      <c r="C206" s="332" t="str">
        <f>'Unit Data from Audit Worksheet'!D247</f>
        <v>Infrastructure(other infrastructure) accumulated depreciation</v>
      </c>
      <c r="D206" s="352"/>
      <c r="E206" s="353">
        <f>'Unit Data from Audit Worksheet'!F247</f>
        <v>0</v>
      </c>
      <c r="F206" s="87"/>
      <c r="G206" s="348"/>
      <c r="H206" s="345">
        <f>'Unit Data from Audit Worksheet'!I247</f>
        <v>0</v>
      </c>
      <c r="I206" s="38"/>
      <c r="J206" s="344">
        <v>525</v>
      </c>
      <c r="K206" s="58" t="s">
        <v>283</v>
      </c>
      <c r="L206" s="569">
        <f t="shared" si="20"/>
        <v>0</v>
      </c>
      <c r="P206" s="315"/>
      <c r="W206" s="3" t="b">
        <f t="shared" si="23"/>
        <v>1</v>
      </c>
      <c r="X206" s="566">
        <f t="shared" si="21"/>
        <v>0</v>
      </c>
      <c r="Y206" s="566">
        <f t="shared" si="22"/>
        <v>0</v>
      </c>
    </row>
    <row r="207" spans="1:25" ht="48" customHeight="1" x14ac:dyDescent="0.3">
      <c r="A207" s="333">
        <f>'Unit Data from Audit Worksheet'!A248</f>
        <v>526</v>
      </c>
      <c r="B207" s="347" t="str">
        <f>'Unit Data from Audit Worksheet'!C248</f>
        <v>WS Capital Assets Schedule-Accumulated Depreciation</v>
      </c>
      <c r="C207" s="332" t="str">
        <f>'Unit Data from Audit Worksheet'!D248</f>
        <v>All other depreciable capital assets accumulated depreciation</v>
      </c>
      <c r="D207" s="352"/>
      <c r="E207" s="353">
        <f>'Unit Data from Audit Worksheet'!F248</f>
        <v>0</v>
      </c>
      <c r="F207" s="87"/>
      <c r="G207" s="348"/>
      <c r="H207" s="345">
        <f>'Unit Data from Audit Worksheet'!I248</f>
        <v>0</v>
      </c>
      <c r="I207" s="38"/>
      <c r="J207" s="344">
        <v>526</v>
      </c>
      <c r="K207" s="58" t="s">
        <v>284</v>
      </c>
      <c r="L207" s="569">
        <f t="shared" si="20"/>
        <v>0</v>
      </c>
      <c r="P207" s="315"/>
      <c r="W207" s="3" t="b">
        <f t="shared" si="23"/>
        <v>1</v>
      </c>
      <c r="X207" s="566">
        <f t="shared" si="21"/>
        <v>0</v>
      </c>
      <c r="Y207" s="566">
        <f t="shared" si="22"/>
        <v>0</v>
      </c>
    </row>
    <row r="208" spans="1:25" ht="50.25" customHeight="1" x14ac:dyDescent="0.3">
      <c r="A208" s="333">
        <f>'Unit Data from Audit Worksheet'!A253</f>
        <v>527</v>
      </c>
      <c r="B208" s="347" t="str">
        <f>'Unit Data from Audit Worksheet'!C253</f>
        <v>Electric Assets</v>
      </c>
      <c r="C208" s="332" t="str">
        <f>'Unit Data from Audit Worksheet'!D253</f>
        <v>Total Assets Gross value not being depreciated for Electric Fund</v>
      </c>
      <c r="D208" s="352"/>
      <c r="E208" s="353">
        <f>'Unit Data from Audit Worksheet'!F253</f>
        <v>0</v>
      </c>
      <c r="F208" s="87"/>
      <c r="G208" s="348"/>
      <c r="H208" s="345">
        <f>'Unit Data from Audit Worksheet'!I253</f>
        <v>0</v>
      </c>
      <c r="I208" s="38"/>
      <c r="J208" s="344">
        <v>527</v>
      </c>
      <c r="K208" s="58" t="s">
        <v>285</v>
      </c>
      <c r="L208" s="569">
        <f t="shared" si="20"/>
        <v>0</v>
      </c>
      <c r="P208" s="315"/>
      <c r="W208" s="3" t="b">
        <f t="shared" si="23"/>
        <v>1</v>
      </c>
      <c r="X208" s="566">
        <f t="shared" si="21"/>
        <v>0</v>
      </c>
      <c r="Y208" s="566">
        <f t="shared" si="22"/>
        <v>0</v>
      </c>
    </row>
    <row r="209" spans="1:27" ht="54.75" customHeight="1" x14ac:dyDescent="0.3">
      <c r="A209" s="333">
        <f>'Unit Data from Audit Worksheet'!A254</f>
        <v>356</v>
      </c>
      <c r="B209" s="347" t="str">
        <f>'Unit Data from Audit Worksheet'!C254</f>
        <v>Electric Assets</v>
      </c>
      <c r="C209" s="332" t="str">
        <f>'Unit Data from Audit Worksheet'!D254</f>
        <v>Total Assets Gross value of assets being depreciated for Electric Fund</v>
      </c>
      <c r="D209" s="352"/>
      <c r="E209" s="353">
        <f>'Unit Data from Audit Worksheet'!F254</f>
        <v>0</v>
      </c>
      <c r="F209" s="87"/>
      <c r="G209" s="348"/>
      <c r="H209" s="345">
        <f>'Unit Data from Audit Worksheet'!I254</f>
        <v>0</v>
      </c>
      <c r="I209" s="38"/>
      <c r="J209" s="344">
        <v>356</v>
      </c>
      <c r="K209" s="58" t="s">
        <v>546</v>
      </c>
      <c r="L209" s="569">
        <f t="shared" si="20"/>
        <v>0</v>
      </c>
      <c r="P209" s="315"/>
      <c r="W209" s="3" t="b">
        <f t="shared" si="23"/>
        <v>1</v>
      </c>
      <c r="X209" s="566">
        <f t="shared" si="21"/>
        <v>0</v>
      </c>
      <c r="Y209" s="566">
        <f t="shared" si="22"/>
        <v>0</v>
      </c>
    </row>
    <row r="210" spans="1:27" ht="54.75" customHeight="1" x14ac:dyDescent="0.3">
      <c r="A210" s="333">
        <f>'Unit Data from Audit Worksheet'!A255</f>
        <v>357</v>
      </c>
      <c r="B210" s="347" t="str">
        <f>'Unit Data from Audit Worksheet'!C255</f>
        <v>Electric Accumulated Depreciation</v>
      </c>
      <c r="C210" s="332" t="str">
        <f>'Unit Data from Audit Worksheet'!D255</f>
        <v>Total accumulated depreciation for Electric Fund assets</v>
      </c>
      <c r="D210" s="352"/>
      <c r="E210" s="353">
        <f>'Unit Data from Audit Worksheet'!F255</f>
        <v>0</v>
      </c>
      <c r="F210" s="87"/>
      <c r="G210" s="348"/>
      <c r="H210" s="345">
        <f>'Unit Data from Audit Worksheet'!I255</f>
        <v>0</v>
      </c>
      <c r="I210" s="38"/>
      <c r="J210" s="344">
        <v>357</v>
      </c>
      <c r="K210" s="58" t="s">
        <v>547</v>
      </c>
      <c r="L210" s="569">
        <f t="shared" si="20"/>
        <v>0</v>
      </c>
      <c r="P210" s="315"/>
      <c r="W210" s="3" t="b">
        <f t="shared" si="23"/>
        <v>1</v>
      </c>
      <c r="X210" s="566">
        <f t="shared" si="21"/>
        <v>0</v>
      </c>
      <c r="Y210" s="566">
        <f t="shared" si="22"/>
        <v>0</v>
      </c>
    </row>
    <row r="211" spans="1:27" ht="191.25" customHeight="1" x14ac:dyDescent="0.3">
      <c r="A211" s="333">
        <f>'Unit Data from Audit Worksheet'!A257</f>
        <v>337</v>
      </c>
      <c r="B211" s="347" t="str">
        <f>'Unit Data from Audit Worksheet'!C257</f>
        <v>Long-Term Liability Note - Governmental Activities</v>
      </c>
      <c r="C211" s="347"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2"/>
      <c r="E211" s="353">
        <f>'Unit Data from Audit Worksheet'!F257</f>
        <v>0</v>
      </c>
      <c r="F211" s="346">
        <f>IF(L211&lt;0,"Error: Enter as a positive.",)</f>
        <v>0</v>
      </c>
      <c r="G211" s="348"/>
      <c r="H211" s="345">
        <f>'Unit Data from Audit Worksheet'!I257</f>
        <v>0</v>
      </c>
      <c r="I211" s="38"/>
      <c r="J211" s="344">
        <v>337</v>
      </c>
      <c r="K211" s="343" t="s">
        <v>254</v>
      </c>
      <c r="L211" s="569">
        <f t="shared" si="20"/>
        <v>0</v>
      </c>
      <c r="P211" s="315"/>
      <c r="W211" s="3" t="b">
        <f t="shared" si="23"/>
        <v>1</v>
      </c>
      <c r="X211" s="566">
        <f t="shared" si="21"/>
        <v>0</v>
      </c>
      <c r="Y211" s="566">
        <f t="shared" si="22"/>
        <v>0</v>
      </c>
    </row>
    <row r="212" spans="1:27" ht="76.5" customHeight="1" x14ac:dyDescent="0.3">
      <c r="A212" s="333">
        <f>'Unit Data from Audit Worksheet'!A258</f>
        <v>343</v>
      </c>
      <c r="B212" s="347" t="str">
        <f>'Unit Data from Audit Worksheet'!C258</f>
        <v>Long-Term Liability Note - Governmental Activities</v>
      </c>
      <c r="C212" s="332" t="str">
        <f>'Unit Data from Audit Worksheet'!D258</f>
        <v>Decreases made (principal paid) on Long-Term Debt in current fiscal year.  Reduce for debt refunding.</v>
      </c>
      <c r="D212" s="352"/>
      <c r="E212" s="353">
        <f>'Unit Data from Audit Worksheet'!F258</f>
        <v>0</v>
      </c>
      <c r="F212" s="346">
        <f>IF(L212&lt;0,"Error: Enter as a positive.",)</f>
        <v>0</v>
      </c>
      <c r="G212" s="348"/>
      <c r="H212" s="345">
        <f>'Unit Data from Audit Worksheet'!I258</f>
        <v>0</v>
      </c>
      <c r="I212" s="38"/>
      <c r="J212" s="344">
        <v>343</v>
      </c>
      <c r="K212" s="343" t="s">
        <v>255</v>
      </c>
      <c r="L212" s="569">
        <f t="shared" si="20"/>
        <v>0</v>
      </c>
      <c r="P212" s="315"/>
      <c r="W212" s="3" t="b">
        <f t="shared" si="23"/>
        <v>1</v>
      </c>
      <c r="X212" s="566">
        <f t="shared" si="21"/>
        <v>0</v>
      </c>
      <c r="Y212" s="566">
        <f t="shared" si="22"/>
        <v>0</v>
      </c>
    </row>
    <row r="213" spans="1:27" ht="193.5" customHeight="1" x14ac:dyDescent="0.3">
      <c r="A213" s="333">
        <f>'Unit Data from Audit Worksheet'!A259</f>
        <v>82</v>
      </c>
      <c r="B213" s="347" t="str">
        <f>'Unit Data from Audit Worksheet'!C259</f>
        <v>Long-Term Liability Note - Water Sewer Activities</v>
      </c>
      <c r="C213" s="347"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2"/>
      <c r="E213" s="353">
        <f>'Unit Data from Audit Worksheet'!F259</f>
        <v>0</v>
      </c>
      <c r="F213" s="346">
        <f>IF(L213&lt;0,"Error: Enter as a positive.",)</f>
        <v>0</v>
      </c>
      <c r="G213" s="348"/>
      <c r="H213" s="345">
        <f>'Unit Data from Audit Worksheet'!I259</f>
        <v>0</v>
      </c>
      <c r="I213" s="38"/>
      <c r="J213" s="344">
        <v>82</v>
      </c>
      <c r="K213" s="69" t="s">
        <v>548</v>
      </c>
      <c r="L213" s="569">
        <f t="shared" si="20"/>
        <v>0</v>
      </c>
      <c r="P213" s="315"/>
      <c r="W213" s="3" t="b">
        <f t="shared" si="23"/>
        <v>1</v>
      </c>
      <c r="X213" s="566">
        <f t="shared" si="21"/>
        <v>0</v>
      </c>
      <c r="Y213" s="566">
        <f t="shared" si="22"/>
        <v>0</v>
      </c>
    </row>
    <row r="214" spans="1:27" ht="206.25" customHeight="1" x14ac:dyDescent="0.3">
      <c r="A214" s="333">
        <f>'Unit Data from Audit Worksheet'!A260</f>
        <v>359</v>
      </c>
      <c r="B214" s="347" t="str">
        <f>'Unit Data from Audit Worksheet'!C260</f>
        <v>Long-Term Liability Note - Electric Activities</v>
      </c>
      <c r="C214" s="347"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2"/>
      <c r="E214" s="353">
        <f>'Unit Data from Audit Worksheet'!F260</f>
        <v>0</v>
      </c>
      <c r="F214" s="346">
        <f>IF(L214&lt;0,"Error: Enter as a positive.",)</f>
        <v>0</v>
      </c>
      <c r="G214" s="348"/>
      <c r="H214" s="345">
        <f>'Unit Data from Audit Worksheet'!I260</f>
        <v>0</v>
      </c>
      <c r="I214" s="38"/>
      <c r="J214" s="344">
        <v>359</v>
      </c>
      <c r="K214" s="343" t="s">
        <v>256</v>
      </c>
      <c r="L214" s="569">
        <f t="shared" si="20"/>
        <v>0</v>
      </c>
      <c r="P214" s="315"/>
      <c r="W214" s="3" t="b">
        <f t="shared" si="23"/>
        <v>1</v>
      </c>
      <c r="X214" s="566">
        <f t="shared" si="21"/>
        <v>0</v>
      </c>
      <c r="Y214" s="566">
        <f t="shared" si="22"/>
        <v>0</v>
      </c>
    </row>
    <row r="215" spans="1:27" ht="76.5" customHeight="1" x14ac:dyDescent="0.3">
      <c r="A215" s="333">
        <f>'Unit Data from Audit Worksheet'!A262</f>
        <v>622</v>
      </c>
      <c r="B215" s="347" t="str">
        <f>'Unit Data from Audit Worksheet'!C262</f>
        <v>FS., Pension note or RSI</v>
      </c>
      <c r="C215" s="347"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2"/>
      <c r="E215" s="353">
        <f>'Unit Data from Audit Worksheet'!F262</f>
        <v>0</v>
      </c>
      <c r="F215" s="346"/>
      <c r="G215" s="348"/>
      <c r="H215" s="345"/>
      <c r="I215" s="38"/>
      <c r="J215" s="344">
        <v>622</v>
      </c>
      <c r="K215" s="350" t="s">
        <v>651</v>
      </c>
      <c r="L215" s="569">
        <f t="shared" si="20"/>
        <v>0</v>
      </c>
      <c r="P215" s="315"/>
      <c r="W215" s="3" t="b">
        <f t="shared" si="23"/>
        <v>1</v>
      </c>
      <c r="X215" s="566">
        <f t="shared" si="21"/>
        <v>0</v>
      </c>
      <c r="Y215" s="566">
        <f t="shared" si="22"/>
        <v>0</v>
      </c>
    </row>
    <row r="216" spans="1:27" ht="138.75" customHeight="1" x14ac:dyDescent="0.3">
      <c r="A216" s="333">
        <f>'Unit Data from Audit Worksheet'!A263</f>
        <v>577</v>
      </c>
      <c r="B216" s="347" t="str">
        <f>'Unit Data from Audit Worksheet'!C263</f>
        <v>Pension Notes</v>
      </c>
      <c r="C216" s="347"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2"/>
      <c r="E216" s="353" t="str">
        <f>IF('Unit Data from Audit Worksheet'!F263="Yes",1,IF('Unit Data from Audit Worksheet'!F263="No",2,IF('Unit Data from Audit Worksheet'!F263&lt;1,"",IF('Unit Data from Audit Worksheet'!F263=0&gt;2,""))))</f>
        <v/>
      </c>
      <c r="F216" s="346"/>
      <c r="G216" s="348"/>
      <c r="H216" s="345"/>
      <c r="I216" s="38"/>
      <c r="J216" s="344">
        <v>577</v>
      </c>
      <c r="K216" s="350" t="s">
        <v>575</v>
      </c>
      <c r="L216" s="569" t="str">
        <f t="shared" si="20"/>
        <v/>
      </c>
      <c r="P216" s="315"/>
      <c r="W216" s="3" t="b">
        <f t="shared" si="23"/>
        <v>1</v>
      </c>
      <c r="X216" s="566" t="e">
        <f t="shared" si="21"/>
        <v>#VALUE!</v>
      </c>
      <c r="Y216" s="566" t="e">
        <f t="shared" si="22"/>
        <v>#VALUE!</v>
      </c>
    </row>
    <row r="217" spans="1:27" ht="115.5" customHeight="1" x14ac:dyDescent="0.3">
      <c r="A217" s="598">
        <f>'Unit Data from Audit Worksheet'!A265</f>
        <v>598</v>
      </c>
      <c r="B217" s="347" t="str">
        <f>'Unit Data from Audit Worksheet'!C265</f>
        <v>LEO Note</v>
      </c>
      <c r="C217" s="332" t="str">
        <f>'Unit Data from Audit Worksheet'!D265</f>
        <v>Amount the unit paid out in benefits under LEO special separation allowance to retired law enforcement officers this fiscal year if you report under GASB 68 or GASB 73.</v>
      </c>
      <c r="D217" s="352"/>
      <c r="E217" s="353">
        <f>'Unit Data from Audit Worksheet'!F265</f>
        <v>0</v>
      </c>
      <c r="F217" s="346">
        <f>IF(L217&lt;0,"Error: Enter as a positive.",)</f>
        <v>0</v>
      </c>
      <c r="G217" s="348"/>
      <c r="H217" s="345">
        <f>'Unit Data from Audit Worksheet'!I265</f>
        <v>0</v>
      </c>
      <c r="I217" s="38"/>
      <c r="J217" s="344">
        <v>598</v>
      </c>
      <c r="K217" s="94" t="s">
        <v>621</v>
      </c>
      <c r="L217" s="569">
        <f t="shared" si="20"/>
        <v>0</v>
      </c>
      <c r="P217" s="315"/>
      <c r="W217" s="3" t="b">
        <f t="shared" si="23"/>
        <v>1</v>
      </c>
      <c r="X217" s="566">
        <f t="shared" si="21"/>
        <v>0</v>
      </c>
      <c r="Y217" s="566">
        <f t="shared" si="22"/>
        <v>0</v>
      </c>
    </row>
    <row r="218" spans="1:27" ht="84" customHeight="1" x14ac:dyDescent="0.3">
      <c r="A218" s="333">
        <f>'Unit Data from Audit Worksheet'!A266</f>
        <v>599</v>
      </c>
      <c r="B218" s="347" t="str">
        <f>'Unit Data from Audit Worksheet'!C266</f>
        <v>LEO Note</v>
      </c>
      <c r="C218" s="332" t="str">
        <f>'Unit Data from Audit Worksheet'!D266</f>
        <v>The total LEO pension liability if you report under GASB 68 or GASB 73.</v>
      </c>
      <c r="D218" s="352"/>
      <c r="E218" s="353">
        <f>'Unit Data from Audit Worksheet'!F266</f>
        <v>0</v>
      </c>
      <c r="F218" s="346">
        <f>IF(L218&lt;0,"Error: Enter as a positive.",)</f>
        <v>0</v>
      </c>
      <c r="G218" s="348"/>
      <c r="H218" s="345">
        <f>'Unit Data from Audit Worksheet'!I266</f>
        <v>0</v>
      </c>
      <c r="I218" s="38"/>
      <c r="J218" s="344">
        <v>599</v>
      </c>
      <c r="K218" s="93" t="s">
        <v>620</v>
      </c>
      <c r="L218" s="569">
        <f t="shared" si="20"/>
        <v>0</v>
      </c>
      <c r="M218" s="599"/>
      <c r="P218" s="315"/>
      <c r="W218" s="3" t="b">
        <f t="shared" si="23"/>
        <v>1</v>
      </c>
      <c r="X218" s="566">
        <f t="shared" si="21"/>
        <v>0</v>
      </c>
      <c r="Y218" s="566">
        <f t="shared" si="22"/>
        <v>0</v>
      </c>
    </row>
    <row r="219" spans="1:27" ht="102.75" customHeight="1" x14ac:dyDescent="0.3">
      <c r="A219" s="333">
        <f>'Unit Data from Audit Worksheet'!A267</f>
        <v>602</v>
      </c>
      <c r="B219" s="347" t="str">
        <f>'Unit Data from Audit Worksheet'!C267</f>
        <v>LEO Note</v>
      </c>
      <c r="C219" s="332" t="str">
        <f>'Unit Data from Audit Worksheet'!D267</f>
        <v>If you have LEO pension assets and are reporting under GASB 68 please enter "Plan Fiduciary Net Position" which can be found on your RSI schedules and the Notes.</v>
      </c>
      <c r="D219" s="352"/>
      <c r="E219" s="353">
        <f>'Unit Data from Audit Worksheet'!F267</f>
        <v>0</v>
      </c>
      <c r="F219" s="346">
        <f>IF(L219&lt;0,"Error: Enter as a positive.",)</f>
        <v>0</v>
      </c>
      <c r="G219" s="348"/>
      <c r="H219" s="345">
        <f>'Unit Data from Audit Worksheet'!I267</f>
        <v>0</v>
      </c>
      <c r="I219" s="38"/>
      <c r="J219" s="344">
        <v>602</v>
      </c>
      <c r="K219" s="26" t="s">
        <v>622</v>
      </c>
      <c r="L219" s="569">
        <f t="shared" si="20"/>
        <v>0</v>
      </c>
      <c r="M219" s="599"/>
      <c r="P219" s="315"/>
      <c r="W219" s="3" t="b">
        <f t="shared" si="23"/>
        <v>1</v>
      </c>
      <c r="X219" s="566">
        <f t="shared" si="21"/>
        <v>0</v>
      </c>
      <c r="Y219" s="566">
        <f t="shared" si="22"/>
        <v>0</v>
      </c>
    </row>
    <row r="220" spans="1:27" ht="123" customHeight="1" x14ac:dyDescent="0.3">
      <c r="A220" s="333">
        <f>'Unit Data from Audit Worksheet'!A268</f>
        <v>619</v>
      </c>
      <c r="B220" s="347"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6" t="str">
        <f>IF(H220=L220,"","Column L does not equal Column H")</f>
        <v/>
      </c>
      <c r="G220" s="348"/>
      <c r="H220" s="103">
        <f>ROUND(IFERROR((L219/L218)*100,0),1)</f>
        <v>0</v>
      </c>
      <c r="I220" s="38"/>
      <c r="J220" s="335">
        <v>619</v>
      </c>
      <c r="K220" s="102" t="s">
        <v>809</v>
      </c>
      <c r="L220" s="888">
        <f t="shared" si="20"/>
        <v>0</v>
      </c>
      <c r="M220" s="599"/>
      <c r="P220" s="600"/>
      <c r="Q220" s="601">
        <f>IF(H220=L220,0,1)</f>
        <v>0</v>
      </c>
      <c r="W220" s="3" t="b">
        <f t="shared" si="23"/>
        <v>1</v>
      </c>
      <c r="X220" s="566">
        <f t="shared" si="21"/>
        <v>0</v>
      </c>
      <c r="Y220" s="566">
        <f t="shared" si="22"/>
        <v>0</v>
      </c>
    </row>
    <row r="221" spans="1:27" ht="113.25" customHeight="1" x14ac:dyDescent="0.3">
      <c r="A221" s="333">
        <v>621</v>
      </c>
      <c r="B221" s="57" t="s">
        <v>644</v>
      </c>
      <c r="C221" s="602" t="str">
        <f>'Unit Data from Audit Worksheet'!D270</f>
        <v xml:space="preserve">Unit's share of Retirement Health Benefit Fund Net OPEB Liability ($s)
- unit of government is a participating employer in the State's RHBF </v>
      </c>
      <c r="D221" s="95"/>
      <c r="E221" s="353">
        <f>'Unit Data from Audit Worksheet'!F270</f>
        <v>0</v>
      </c>
      <c r="F221" s="346">
        <f>IF(L221&lt;0,"Error: Enter as a positive.",)</f>
        <v>0</v>
      </c>
      <c r="G221" s="128"/>
      <c r="H221" s="345"/>
      <c r="I221" s="38"/>
      <c r="J221" s="603">
        <v>621</v>
      </c>
      <c r="K221" s="129" t="s">
        <v>814</v>
      </c>
      <c r="L221" s="569">
        <f t="shared" si="20"/>
        <v>0</v>
      </c>
      <c r="M221" s="599"/>
      <c r="P221" s="603"/>
      <c r="Q221" s="295"/>
      <c r="W221" s="3" t="b">
        <f t="shared" si="23"/>
        <v>1</v>
      </c>
      <c r="X221" s="566">
        <f t="shared" si="21"/>
        <v>0</v>
      </c>
      <c r="Y221" s="566">
        <f t="shared" si="22"/>
        <v>0</v>
      </c>
    </row>
    <row r="222" spans="1:27" s="18" customFormat="1" ht="127.5" customHeight="1" x14ac:dyDescent="0.3">
      <c r="A222" s="598">
        <f>'Unit Data from Audit Worksheet'!A271</f>
        <v>547</v>
      </c>
      <c r="B222" s="347" t="str">
        <f>'Unit Data from Audit Worksheet'!C271</f>
        <v>OPEB Note</v>
      </c>
      <c r="C222" s="347"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2"/>
      <c r="E222" s="353">
        <f>'Unit Data from Audit Worksheet'!F271</f>
        <v>0</v>
      </c>
      <c r="F222" s="346" t="str">
        <f>IF(L225&lt;1,"Please answer this question","")</f>
        <v>Please answer this question</v>
      </c>
      <c r="G222" s="348"/>
      <c r="H222" s="345">
        <f>'Unit Data from Audit Worksheet'!I271</f>
        <v>0</v>
      </c>
      <c r="I222" s="38"/>
      <c r="J222" s="344">
        <v>547</v>
      </c>
      <c r="K222" s="604" t="s">
        <v>536</v>
      </c>
      <c r="L222" s="569">
        <f t="shared" si="20"/>
        <v>0</v>
      </c>
      <c r="M222" s="590"/>
      <c r="P222" s="315"/>
      <c r="Q222" s="559"/>
      <c r="R222" s="3"/>
      <c r="W222" s="3" t="b">
        <f t="shared" si="23"/>
        <v>1</v>
      </c>
      <c r="X222" s="566">
        <f t="shared" si="21"/>
        <v>0</v>
      </c>
      <c r="Y222" s="566">
        <f t="shared" si="22"/>
        <v>0</v>
      </c>
      <c r="AA222" s="3"/>
    </row>
    <row r="223" spans="1:27" s="18" customFormat="1" ht="99" customHeight="1" x14ac:dyDescent="0.3">
      <c r="A223" s="333">
        <f>'Unit Data from Audit Worksheet'!A272</f>
        <v>659</v>
      </c>
      <c r="B223" s="347" t="str">
        <f>'Unit Data from Audit Worksheet'!C272</f>
        <v>OPEB
 Note or RSI</v>
      </c>
      <c r="C223" s="332" t="str">
        <f>'Unit Data from Audit Worksheet'!D272</f>
        <v>Total OPEB benefits - total OPEB liability
If you do not provide benefit, please enter 0</v>
      </c>
      <c r="D223" s="352"/>
      <c r="E223" s="353">
        <f>'Unit Data from Audit Worksheet'!F272</f>
        <v>0</v>
      </c>
      <c r="F223" s="346">
        <f>IF(L223&lt;0,"Error: Enter as a positive.",)</f>
        <v>0</v>
      </c>
      <c r="G223" s="605" t="s">
        <v>1243</v>
      </c>
      <c r="H223" s="345">
        <f>'Unit Data from Audit Worksheet'!I272</f>
        <v>0</v>
      </c>
      <c r="I223" s="38"/>
      <c r="J223" s="335">
        <v>659</v>
      </c>
      <c r="K223" s="334" t="s">
        <v>739</v>
      </c>
      <c r="L223" s="583">
        <f t="shared" si="20"/>
        <v>0</v>
      </c>
      <c r="M223" s="590"/>
      <c r="P223" s="600"/>
      <c r="Q223" s="559"/>
      <c r="R223" s="3"/>
      <c r="W223" s="3" t="b">
        <f t="shared" si="23"/>
        <v>1</v>
      </c>
      <c r="X223" s="566">
        <f t="shared" si="21"/>
        <v>0</v>
      </c>
      <c r="Y223" s="566">
        <f t="shared" si="22"/>
        <v>0</v>
      </c>
      <c r="AA223" s="3"/>
    </row>
    <row r="224" spans="1:27" s="18" customFormat="1" ht="131.25" customHeight="1" x14ac:dyDescent="0.3">
      <c r="A224" s="333">
        <f>'Unit Data from Audit Worksheet'!A273</f>
        <v>660</v>
      </c>
      <c r="B224" s="347" t="str">
        <f>'Unit Data from Audit Worksheet'!C273</f>
        <v>OPEB
 Note or RSI</v>
      </c>
      <c r="C224" s="332" t="str">
        <f>'Unit Data from Audit Worksheet'!D273</f>
        <v>Total OPEB benefits- OPEB plan fiduciary net position
If no fiduciary net position, enter 0</v>
      </c>
      <c r="D224" s="352"/>
      <c r="E224" s="353">
        <f>'Unit Data from Audit Worksheet'!F273</f>
        <v>0</v>
      </c>
      <c r="F224" s="342">
        <f>IF(L224&lt;0,"Note: Number is normally positive.",)</f>
        <v>0</v>
      </c>
      <c r="G224" s="605" t="s">
        <v>1243</v>
      </c>
      <c r="H224" s="345">
        <f>'Unit Data from Audit Worksheet'!I273</f>
        <v>0</v>
      </c>
      <c r="I224" s="38"/>
      <c r="J224" s="335">
        <v>660</v>
      </c>
      <c r="K224" s="334" t="s">
        <v>740</v>
      </c>
      <c r="L224" s="583">
        <f t="shared" si="20"/>
        <v>0</v>
      </c>
      <c r="M224" s="590"/>
      <c r="P224" s="600"/>
      <c r="Q224" s="559"/>
      <c r="R224" s="3"/>
      <c r="W224" s="3" t="b">
        <f t="shared" si="23"/>
        <v>1</v>
      </c>
      <c r="X224" s="566">
        <f t="shared" si="21"/>
        <v>0</v>
      </c>
      <c r="Y224" s="566">
        <f t="shared" si="22"/>
        <v>0</v>
      </c>
      <c r="AA224" s="3"/>
    </row>
    <row r="225" spans="1:27" ht="134.25" customHeight="1" x14ac:dyDescent="0.3">
      <c r="A225" s="333">
        <f>'Unit Data from Audit Worksheet'!A274</f>
        <v>661</v>
      </c>
      <c r="B225" s="347" t="str">
        <f>'Unit Data from Audit Worksheet'!C274</f>
        <v>OPEB
RSI</v>
      </c>
      <c r="C225" s="332"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1">
        <f>'Unit Data from Audit Worksheet'!F274</f>
        <v>0</v>
      </c>
      <c r="F225" s="346" t="str">
        <f>IF(H225=L225,"","Column L does not equal Column H")</f>
        <v/>
      </c>
      <c r="G225" s="605" t="s">
        <v>1243</v>
      </c>
      <c r="H225" s="175">
        <f>ROUND(IFERROR((L224/L223)*100,0),1)</f>
        <v>0</v>
      </c>
      <c r="I225" s="38"/>
      <c r="J225" s="335">
        <v>661</v>
      </c>
      <c r="K225" s="350" t="s">
        <v>743</v>
      </c>
      <c r="L225" s="606">
        <f>IF(D225="",E225,D225)</f>
        <v>0</v>
      </c>
      <c r="P225" s="600"/>
      <c r="Q225" s="601">
        <f>IF(H225=L225,0,1)</f>
        <v>0</v>
      </c>
      <c r="W225" s="3" t="b">
        <f t="shared" si="23"/>
        <v>1</v>
      </c>
      <c r="X225" s="566">
        <f t="shared" si="21"/>
        <v>0</v>
      </c>
      <c r="Y225" s="566">
        <f t="shared" si="22"/>
        <v>0</v>
      </c>
    </row>
    <row r="226" spans="1:27" ht="65.25" customHeight="1" x14ac:dyDescent="0.3">
      <c r="A226" s="333">
        <f>'Unit Data from Audit Worksheet'!A277</f>
        <v>371</v>
      </c>
      <c r="B226" s="347" t="str">
        <f>'Unit Data from Audit Worksheet'!C277</f>
        <v>Transfer Note</v>
      </c>
      <c r="C226" s="332" t="str">
        <f>'Unit Data from Audit Worksheet'!D277</f>
        <v>Amount of Transfers from the General Fund to the Debt Service Fund (Enter as positive)</v>
      </c>
      <c r="D226" s="352"/>
      <c r="E226" s="353">
        <f>'Unit Data from Audit Worksheet'!F277</f>
        <v>0</v>
      </c>
      <c r="F226" s="346">
        <f>IF(L226&lt;0,"Error: Enter as a positive.",)</f>
        <v>0</v>
      </c>
      <c r="G226" s="348"/>
      <c r="H226" s="345">
        <f>'Unit Data from Audit Worksheet'!I277</f>
        <v>0</v>
      </c>
      <c r="I226" s="38"/>
      <c r="J226" s="39">
        <v>371</v>
      </c>
      <c r="K226" s="343" t="s">
        <v>258</v>
      </c>
      <c r="L226" s="569">
        <f t="shared" si="20"/>
        <v>0</v>
      </c>
      <c r="P226" s="321"/>
      <c r="Q226" s="3"/>
      <c r="W226" s="3" t="b">
        <f t="shared" si="23"/>
        <v>1</v>
      </c>
      <c r="X226" s="566">
        <f t="shared" si="21"/>
        <v>0</v>
      </c>
      <c r="Y226" s="566">
        <f t="shared" si="22"/>
        <v>0</v>
      </c>
    </row>
    <row r="227" spans="1:27" ht="63" customHeight="1" x14ac:dyDescent="0.3">
      <c r="A227" s="333">
        <f>'Unit Data from Audit Worksheet'!A278</f>
        <v>513</v>
      </c>
      <c r="B227" s="347" t="str">
        <f>'Unit Data from Audit Worksheet'!C278</f>
        <v>Transfer Note</v>
      </c>
      <c r="C227" s="332" t="str">
        <f>'Unit Data from Audit Worksheet'!D278</f>
        <v>Amount of Transfers from the General Fund to the Electric Fund  (Enter as positive)</v>
      </c>
      <c r="D227" s="352"/>
      <c r="E227" s="353">
        <f>'Unit Data from Audit Worksheet'!F278</f>
        <v>0</v>
      </c>
      <c r="F227" s="346">
        <f>IF(L227&lt;0,"Error: Enter as a positive.",)</f>
        <v>0</v>
      </c>
      <c r="G227" s="348"/>
      <c r="H227" s="345">
        <f>'Unit Data from Audit Worksheet'!I278</f>
        <v>0</v>
      </c>
      <c r="I227" s="38"/>
      <c r="J227" s="344">
        <v>513</v>
      </c>
      <c r="K227" s="343" t="s">
        <v>259</v>
      </c>
      <c r="L227" s="569">
        <f t="shared" si="20"/>
        <v>0</v>
      </c>
      <c r="P227" s="315"/>
      <c r="W227" s="3" t="b">
        <f t="shared" si="23"/>
        <v>1</v>
      </c>
      <c r="X227" s="566">
        <f t="shared" si="21"/>
        <v>0</v>
      </c>
      <c r="Y227" s="566">
        <f t="shared" si="22"/>
        <v>0</v>
      </c>
    </row>
    <row r="228" spans="1:27" ht="89.25" customHeight="1" x14ac:dyDescent="0.3">
      <c r="A228" s="333">
        <f>'Unit Data from Audit Worksheet'!A279</f>
        <v>514</v>
      </c>
      <c r="B228" s="347" t="str">
        <f>'Unit Data from Audit Worksheet'!C279</f>
        <v>Transfer Note</v>
      </c>
      <c r="C228" s="332" t="str">
        <f>'Unit Data from Audit Worksheet'!D279</f>
        <v>Amount of Transfers from the Electric Fund to the General Fund  (Enter as positive)
Include:  Payment in Lieu of Taxes (PILOT)</v>
      </c>
      <c r="D228" s="352"/>
      <c r="E228" s="353">
        <f>'Unit Data from Audit Worksheet'!F279</f>
        <v>0</v>
      </c>
      <c r="F228" s="346">
        <f>IF(L228&lt;0,"Error: Enter as a positive.",)</f>
        <v>0</v>
      </c>
      <c r="G228" s="348"/>
      <c r="H228" s="345">
        <f>'Unit Data from Audit Worksheet'!I279</f>
        <v>0</v>
      </c>
      <c r="I228" s="38"/>
      <c r="J228" s="344">
        <v>514</v>
      </c>
      <c r="K228" s="343" t="s">
        <v>260</v>
      </c>
      <c r="L228" s="569">
        <f t="shared" si="20"/>
        <v>0</v>
      </c>
      <c r="P228" s="315"/>
      <c r="W228" s="3" t="b">
        <f t="shared" si="23"/>
        <v>1</v>
      </c>
      <c r="X228" s="566">
        <f t="shared" si="21"/>
        <v>0</v>
      </c>
      <c r="Y228" s="566">
        <f t="shared" si="22"/>
        <v>0</v>
      </c>
    </row>
    <row r="229" spans="1:27" ht="89.25" customHeight="1" x14ac:dyDescent="0.3">
      <c r="A229" s="585">
        <f>'Unit Data from Audit Worksheet'!A280</f>
        <v>990</v>
      </c>
      <c r="B229" s="351" t="str">
        <f>'Unit Data from Audit Worksheet'!C280</f>
        <v>Transfer Note</v>
      </c>
      <c r="C229" s="586" t="str">
        <f>'Unit Data from Audit Worksheet'!D280</f>
        <v>Amount of transfer out to the General Fund that is for Payment in Lieu of Taxes (PILOT)</v>
      </c>
      <c r="D229" s="352"/>
      <c r="E229" s="353">
        <f>'Unit Data from Audit Worksheet'!F280</f>
        <v>0</v>
      </c>
      <c r="F229" s="346"/>
      <c r="G229" s="348"/>
      <c r="H229" s="345">
        <f>'Unit Data from Audit Worksheet'!I280</f>
        <v>0</v>
      </c>
      <c r="I229" s="38"/>
      <c r="J229" s="362">
        <v>990</v>
      </c>
      <c r="K229" s="126" t="s">
        <v>982</v>
      </c>
      <c r="L229" s="569">
        <f t="shared" si="20"/>
        <v>0</v>
      </c>
      <c r="P229" s="315"/>
      <c r="X229" s="566"/>
      <c r="Y229" s="566"/>
    </row>
    <row r="230" spans="1:27" ht="84.75" customHeight="1" x14ac:dyDescent="0.3">
      <c r="A230" s="607">
        <f>'Unit Data from Audit Worksheet'!A282</f>
        <v>6</v>
      </c>
      <c r="B230" s="53" t="str">
        <f>'Unit Data from Audit Worksheet'!C282</f>
        <v>Fund Balance Note</v>
      </c>
      <c r="C230" s="579" t="str">
        <f>'Unit Data from Audit Worksheet'!D282</f>
        <v>General Fund -  Total Encumbrances.  You will probably have to refer to the note disclosure where the amount of encumbrances is listed.</v>
      </c>
      <c r="D230" s="352"/>
      <c r="E230" s="154">
        <f>'Unit Data from Audit Worksheet'!F282</f>
        <v>0</v>
      </c>
      <c r="F230" s="37">
        <f>IF(L230&lt;0,"Error: Enter as a positive.",)</f>
        <v>0</v>
      </c>
      <c r="G230" s="73"/>
      <c r="H230" s="345">
        <f>'Unit Data from Audit Worksheet'!I282</f>
        <v>0</v>
      </c>
      <c r="I230" s="38"/>
      <c r="J230" s="41">
        <v>6</v>
      </c>
      <c r="K230" s="133" t="s">
        <v>261</v>
      </c>
      <c r="L230" s="569">
        <f t="shared" si="20"/>
        <v>0</v>
      </c>
      <c r="P230" s="315"/>
      <c r="W230" s="3" t="b">
        <f t="shared" ref="W230:W258" si="24">EXACT(A230,J230)</f>
        <v>1</v>
      </c>
      <c r="X230" s="566">
        <f t="shared" si="21"/>
        <v>0</v>
      </c>
      <c r="Y230" s="566">
        <f t="shared" si="22"/>
        <v>0</v>
      </c>
    </row>
    <row r="231" spans="1:27" ht="117.75" customHeight="1" x14ac:dyDescent="0.3">
      <c r="A231" s="333">
        <f>'Unit Data from Audit Worksheet'!A284</f>
        <v>541</v>
      </c>
      <c r="B231" s="347" t="str">
        <f>'Unit Data from Audit Worksheet'!C284</f>
        <v>Water Sewer - Budget Actual Statement</v>
      </c>
      <c r="C231" s="347"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2"/>
      <c r="E231" s="353">
        <f>'Unit Data from Audit Worksheet'!F284</f>
        <v>0</v>
      </c>
      <c r="F231" s="346"/>
      <c r="G231" s="348"/>
      <c r="H231" s="345">
        <f>'Unit Data from Audit Worksheet'!I284</f>
        <v>0</v>
      </c>
      <c r="I231" s="38"/>
      <c r="J231" s="344">
        <v>541</v>
      </c>
      <c r="K231" s="88" t="s">
        <v>549</v>
      </c>
      <c r="L231" s="569">
        <f t="shared" si="20"/>
        <v>0</v>
      </c>
      <c r="P231" s="315"/>
      <c r="W231" s="3" t="b">
        <f t="shared" si="24"/>
        <v>1</v>
      </c>
      <c r="X231" s="566">
        <f t="shared" si="21"/>
        <v>0</v>
      </c>
      <c r="Y231" s="566">
        <f t="shared" si="22"/>
        <v>0</v>
      </c>
    </row>
    <row r="232" spans="1:27" ht="94.5" customHeight="1" x14ac:dyDescent="0.3">
      <c r="A232" s="333">
        <f>'Unit Data from Audit Worksheet'!A286</f>
        <v>542</v>
      </c>
      <c r="B232" s="347" t="str">
        <f>'Unit Data from Audit Worksheet'!C286</f>
        <v>Water Sewer - Disclosed in the Notes or in the recently approved Budget for next year.</v>
      </c>
      <c r="C232" s="332" t="str">
        <f>'Unit Data from Audit Worksheet'!D286</f>
        <v>Amount of the Water Sewer Fund Balance appropriated in next year's budget?</v>
      </c>
      <c r="D232" s="352"/>
      <c r="E232" s="353">
        <f>'Unit Data from Audit Worksheet'!F286</f>
        <v>0</v>
      </c>
      <c r="F232" s="346"/>
      <c r="G232" s="348"/>
      <c r="H232" s="345">
        <f>'Unit Data from Audit Worksheet'!I286</f>
        <v>0</v>
      </c>
      <c r="I232" s="38"/>
      <c r="J232" s="344">
        <v>542</v>
      </c>
      <c r="K232" s="343" t="s">
        <v>262</v>
      </c>
      <c r="L232" s="569">
        <f t="shared" si="20"/>
        <v>0</v>
      </c>
      <c r="N232" s="61" t="s">
        <v>540</v>
      </c>
      <c r="P232" s="315"/>
      <c r="W232" s="3" t="b">
        <f t="shared" si="24"/>
        <v>1</v>
      </c>
      <c r="X232" s="566">
        <f t="shared" si="21"/>
        <v>0</v>
      </c>
      <c r="Y232" s="566">
        <f t="shared" si="22"/>
        <v>0</v>
      </c>
    </row>
    <row r="233" spans="1:27" ht="93.75" customHeight="1" x14ac:dyDescent="0.3">
      <c r="A233" s="333">
        <f>'Unit Data from Audit Worksheet'!A289</f>
        <v>528</v>
      </c>
      <c r="B233" s="347" t="str">
        <f>'Unit Data from Audit Worksheet'!C289</f>
        <v>Analysis of Current Tax Levy Schedule</v>
      </c>
      <c r="C233" s="332" t="str">
        <f>'Unit Data from Audit Worksheet'!D289</f>
        <v>Please enter the Net Current year's levy for property excluding registered motor vehicles-- (after adjusting for discoveries and abatements)
Exclude Supplemental Taxes</v>
      </c>
      <c r="D233" s="352"/>
      <c r="E233" s="353">
        <f>'Unit Data from Audit Worksheet'!F289</f>
        <v>0</v>
      </c>
      <c r="F233" s="82" t="str">
        <f>IF(L233=0,"Must be completed if unit levys taxes","")</f>
        <v>Must be completed if unit levys taxes</v>
      </c>
      <c r="G233" s="348"/>
      <c r="H233" s="345"/>
      <c r="I233" s="38"/>
      <c r="J233" s="344">
        <v>528</v>
      </c>
      <c r="K233" s="608" t="s">
        <v>267</v>
      </c>
      <c r="L233" s="569">
        <f t="shared" si="20"/>
        <v>0</v>
      </c>
      <c r="N233" s="83"/>
      <c r="P233" s="315"/>
      <c r="W233" s="3" t="b">
        <f t="shared" si="24"/>
        <v>1</v>
      </c>
      <c r="X233" s="566">
        <f t="shared" si="21"/>
        <v>0</v>
      </c>
      <c r="Y233" s="566">
        <f t="shared" si="22"/>
        <v>0</v>
      </c>
    </row>
    <row r="234" spans="1:27" s="18" customFormat="1" ht="79.5" customHeight="1" x14ac:dyDescent="0.3">
      <c r="A234" s="333">
        <f>'Unit Data from Audit Worksheet'!A290</f>
        <v>529</v>
      </c>
      <c r="B234" s="347" t="str">
        <f>'Unit Data from Audit Worksheet'!C290</f>
        <v>Analysis of Current Tax Levy Schedule</v>
      </c>
      <c r="C234" s="332" t="str">
        <f>'Unit Data from Audit Worksheet'!D290</f>
        <v>Please enter the Net Current year's levy -- Motor vehicles (only) (after adjusting for discoveries and abatements)
Exclude supplemental taxes</v>
      </c>
      <c r="D234" s="352"/>
      <c r="E234" s="353">
        <f>'Unit Data from Audit Worksheet'!F290</f>
        <v>0</v>
      </c>
      <c r="F234" s="82" t="str">
        <f>IF(L234=0,"Must be completed if unit levys taxes","")</f>
        <v>Must be completed if unit levys taxes</v>
      </c>
      <c r="G234" s="348"/>
      <c r="H234" s="345"/>
      <c r="I234" s="38"/>
      <c r="J234" s="344">
        <v>529</v>
      </c>
      <c r="K234" s="608" t="s">
        <v>268</v>
      </c>
      <c r="L234" s="569">
        <f t="shared" si="20"/>
        <v>0</v>
      </c>
      <c r="N234" s="83"/>
      <c r="P234" s="315"/>
      <c r="Q234" s="559"/>
      <c r="R234" s="3"/>
      <c r="W234" s="3" t="b">
        <f t="shared" si="24"/>
        <v>1</v>
      </c>
      <c r="X234" s="566">
        <f t="shared" si="21"/>
        <v>0</v>
      </c>
      <c r="Y234" s="566">
        <f t="shared" si="22"/>
        <v>0</v>
      </c>
      <c r="AA234" s="3"/>
    </row>
    <row r="235" spans="1:27" s="18" customFormat="1" ht="75" customHeight="1" x14ac:dyDescent="0.3">
      <c r="A235" s="333">
        <f>'Unit Data from Audit Worksheet'!A291</f>
        <v>530</v>
      </c>
      <c r="B235" s="347" t="str">
        <f>'Unit Data from Audit Worksheet'!C291</f>
        <v>Analysis of Current Tax Levy Schedule</v>
      </c>
      <c r="C235" s="332" t="str">
        <f>'Unit Data from Audit Worksheet'!D291</f>
        <v>Uncollected Taxes - Curr Year's Levy Exclude Motor Vehicles
Exclude supplemental taxes</v>
      </c>
      <c r="D235" s="352"/>
      <c r="E235" s="353">
        <f>'Unit Data from Audit Worksheet'!F291</f>
        <v>0</v>
      </c>
      <c r="F235" s="82" t="str">
        <f>IF(L235=0,"Must be completed if unit levys taxes","")</f>
        <v>Must be completed if unit levys taxes</v>
      </c>
      <c r="G235" s="348"/>
      <c r="H235" s="345"/>
      <c r="I235" s="38"/>
      <c r="J235" s="344">
        <v>530</v>
      </c>
      <c r="K235" s="608" t="s">
        <v>269</v>
      </c>
      <c r="L235" s="569">
        <f t="shared" ref="L235:L241" si="25">IF(D235="",E235,D235)</f>
        <v>0</v>
      </c>
      <c r="N235" s="83"/>
      <c r="P235" s="315"/>
      <c r="Q235" s="559"/>
      <c r="R235" s="3"/>
      <c r="W235" s="3" t="b">
        <f t="shared" si="24"/>
        <v>1</v>
      </c>
      <c r="X235" s="566">
        <f t="shared" si="21"/>
        <v>0</v>
      </c>
      <c r="Y235" s="566">
        <f t="shared" si="22"/>
        <v>0</v>
      </c>
      <c r="AA235" s="3"/>
    </row>
    <row r="236" spans="1:27" s="18" customFormat="1" ht="68.25" customHeight="1" x14ac:dyDescent="0.3">
      <c r="A236" s="333">
        <f>'Unit Data from Audit Worksheet'!A292</f>
        <v>531</v>
      </c>
      <c r="B236" s="347" t="str">
        <f>'Unit Data from Audit Worksheet'!C292</f>
        <v>Analysis of Current Tax Levy Schedule</v>
      </c>
      <c r="C236" s="332" t="str">
        <f>'Unit Data from Audit Worksheet'!D292</f>
        <v>Uncollected Taxes - Curr Year's Levy Motor Vehicles
Exclude supplemental taxes</v>
      </c>
      <c r="D236" s="352"/>
      <c r="E236" s="353">
        <f>'Unit Data from Audit Worksheet'!F292</f>
        <v>0</v>
      </c>
      <c r="F236" s="82" t="str">
        <f>IF(L236=0,"Must be completed if unit levys taxes","")</f>
        <v>Must be completed if unit levys taxes</v>
      </c>
      <c r="G236" s="348"/>
      <c r="H236" s="345"/>
      <c r="I236" s="38"/>
      <c r="J236" s="344">
        <v>531</v>
      </c>
      <c r="K236" s="608" t="s">
        <v>270</v>
      </c>
      <c r="L236" s="569">
        <f t="shared" si="25"/>
        <v>0</v>
      </c>
      <c r="N236" s="83" t="str">
        <f>IF(T240=0,"Must be completed if unit levys taxes, zero acceptable if Motor Vehicle collection rate is 100%","")</f>
        <v>Must be completed if unit levys taxes, zero acceptable if Motor Vehicle collection rate is 100%</v>
      </c>
      <c r="P236" s="315"/>
      <c r="Q236" s="559"/>
      <c r="R236" s="3"/>
      <c r="W236" s="3" t="b">
        <f t="shared" si="24"/>
        <v>1</v>
      </c>
      <c r="X236" s="566">
        <f t="shared" si="21"/>
        <v>0</v>
      </c>
      <c r="Y236" s="566">
        <f t="shared" si="22"/>
        <v>0</v>
      </c>
      <c r="AA236" s="3"/>
    </row>
    <row r="237" spans="1:27" ht="90.75" customHeight="1" x14ac:dyDescent="0.3">
      <c r="A237" s="333">
        <f>'Unit Data from Audit Worksheet'!A293</f>
        <v>61</v>
      </c>
      <c r="B237" s="347" t="str">
        <f>'Unit Data from Audit Worksheet'!C293</f>
        <v>Analysis of Current Tax Levy Schedule</v>
      </c>
      <c r="C237" s="332"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48" t="str">
        <f>IF(Q237=1," Included in error count"," ")</f>
        <v xml:space="preserve"> </v>
      </c>
      <c r="H237" s="348">
        <f>ROUND(IFERROR(((L233+L234)-(L235+L236))/(L233+L234)*100,0),2)</f>
        <v>0</v>
      </c>
      <c r="I237" s="38"/>
      <c r="J237" s="344">
        <v>61</v>
      </c>
      <c r="K237" s="58" t="s">
        <v>264</v>
      </c>
      <c r="L237" s="609">
        <f t="shared" si="25"/>
        <v>0</v>
      </c>
      <c r="N237" s="83"/>
      <c r="P237" s="315"/>
      <c r="Q237" s="559">
        <f>IF(L237-H237&lt;&gt;0,1,0)</f>
        <v>0</v>
      </c>
      <c r="W237" s="3" t="b">
        <f t="shared" si="24"/>
        <v>1</v>
      </c>
      <c r="X237" s="566">
        <f t="shared" si="21"/>
        <v>0</v>
      </c>
      <c r="Y237" s="566">
        <f t="shared" si="22"/>
        <v>0</v>
      </c>
    </row>
    <row r="238" spans="1:27" ht="89.25" customHeight="1" x14ac:dyDescent="0.3">
      <c r="A238" s="333">
        <f>'Unit Data from Audit Worksheet'!A294</f>
        <v>102</v>
      </c>
      <c r="B238" s="347" t="str">
        <f>'Unit Data from Audit Worksheet'!C294</f>
        <v>Analysis of Current Tax Levy Schedule</v>
      </c>
      <c r="C238" s="332"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48" t="str">
        <f>IF(Q238=1," Included in error count"," ")</f>
        <v xml:space="preserve"> </v>
      </c>
      <c r="H238" s="348">
        <f>ROUND(IFERROR(((L233)-(L235))/(L233)*100,0),2)</f>
        <v>0</v>
      </c>
      <c r="I238" s="38"/>
      <c r="J238" s="344">
        <v>102</v>
      </c>
      <c r="K238" s="58" t="s">
        <v>265</v>
      </c>
      <c r="L238" s="609">
        <f t="shared" si="25"/>
        <v>0</v>
      </c>
      <c r="N238" s="83"/>
      <c r="P238" s="315"/>
      <c r="Q238" s="559">
        <f>IF(L238-H238&lt;&gt;0,1,0)</f>
        <v>0</v>
      </c>
      <c r="W238" s="3" t="b">
        <f t="shared" si="24"/>
        <v>1</v>
      </c>
      <c r="X238" s="566">
        <f t="shared" si="21"/>
        <v>0</v>
      </c>
      <c r="Y238" s="566">
        <f t="shared" si="22"/>
        <v>0</v>
      </c>
    </row>
    <row r="239" spans="1:27" ht="87.75" customHeight="1" x14ac:dyDescent="0.3">
      <c r="A239" s="333">
        <f>'Unit Data from Audit Worksheet'!A295</f>
        <v>103</v>
      </c>
      <c r="B239" s="347" t="str">
        <f>'Unit Data from Audit Worksheet'!C295</f>
        <v>Analysis of Current Tax Levy Schedule</v>
      </c>
      <c r="C239" s="332"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48" t="str">
        <f>IF(Q239=1," Included in error count"," ")</f>
        <v xml:space="preserve"> </v>
      </c>
      <c r="H239" s="348">
        <f>ROUND(IFERROR(((L234)-(L236))/(L234)*100,0),2)</f>
        <v>0</v>
      </c>
      <c r="I239" s="38"/>
      <c r="J239" s="344">
        <v>103</v>
      </c>
      <c r="K239" s="58" t="s">
        <v>266</v>
      </c>
      <c r="L239" s="609">
        <f t="shared" si="25"/>
        <v>0</v>
      </c>
      <c r="N239" s="83"/>
      <c r="P239" s="315"/>
      <c r="Q239" s="559">
        <f>IF(L239-H239&lt;&gt;0,1,0)</f>
        <v>0</v>
      </c>
      <c r="W239" s="3" t="b">
        <f t="shared" si="24"/>
        <v>1</v>
      </c>
      <c r="X239" s="566">
        <f t="shared" si="21"/>
        <v>0</v>
      </c>
      <c r="Y239" s="566">
        <f t="shared" si="22"/>
        <v>0</v>
      </c>
    </row>
    <row r="240" spans="1:27" ht="86.25" customHeight="1" x14ac:dyDescent="0.3">
      <c r="A240" s="333">
        <f>'Unit Data from Audit Worksheet'!A296</f>
        <v>544</v>
      </c>
      <c r="B240" s="347" t="str">
        <f>'Unit Data from Audit Worksheet'!C296</f>
        <v>Analysis of Current Tax Levy Schedule</v>
      </c>
      <c r="C240" s="332" t="str">
        <f>'Unit Data from Audit Worksheet'!D296</f>
        <v>Property Tax Increase for Year Audited- enter amount of  increase in cents per $100 - leave blank if no increase 
Exclude supplemental taxes</v>
      </c>
      <c r="D240" s="352"/>
      <c r="E240" s="148">
        <f>'Unit Data from Audit Worksheet'!F296</f>
        <v>0</v>
      </c>
      <c r="F240" s="104"/>
      <c r="G240" s="348"/>
      <c r="H240" s="345">
        <f>'Unit Data from Audit Worksheet'!I296</f>
        <v>0</v>
      </c>
      <c r="I240" s="38"/>
      <c r="J240" s="344">
        <v>544</v>
      </c>
      <c r="K240" s="58" t="s">
        <v>53</v>
      </c>
      <c r="L240" s="610">
        <f t="shared" si="25"/>
        <v>0</v>
      </c>
      <c r="N240" s="61" t="s">
        <v>540</v>
      </c>
      <c r="P240" s="315"/>
      <c r="W240" s="3" t="b">
        <f t="shared" si="24"/>
        <v>1</v>
      </c>
      <c r="X240" s="566">
        <f t="shared" si="21"/>
        <v>0</v>
      </c>
      <c r="Y240" s="566">
        <f t="shared" si="22"/>
        <v>0</v>
      </c>
    </row>
    <row r="241" spans="1:25" ht="93.75" customHeight="1" x14ac:dyDescent="0.3">
      <c r="A241" s="333">
        <f>'Unit Data from Audit Worksheet'!A297</f>
        <v>545</v>
      </c>
      <c r="B241" s="347" t="str">
        <f>'Unit Data from Audit Worksheet'!C297</f>
        <v>Analysis of Current Tax Levy Schedule</v>
      </c>
      <c r="C241" s="332" t="str">
        <f>'Unit Data from Audit Worksheet'!D297</f>
        <v>Property Tax Increase for budget year after fiscal year being reported - enter amount of increase in cents per $100- leave blank if no increase
Exclude supplemental taxes</v>
      </c>
      <c r="D241" s="352"/>
      <c r="E241" s="148">
        <f>'Unit Data from Audit Worksheet'!F297</f>
        <v>0</v>
      </c>
      <c r="F241" s="346"/>
      <c r="G241" s="348"/>
      <c r="H241" s="345">
        <f>'Unit Data from Audit Worksheet'!I297</f>
        <v>0</v>
      </c>
      <c r="I241" s="38"/>
      <c r="J241" s="105">
        <v>545</v>
      </c>
      <c r="K241" s="58" t="s">
        <v>54</v>
      </c>
      <c r="L241" s="610">
        <f t="shared" si="25"/>
        <v>0</v>
      </c>
      <c r="N241" s="61" t="s">
        <v>540</v>
      </c>
      <c r="O241" s="578"/>
      <c r="P241" s="316"/>
      <c r="W241" s="3" t="b">
        <f t="shared" si="24"/>
        <v>1</v>
      </c>
      <c r="X241" s="566">
        <f t="shared" si="21"/>
        <v>0</v>
      </c>
      <c r="Y241" s="566">
        <f t="shared" si="22"/>
        <v>0</v>
      </c>
    </row>
    <row r="242" spans="1:25" ht="72.75" customHeight="1" x14ac:dyDescent="0.3">
      <c r="A242" s="333">
        <f>'Unit Data from Audit Worksheet'!A298</f>
        <v>624</v>
      </c>
      <c r="B242" s="347"/>
      <c r="C242" s="332" t="str">
        <f>'Unit Data from Audit Worksheet'!D298</f>
        <v>Does the County collect real estate property taxes on your behalf? Select "1" for "yes and "2" for "No"</v>
      </c>
      <c r="D242" s="352"/>
      <c r="E242" s="156">
        <f>'Unit Data from Audit Worksheet'!F298</f>
        <v>0</v>
      </c>
      <c r="F242" s="346"/>
      <c r="G242" s="348"/>
      <c r="H242" s="345"/>
      <c r="I242" s="38"/>
      <c r="J242" s="105">
        <v>624</v>
      </c>
      <c r="K242" s="58" t="s">
        <v>650</v>
      </c>
      <c r="L242" s="569">
        <f t="shared" ref="L242:L258" si="26">IF(D242="",E242,D242)</f>
        <v>0</v>
      </c>
      <c r="P242" s="316"/>
      <c r="W242" s="3" t="b">
        <f t="shared" si="24"/>
        <v>1</v>
      </c>
      <c r="X242" s="566">
        <f t="shared" si="21"/>
        <v>0</v>
      </c>
      <c r="Y242" s="566">
        <f t="shared" si="22"/>
        <v>0</v>
      </c>
    </row>
    <row r="243" spans="1:25" ht="72.75" customHeight="1" x14ac:dyDescent="0.3">
      <c r="A243" s="333">
        <f>'Unit Data from Audit Worksheet'!A299</f>
        <v>648</v>
      </c>
      <c r="B243" s="347"/>
      <c r="C243" s="332" t="str">
        <f>'Unit Data from Audit Worksheet'!D299</f>
        <v>Please enter your tax rate for ad valorem in effect for fiscal year audited.  Example 60 cents per 100 would be entered as .60</v>
      </c>
      <c r="D243" s="352"/>
      <c r="E243" s="156">
        <f>'Unit Data from Audit Worksheet'!F299</f>
        <v>0</v>
      </c>
      <c r="F243" s="346"/>
      <c r="G243" s="348"/>
      <c r="H243" s="345"/>
      <c r="I243" s="38"/>
      <c r="J243" s="105">
        <v>648</v>
      </c>
      <c r="K243" s="611" t="s">
        <v>1053</v>
      </c>
      <c r="L243" s="612">
        <f t="shared" si="26"/>
        <v>0</v>
      </c>
      <c r="P243" s="316"/>
      <c r="W243" s="3" t="b">
        <f t="shared" si="24"/>
        <v>1</v>
      </c>
      <c r="X243" s="566"/>
      <c r="Y243" s="566"/>
    </row>
    <row r="244" spans="1:25" ht="161.25" customHeight="1" x14ac:dyDescent="0.3">
      <c r="A244" s="585">
        <f>'Unit Data from Audit Worksheet'!A300</f>
        <v>991</v>
      </c>
      <c r="B244" s="351"/>
      <c r="C244" s="58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2"/>
      <c r="E244" s="156">
        <f>'Unit Data from Audit Worksheet'!F300</f>
        <v>0</v>
      </c>
      <c r="F244" s="346"/>
      <c r="G244" s="348"/>
      <c r="H244" s="345" t="str">
        <f>'Unit Data from Audit Worksheet'!H300</f>
        <v>Avery, Bladen, Chowan, Craven, Duplin, Guilford, Harnett, Hoke, Jones, Mitchell, Onslow, Pasquotank, Watauga</v>
      </c>
      <c r="I244" s="38"/>
      <c r="J244" s="330">
        <v>991</v>
      </c>
      <c r="K244" s="596" t="s">
        <v>1676</v>
      </c>
      <c r="L244" s="569">
        <f t="shared" si="26"/>
        <v>0</v>
      </c>
      <c r="P244" s="316"/>
      <c r="W244" s="3" t="b">
        <f t="shared" si="24"/>
        <v>1</v>
      </c>
      <c r="X244" s="566"/>
      <c r="Y244" s="566"/>
    </row>
    <row r="245" spans="1:25" ht="87.75" customHeight="1" x14ac:dyDescent="0.3">
      <c r="A245" s="333">
        <f>'Unit Data from Audit Worksheet'!A302</f>
        <v>620</v>
      </c>
      <c r="B245" s="347"/>
      <c r="C245" s="332" t="str">
        <f>'Unit Data from Audit Worksheet'!D302</f>
        <v>Do you expect to issue debt requiring LGC approval within 12 months from the date that the audit is submitted - select "1" for yes and "2" for no</v>
      </c>
      <c r="D245" s="352"/>
      <c r="E245" s="156">
        <f>'Unit Data from Audit Worksheet'!F302</f>
        <v>0</v>
      </c>
      <c r="F245" s="346"/>
      <c r="G245" s="348"/>
      <c r="H245" s="345">
        <f>'Unit Data from Audit Worksheet'!I302</f>
        <v>0</v>
      </c>
      <c r="I245" s="38"/>
      <c r="J245" s="105">
        <v>620</v>
      </c>
      <c r="K245" s="58" t="s">
        <v>1043</v>
      </c>
      <c r="L245" s="569">
        <f t="shared" si="26"/>
        <v>0</v>
      </c>
      <c r="N245" s="138"/>
      <c r="P245" s="316"/>
      <c r="W245" s="3" t="b">
        <f t="shared" si="24"/>
        <v>1</v>
      </c>
      <c r="X245" s="566">
        <f t="shared" si="21"/>
        <v>0</v>
      </c>
      <c r="Y245" s="566">
        <f t="shared" si="22"/>
        <v>0</v>
      </c>
    </row>
    <row r="246" spans="1:25" ht="87.75" customHeight="1" x14ac:dyDescent="0.3">
      <c r="A246" s="585">
        <f>+'TD Info Completed by Auditor'!D41</f>
        <v>906</v>
      </c>
      <c r="B246" s="329" t="s">
        <v>1040</v>
      </c>
      <c r="C246" s="585" t="str">
        <f>+'TD Info Completed by Auditor'!E41</f>
        <v>Is the Independent Auditor's Report Opinion Unmodified?</v>
      </c>
      <c r="D246" s="352"/>
      <c r="E246" s="335">
        <f>IF(+'TD Info Completed by Auditor'!G41="Yes",1,IF(+'TD Info Completed by Auditor'!G41="No",2,IF(+'TD Info Completed by Auditor'!G41="N/A",3,0)))</f>
        <v>0</v>
      </c>
      <c r="F246" s="346"/>
      <c r="G246" s="348"/>
      <c r="H246" s="345"/>
      <c r="I246" s="38"/>
      <c r="J246" s="127">
        <v>906</v>
      </c>
      <c r="K246" s="596" t="s">
        <v>862</v>
      </c>
      <c r="L246" s="569">
        <f t="shared" si="26"/>
        <v>0</v>
      </c>
      <c r="N246" s="138" t="s">
        <v>1244</v>
      </c>
      <c r="P246" s="318"/>
      <c r="W246" s="3" t="b">
        <f t="shared" si="24"/>
        <v>1</v>
      </c>
      <c r="X246" s="566"/>
      <c r="Y246" s="566"/>
    </row>
    <row r="247" spans="1:25" ht="87.75" customHeight="1" x14ac:dyDescent="0.3">
      <c r="A247" s="585">
        <f>+'TD Info Completed by Auditor'!D43</f>
        <v>907</v>
      </c>
      <c r="B247" s="329" t="s">
        <v>1040</v>
      </c>
      <c r="C247" s="585" t="str">
        <f>+'TD Info Completed by Auditor'!E43</f>
        <v xml:space="preserve">Is there a finding for lack of segregation of duties at this unit? </v>
      </c>
      <c r="D247" s="352"/>
      <c r="E247" s="335">
        <f>IF(+'TD Info Completed by Auditor'!G43="Yes",1,IF(+'TD Info Completed by Auditor'!G43="No",2,IF(+'TD Info Completed by Auditor'!G43="N/A",3,0)))</f>
        <v>0</v>
      </c>
      <c r="F247" s="346"/>
      <c r="G247" s="348"/>
      <c r="H247" s="345"/>
      <c r="I247" s="38"/>
      <c r="J247" s="127">
        <v>907</v>
      </c>
      <c r="K247" s="596" t="s">
        <v>863</v>
      </c>
      <c r="L247" s="569">
        <f t="shared" si="26"/>
        <v>0</v>
      </c>
      <c r="N247" s="138" t="s">
        <v>1244</v>
      </c>
      <c r="P247" s="318"/>
      <c r="W247" s="3" t="b">
        <f t="shared" si="24"/>
        <v>1</v>
      </c>
      <c r="X247" s="566"/>
      <c r="Y247" s="566"/>
    </row>
    <row r="248" spans="1:25" ht="87.75" customHeight="1" x14ac:dyDescent="0.3">
      <c r="A248" s="585">
        <f>+'TD Info Completed by Auditor'!D45</f>
        <v>951</v>
      </c>
      <c r="B248" s="329" t="s">
        <v>1040</v>
      </c>
      <c r="C248" s="586" t="str">
        <f>+'TD Info Completed by Auditor'!E45</f>
        <v>Is there a finding for lack of technical skills, knowledge and experience (SKE) at this unit?</v>
      </c>
      <c r="D248" s="352"/>
      <c r="E248" s="335">
        <f>IF(+'TD Info Completed by Auditor'!G45="Yes",1,IF(+'TD Info Completed by Auditor'!G45="No",2,IF(+'TD Info Completed by Auditor'!G45="N/A",3,0)))</f>
        <v>0</v>
      </c>
      <c r="F248" s="346"/>
      <c r="G248" s="348"/>
      <c r="H248" s="345"/>
      <c r="I248" s="38"/>
      <c r="J248" s="127">
        <v>951</v>
      </c>
      <c r="K248" s="596" t="s">
        <v>864</v>
      </c>
      <c r="L248" s="569">
        <f t="shared" si="26"/>
        <v>0</v>
      </c>
      <c r="N248" s="138" t="s">
        <v>1244</v>
      </c>
      <c r="P248" s="318"/>
      <c r="W248" s="3" t="b">
        <f t="shared" si="24"/>
        <v>1</v>
      </c>
      <c r="X248" s="566"/>
      <c r="Y248" s="566"/>
    </row>
    <row r="249" spans="1:25" ht="87.75" customHeight="1" x14ac:dyDescent="0.3">
      <c r="A249" s="585">
        <f>+'TD Info Completed by Auditor'!D47</f>
        <v>953</v>
      </c>
      <c r="B249" s="329" t="s">
        <v>1040</v>
      </c>
      <c r="C249" s="586" t="str">
        <f>+'TD Info Completed by Auditor'!E47</f>
        <v xml:space="preserve">Is there is a going concern finding noted in the audit report? </v>
      </c>
      <c r="D249" s="352"/>
      <c r="E249" s="335">
        <f>IF(+'TD Info Completed by Auditor'!G47="Yes",1,IF(+'TD Info Completed by Auditor'!G47="No",2,IF(+'TD Info Completed by Auditor'!G47="N/A",3,0)))</f>
        <v>0</v>
      </c>
      <c r="F249" s="346"/>
      <c r="G249" s="348"/>
      <c r="H249" s="345"/>
      <c r="I249" s="38"/>
      <c r="J249" s="127">
        <v>953</v>
      </c>
      <c r="K249" s="596" t="s">
        <v>1488</v>
      </c>
      <c r="L249" s="569">
        <f t="shared" si="26"/>
        <v>0</v>
      </c>
      <c r="N249" s="138" t="s">
        <v>1244</v>
      </c>
      <c r="P249" s="318"/>
      <c r="W249" s="3" t="b">
        <f t="shared" si="24"/>
        <v>1</v>
      </c>
      <c r="X249" s="566"/>
      <c r="Y249" s="566"/>
    </row>
    <row r="250" spans="1:25" ht="87.75" customHeight="1" x14ac:dyDescent="0.3">
      <c r="A250" s="585">
        <f>+'TD Info Completed by Auditor'!D49</f>
        <v>955</v>
      </c>
      <c r="B250" s="329" t="s">
        <v>1040</v>
      </c>
      <c r="C250" s="586" t="str">
        <f>+'TD Info Completed by Auditor'!E49</f>
        <v>Number of significant deficiency findings (other than in Questions 15-18 )</v>
      </c>
      <c r="D250" s="352"/>
      <c r="E250" s="1110" t="str">
        <f>IF(ISBLANK('TD Info Completed by Auditor'!G49),"",'TD Info Completed by Auditor'!G49)</f>
        <v/>
      </c>
      <c r="F250" s="346"/>
      <c r="G250" s="348"/>
      <c r="H250" s="1111" t="s">
        <v>1712</v>
      </c>
      <c r="I250" s="38"/>
      <c r="J250" s="127">
        <v>955</v>
      </c>
      <c r="K250" s="596" t="s">
        <v>1044</v>
      </c>
      <c r="L250" s="569" t="str">
        <f t="shared" si="26"/>
        <v/>
      </c>
      <c r="N250" s="138" t="s">
        <v>1244</v>
      </c>
      <c r="P250" s="318"/>
      <c r="W250" s="3" t="b">
        <f t="shared" si="24"/>
        <v>1</v>
      </c>
      <c r="X250" s="566"/>
      <c r="Y250" s="566"/>
    </row>
    <row r="251" spans="1:25" ht="87.75" customHeight="1" x14ac:dyDescent="0.3">
      <c r="A251" s="585">
        <f>+'TD Info Completed by Auditor'!D51</f>
        <v>957</v>
      </c>
      <c r="B251" s="329" t="s">
        <v>1040</v>
      </c>
      <c r="C251" s="586" t="str">
        <f>+'TD Info Completed by Auditor'!E51</f>
        <v>Number of material weaknesses findings (other than in Questions 15-18)</v>
      </c>
      <c r="D251" s="352"/>
      <c r="E251" s="1110" t="str">
        <f>IF(ISBLANK('TD Info Completed by Auditor'!G51),"",'TD Info Completed by Auditor'!G51)</f>
        <v/>
      </c>
      <c r="F251" s="346"/>
      <c r="G251" s="348"/>
      <c r="H251" s="1111" t="s">
        <v>1713</v>
      </c>
      <c r="I251" s="38"/>
      <c r="J251" s="127">
        <v>957</v>
      </c>
      <c r="K251" s="596" t="s">
        <v>1045</v>
      </c>
      <c r="L251" s="569" t="str">
        <f t="shared" si="26"/>
        <v/>
      </c>
      <c r="N251" s="138" t="s">
        <v>1244</v>
      </c>
      <c r="P251" s="318"/>
      <c r="W251" s="3" t="b">
        <f t="shared" si="24"/>
        <v>1</v>
      </c>
      <c r="X251" s="566"/>
      <c r="Y251" s="566"/>
    </row>
    <row r="252" spans="1:25" ht="87.75" customHeight="1" x14ac:dyDescent="0.3">
      <c r="A252" s="585">
        <f>+'TD Info Completed by Auditor'!D53</f>
        <v>959</v>
      </c>
      <c r="B252" s="329" t="s">
        <v>1040</v>
      </c>
      <c r="C252" s="586" t="str">
        <f>+'TD Info Completed by Auditor'!E53</f>
        <v>Did the Unit have debt service payments deferred or restructured in this fiscal year? (does not include refinancings designed to take advantage of lower interest rates)  Select Yes, No, or NA</v>
      </c>
      <c r="D252" s="352"/>
      <c r="E252" s="335">
        <f>IF(+'TD Info Completed by Auditor'!G53="Yes",1,IF(+'TD Info Completed by Auditor'!G53="No",2,IF(+'TD Info Completed by Auditor'!G53="N/A",3,0)))</f>
        <v>0</v>
      </c>
      <c r="F252" s="346"/>
      <c r="G252" s="348"/>
      <c r="H252" s="345"/>
      <c r="I252" s="38"/>
      <c r="J252" s="127">
        <v>959</v>
      </c>
      <c r="K252" s="596" t="s">
        <v>1246</v>
      </c>
      <c r="L252" s="569">
        <f t="shared" si="26"/>
        <v>0</v>
      </c>
      <c r="N252" s="138" t="s">
        <v>1244</v>
      </c>
      <c r="P252" s="318"/>
      <c r="W252" s="3" t="b">
        <f t="shared" si="24"/>
        <v>1</v>
      </c>
      <c r="X252" s="566"/>
      <c r="Y252" s="566"/>
    </row>
    <row r="253" spans="1:25" ht="222" customHeight="1" x14ac:dyDescent="0.3">
      <c r="A253" s="585">
        <f>+'TD Info Completed by Auditor'!D57</f>
        <v>974</v>
      </c>
      <c r="B253" s="329" t="s">
        <v>1040</v>
      </c>
      <c r="C253" s="58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2"/>
      <c r="E253" s="335">
        <f>IF(+'TD Info Completed by Auditor'!G57="Yes",1,IF(+'TD Info Completed by Auditor'!G57="No",2,IF(+'TD Info Completed by Auditor'!G57="N/A",3,0)))</f>
        <v>0</v>
      </c>
      <c r="F253" s="346"/>
      <c r="G253" s="348"/>
      <c r="H253" s="345"/>
      <c r="I253" s="38"/>
      <c r="J253" s="127">
        <v>974</v>
      </c>
      <c r="K253" s="596" t="s">
        <v>1489</v>
      </c>
      <c r="L253" s="569">
        <f t="shared" si="26"/>
        <v>0</v>
      </c>
      <c r="N253" s="138" t="s">
        <v>1244</v>
      </c>
      <c r="P253" s="318"/>
      <c r="W253" s="3" t="b">
        <f t="shared" si="24"/>
        <v>1</v>
      </c>
      <c r="X253" s="566"/>
      <c r="Y253" s="566"/>
    </row>
    <row r="254" spans="1:25" ht="177.75" customHeight="1" x14ac:dyDescent="0.3">
      <c r="A254" s="585">
        <f>+'TD Info Completed by Auditor'!D55</f>
        <v>973</v>
      </c>
      <c r="B254" s="329" t="s">
        <v>1040</v>
      </c>
      <c r="C254" s="328"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2"/>
      <c r="E254" s="335">
        <f>+'TD Info Completed by Auditor'!G55</f>
        <v>0</v>
      </c>
      <c r="F254" s="346"/>
      <c r="G254" s="348"/>
      <c r="H254" s="345"/>
      <c r="I254" s="38"/>
      <c r="J254" s="127">
        <v>973</v>
      </c>
      <c r="K254" s="596" t="s">
        <v>1203</v>
      </c>
      <c r="L254" s="569">
        <f t="shared" si="26"/>
        <v>0</v>
      </c>
      <c r="N254" s="138" t="s">
        <v>1244</v>
      </c>
      <c r="P254" s="318"/>
      <c r="W254" s="3" t="b">
        <f t="shared" si="24"/>
        <v>1</v>
      </c>
      <c r="X254" s="566"/>
      <c r="Y254" s="566"/>
    </row>
    <row r="255" spans="1:25" ht="87.75" customHeight="1" x14ac:dyDescent="0.3">
      <c r="A255" s="585">
        <f>+'TD Info Completed by Auditor'!D60</f>
        <v>965</v>
      </c>
      <c r="B255" s="329" t="s">
        <v>1040</v>
      </c>
      <c r="C255" s="586" t="str">
        <f>+'TD Info Completed by Auditor'!E60</f>
        <v xml:space="preserve">Is the Finance Officer bonded for at least $50,000? (GS 159-42(h) </v>
      </c>
      <c r="D255" s="352"/>
      <c r="E255" s="335">
        <f>IF(+'TD Info Completed by Auditor'!G60="Yes",1,IF(+'TD Info Completed by Auditor'!G60="No",2,IF(+'TD Info Completed by Auditor'!G60="N/A",3,0)))</f>
        <v>0</v>
      </c>
      <c r="F255" s="346"/>
      <c r="G255" s="348"/>
      <c r="H255" s="345"/>
      <c r="I255" s="38"/>
      <c r="J255" s="127">
        <v>965</v>
      </c>
      <c r="K255" s="596" t="s">
        <v>1680</v>
      </c>
      <c r="L255" s="569">
        <f t="shared" si="26"/>
        <v>0</v>
      </c>
      <c r="N255" s="138"/>
      <c r="P255" s="318"/>
      <c r="W255" s="3" t="b">
        <f t="shared" si="24"/>
        <v>1</v>
      </c>
      <c r="X255" s="566"/>
      <c r="Y255" s="566"/>
    </row>
    <row r="256" spans="1:25" ht="87.75" customHeight="1" x14ac:dyDescent="0.3">
      <c r="A256" s="585">
        <f>+'TD Info Completed by Auditor'!D68</f>
        <v>977</v>
      </c>
      <c r="B256" s="329" t="s">
        <v>1040</v>
      </c>
      <c r="C256" s="586" t="str">
        <f>+'TD Info Completed by Auditor'!E68</f>
        <v>Does the entity have an  effective pre-audit process to ensure that pervasive budgetary over- expenditures do not occur at the budget ordinance level? Select Yes or No</v>
      </c>
      <c r="D256" s="352"/>
      <c r="E256" s="335">
        <f>IF(+'TD Info Completed by Auditor'!G68="Yes",1,IF(+'TD Info Completed by Auditor'!G68="No",2,0))</f>
        <v>0</v>
      </c>
      <c r="F256" s="346"/>
      <c r="G256" s="348"/>
      <c r="H256" s="345"/>
      <c r="I256" s="38"/>
      <c r="J256" s="127">
        <v>977</v>
      </c>
      <c r="K256" s="596" t="s">
        <v>1491</v>
      </c>
      <c r="L256" s="569">
        <f t="shared" si="26"/>
        <v>0</v>
      </c>
      <c r="N256" s="138" t="s">
        <v>1244</v>
      </c>
      <c r="P256" s="318"/>
      <c r="W256" s="3" t="b">
        <f t="shared" si="24"/>
        <v>1</v>
      </c>
      <c r="X256" s="566"/>
      <c r="Y256" s="566"/>
    </row>
    <row r="257" spans="1:25" ht="87.75" customHeight="1" x14ac:dyDescent="0.3">
      <c r="A257" s="585">
        <f>+'TD Info Completed by Auditor'!D70</f>
        <v>978</v>
      </c>
      <c r="B257" s="329" t="s">
        <v>1040</v>
      </c>
      <c r="C257" s="586" t="str">
        <f>+'TD Info Completed by Auditor'!E70</f>
        <v>Did the audit disclose any statutory violations in the notes that were not covered by findings?  Select Yes or No</v>
      </c>
      <c r="D257" s="352"/>
      <c r="E257" s="335" t="str">
        <f>IF(+'TD Info Completed by Auditor'!G70="Yes",1,IF(+'TD Info Completed by Auditor'!G70="No",2,IF(+'TD Info Completed by Auditor'!G70="","0")))</f>
        <v>0</v>
      </c>
      <c r="F257" s="346"/>
      <c r="G257" s="348"/>
      <c r="H257" s="345"/>
      <c r="I257" s="38"/>
      <c r="J257" s="127">
        <v>978</v>
      </c>
      <c r="K257" s="596" t="s">
        <v>1490</v>
      </c>
      <c r="L257" s="569" t="str">
        <f t="shared" si="26"/>
        <v>0</v>
      </c>
      <c r="N257" s="138" t="s">
        <v>1244</v>
      </c>
      <c r="P257" s="318"/>
      <c r="W257" s="3" t="b">
        <f t="shared" si="24"/>
        <v>1</v>
      </c>
      <c r="X257" s="566"/>
      <c r="Y257" s="566"/>
    </row>
    <row r="258" spans="1:25" ht="87.75" customHeight="1" x14ac:dyDescent="0.3">
      <c r="A258" s="585">
        <f>+'TD Info Completed by Auditor'!D72</f>
        <v>979</v>
      </c>
      <c r="B258" s="329" t="s">
        <v>1040</v>
      </c>
      <c r="C258" s="586" t="str">
        <f>+'TD Info Completed by Auditor'!E72</f>
        <v>The Auditor will submit the Audit Report to the LGC within five months plus one day after the fiscal year end.  (for units with a June 30th fiscal year-end this would be December 1)   Select Yes or No</v>
      </c>
      <c r="D258" s="352"/>
      <c r="E258" s="335">
        <f>IF(+'TD Info Completed by Auditor'!G72="Yes",1,IF(+'TD Info Completed by Auditor'!G72="No",2,IF(+'TD Info Completed by Auditor'!G72="N/A",3,0)))</f>
        <v>0</v>
      </c>
      <c r="F258" s="346"/>
      <c r="G258" s="348"/>
      <c r="H258" s="345"/>
      <c r="I258" s="38"/>
      <c r="J258" s="127">
        <v>979</v>
      </c>
      <c r="K258" s="596" t="s">
        <v>1011</v>
      </c>
      <c r="L258" s="569">
        <f t="shared" si="26"/>
        <v>0</v>
      </c>
      <c r="N258" s="138" t="s">
        <v>1244</v>
      </c>
      <c r="P258" s="318"/>
      <c r="W258" s="3" t="b">
        <f t="shared" si="24"/>
        <v>1</v>
      </c>
      <c r="X258" s="566"/>
      <c r="Y258" s="566"/>
    </row>
    <row r="259" spans="1:25" ht="87.75" customHeight="1" x14ac:dyDescent="0.3">
      <c r="A259" s="585">
        <f>+'TD Info Completed by Auditor'!D76</f>
        <v>975</v>
      </c>
      <c r="B259" s="329" t="s">
        <v>1040</v>
      </c>
      <c r="C259" s="586" t="str">
        <f>+'TD Info Completed by Auditor'!E76</f>
        <v>The Performance Indicator Tab in this worksheet has at least one performance indicator of concern (indicated by a red shaded cell)</v>
      </c>
      <c r="D259" s="352"/>
      <c r="E259" s="335">
        <f>IF(+'TD Info Completed by Auditor'!G76="Yes",1,IF(+'TD Info Completed by Auditor'!G76="No",2,IF(+'TD Info Completed by Auditor'!G76="N/A",3,0)))</f>
        <v>0</v>
      </c>
      <c r="F259" s="346"/>
      <c r="G259" s="348"/>
      <c r="H259" s="345"/>
      <c r="I259" s="38"/>
      <c r="J259" s="127">
        <v>975</v>
      </c>
      <c r="K259" s="596" t="s">
        <v>1046</v>
      </c>
      <c r="L259" s="569">
        <f>IF(D259="",E259,D259)</f>
        <v>0</v>
      </c>
      <c r="N259" s="138" t="s">
        <v>1244</v>
      </c>
      <c r="P259" s="318"/>
      <c r="W259" s="3" t="b">
        <f>EXACT(A259,J259)</f>
        <v>1</v>
      </c>
      <c r="X259" s="566"/>
      <c r="Y259" s="566"/>
    </row>
    <row r="260" spans="1:25" ht="112.5" customHeight="1" x14ac:dyDescent="0.3">
      <c r="A260" s="585">
        <f>+'TD Info Completed by Auditor'!D78</f>
        <v>976</v>
      </c>
      <c r="B260" s="329" t="s">
        <v>1040</v>
      </c>
      <c r="C260" s="328"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2"/>
      <c r="E260" s="335">
        <f>IF(+'TD Info Completed by Auditor'!G78="Yes",1,IF(+'TD Info Completed by Auditor'!G78="No",2,IF(+'TD Info Completed by Auditor'!G78="N/A",3,0)))</f>
        <v>0</v>
      </c>
      <c r="F260" s="346"/>
      <c r="G260" s="348"/>
      <c r="H260" s="345"/>
      <c r="I260" s="38"/>
      <c r="J260" s="127">
        <v>976</v>
      </c>
      <c r="K260" s="596" t="s">
        <v>1205</v>
      </c>
      <c r="L260" s="569">
        <f>IF(D260="",E260,D260)</f>
        <v>0</v>
      </c>
      <c r="N260" s="138" t="s">
        <v>1244</v>
      </c>
      <c r="P260" s="318"/>
      <c r="W260" s="3" t="b">
        <f>EXACT(A260,J260)</f>
        <v>1</v>
      </c>
      <c r="X260" s="566"/>
      <c r="Y260" s="566"/>
    </row>
    <row r="261" spans="1:25" ht="109.95" customHeight="1" x14ac:dyDescent="0.3">
      <c r="A261" s="613">
        <v>336</v>
      </c>
      <c r="B261" s="365"/>
      <c r="C261" s="614" t="s">
        <v>1296</v>
      </c>
      <c r="D261" s="615" t="s">
        <v>1216</v>
      </c>
      <c r="E261" s="616" t="s">
        <v>1217</v>
      </c>
      <c r="F261" s="366" t="s">
        <v>1215</v>
      </c>
      <c r="G261" s="348"/>
      <c r="H261" s="345"/>
      <c r="I261" s="38"/>
      <c r="J261" s="367">
        <v>336</v>
      </c>
      <c r="K261" s="617" t="s">
        <v>1220</v>
      </c>
      <c r="L261" s="618">
        <f>L10-L11-L12-L13-L14-L15-L16</f>
        <v>0</v>
      </c>
      <c r="M261" s="619"/>
      <c r="N261" s="380" t="s">
        <v>1218</v>
      </c>
      <c r="P261" s="318"/>
      <c r="X261" s="566"/>
      <c r="Y261" s="566"/>
    </row>
    <row r="262" spans="1:25" ht="129" customHeight="1" x14ac:dyDescent="0.3">
      <c r="A262" s="613">
        <v>44</v>
      </c>
      <c r="B262" s="365"/>
      <c r="C262" s="620" t="s">
        <v>1297</v>
      </c>
      <c r="D262" s="615" t="s">
        <v>1207</v>
      </c>
      <c r="E262" s="621" t="s">
        <v>1208</v>
      </c>
      <c r="F262" s="366" t="s">
        <v>1215</v>
      </c>
      <c r="G262" s="348"/>
      <c r="H262" s="345"/>
      <c r="I262" s="38"/>
      <c r="J262" s="367">
        <v>44</v>
      </c>
      <c r="K262" s="617" t="s">
        <v>1221</v>
      </c>
      <c r="L262" s="618">
        <f>L120-L121-L118</f>
        <v>0</v>
      </c>
      <c r="M262" s="619"/>
      <c r="N262" s="380" t="s">
        <v>1219</v>
      </c>
      <c r="P262" s="318"/>
      <c r="X262" s="566"/>
      <c r="Y262" s="566"/>
    </row>
    <row r="263" spans="1:25" ht="169.5" customHeight="1" x14ac:dyDescent="0.3">
      <c r="A263" s="613">
        <v>45</v>
      </c>
      <c r="B263" s="365"/>
      <c r="C263" s="622" t="s">
        <v>1298</v>
      </c>
      <c r="D263" s="615" t="s">
        <v>1209</v>
      </c>
      <c r="E263" s="616" t="s">
        <v>1210</v>
      </c>
      <c r="F263" s="366" t="s">
        <v>1215</v>
      </c>
      <c r="G263" s="348"/>
      <c r="H263" s="345"/>
      <c r="I263" s="38"/>
      <c r="J263" s="367">
        <v>45</v>
      </c>
      <c r="K263" s="617" t="s">
        <v>1222</v>
      </c>
      <c r="L263" s="618">
        <f>L124-L125-L126-L127-L128-L129-L123</f>
        <v>0</v>
      </c>
      <c r="M263" s="619"/>
      <c r="N263" s="380" t="s">
        <v>1235</v>
      </c>
      <c r="P263" s="318"/>
      <c r="X263" s="566"/>
      <c r="Y263" s="566"/>
    </row>
    <row r="264" spans="1:25" ht="87.75" customHeight="1" x14ac:dyDescent="0.3">
      <c r="A264" s="613">
        <v>47</v>
      </c>
      <c r="B264" s="365"/>
      <c r="C264" s="366" t="s">
        <v>1224</v>
      </c>
      <c r="D264" s="615" t="s">
        <v>1211</v>
      </c>
      <c r="E264" s="616" t="s">
        <v>1213</v>
      </c>
      <c r="F264" s="366" t="s">
        <v>1215</v>
      </c>
      <c r="G264" s="348"/>
      <c r="H264" s="345"/>
      <c r="I264" s="38"/>
      <c r="J264" s="367">
        <v>47</v>
      </c>
      <c r="K264" s="617" t="s">
        <v>1223</v>
      </c>
      <c r="L264" s="618">
        <f>L138-L139-L137</f>
        <v>0</v>
      </c>
      <c r="M264" s="619"/>
      <c r="N264" s="380" t="s">
        <v>1236</v>
      </c>
      <c r="P264" s="318"/>
      <c r="X264" s="566"/>
      <c r="Y264" s="566"/>
    </row>
    <row r="265" spans="1:25" ht="152.25" customHeight="1" x14ac:dyDescent="0.3">
      <c r="A265" s="613">
        <v>48</v>
      </c>
      <c r="B265" s="365"/>
      <c r="C265" s="366" t="s">
        <v>1225</v>
      </c>
      <c r="D265" s="615" t="s">
        <v>1212</v>
      </c>
      <c r="E265" s="616" t="s">
        <v>1214</v>
      </c>
      <c r="F265" s="366" t="s">
        <v>1215</v>
      </c>
      <c r="G265" s="348"/>
      <c r="H265" s="345"/>
      <c r="I265" s="38"/>
      <c r="J265" s="367">
        <v>48</v>
      </c>
      <c r="K265" s="617" t="s">
        <v>123</v>
      </c>
      <c r="L265" s="618">
        <f>L143-L144-L145-L146-L147-L148-L142</f>
        <v>0</v>
      </c>
      <c r="M265" s="619"/>
      <c r="N265" s="380" t="s">
        <v>1237</v>
      </c>
      <c r="P265" s="318"/>
      <c r="X265" s="566"/>
      <c r="Y265" s="566"/>
    </row>
    <row r="266" spans="1:25" ht="113.4" customHeight="1" x14ac:dyDescent="0.3">
      <c r="A266" s="623"/>
      <c r="B266" s="97"/>
      <c r="C266" s="624"/>
      <c r="D266" s="139"/>
      <c r="E266" s="147"/>
      <c r="F266" s="66"/>
      <c r="G266" s="141"/>
      <c r="H266" s="142"/>
      <c r="I266" s="38"/>
      <c r="J266" s="368">
        <v>998</v>
      </c>
      <c r="K266" s="369" t="s">
        <v>288</v>
      </c>
      <c r="L266" s="625" t="e">
        <f>HLOOKUP('Unit Data from Audit Worksheet'!$D$2,'2020 Data(H)'!A1:CZ400,247,FALSE)</f>
        <v>#N/A</v>
      </c>
      <c r="M266" s="619"/>
      <c r="N266" s="380" t="s">
        <v>1226</v>
      </c>
      <c r="P266" s="314"/>
      <c r="W266" s="3" t="b">
        <f>EXACT(A266,J266)</f>
        <v>0</v>
      </c>
      <c r="X266" s="566" t="e">
        <f t="shared" si="21"/>
        <v>#N/A</v>
      </c>
      <c r="Y266" s="566" t="e">
        <f t="shared" si="22"/>
        <v>#N/A</v>
      </c>
    </row>
    <row r="267" spans="1:25" ht="119.4" customHeight="1" x14ac:dyDescent="0.3">
      <c r="A267" s="623"/>
      <c r="B267" s="97"/>
      <c r="C267" s="624"/>
      <c r="D267" s="626"/>
      <c r="E267" s="627"/>
      <c r="F267" s="628"/>
      <c r="G267" s="629"/>
      <c r="H267" s="630"/>
      <c r="I267" s="38"/>
      <c r="J267" s="370">
        <v>995</v>
      </c>
      <c r="K267" s="371" t="s">
        <v>286</v>
      </c>
      <c r="L267" s="631" t="e">
        <f>HLOOKUP('Unit Data from Audit Worksheet'!$D$2,'2020 Data(H)'!A1:CZ400,244,FALSE)</f>
        <v>#N/A</v>
      </c>
      <c r="M267" s="619"/>
      <c r="N267" s="380" t="s">
        <v>1238</v>
      </c>
      <c r="P267" s="315"/>
      <c r="W267" s="3" t="b">
        <f>EXACT(A267,J267)</f>
        <v>0</v>
      </c>
      <c r="X267" s="632" t="e">
        <f t="shared" si="21"/>
        <v>#N/A</v>
      </c>
      <c r="Y267" s="566" t="e">
        <f t="shared" si="22"/>
        <v>#N/A</v>
      </c>
    </row>
    <row r="268" spans="1:25" ht="104.4" customHeight="1" x14ac:dyDescent="0.3">
      <c r="A268" s="623"/>
      <c r="B268" s="97"/>
      <c r="C268" s="624"/>
      <c r="D268" s="626"/>
      <c r="E268" s="627"/>
      <c r="F268" s="628"/>
      <c r="G268" s="629"/>
      <c r="H268" s="630"/>
      <c r="I268" s="38"/>
      <c r="J268" s="370">
        <v>996</v>
      </c>
      <c r="K268" s="371" t="s">
        <v>287</v>
      </c>
      <c r="L268" s="631" t="e">
        <f>HLOOKUP('Unit Data from Audit Worksheet'!$D$2,'2020 Data(H)'!A1:CZ400,245,FALSE)</f>
        <v>#N/A</v>
      </c>
      <c r="M268" s="619"/>
      <c r="N268" s="380" t="s">
        <v>1239</v>
      </c>
      <c r="P268" s="315"/>
      <c r="W268" s="3" t="b">
        <f>EXACT(A268,J268)</f>
        <v>0</v>
      </c>
      <c r="X268" s="632" t="e">
        <f t="shared" si="21"/>
        <v>#N/A</v>
      </c>
      <c r="Y268" s="566" t="e">
        <f t="shared" si="22"/>
        <v>#N/A</v>
      </c>
    </row>
    <row r="269" spans="1:25" ht="43.2" x14ac:dyDescent="0.3">
      <c r="A269" s="623"/>
      <c r="B269" s="97"/>
      <c r="C269" s="624"/>
      <c r="D269" s="626"/>
      <c r="E269" s="627"/>
      <c r="F269" s="628"/>
      <c r="G269" s="629"/>
      <c r="H269" s="633"/>
      <c r="I269" s="38"/>
      <c r="J269" s="172">
        <v>554</v>
      </c>
      <c r="K269" s="634" t="s">
        <v>563</v>
      </c>
      <c r="L269" s="595"/>
      <c r="N269" s="635"/>
      <c r="P269" s="316"/>
      <c r="X269" s="632"/>
      <c r="Y269" s="566"/>
    </row>
    <row r="270" spans="1:25" ht="43.2" x14ac:dyDescent="0.3">
      <c r="A270" s="623"/>
      <c r="B270" s="97"/>
      <c r="C270" s="624"/>
      <c r="D270" s="626"/>
      <c r="E270" s="627"/>
      <c r="F270" s="628"/>
      <c r="G270" s="629"/>
      <c r="H270" s="633"/>
      <c r="I270" s="38"/>
      <c r="J270" s="172">
        <v>555</v>
      </c>
      <c r="K270" s="634" t="s">
        <v>564</v>
      </c>
      <c r="L270" s="595"/>
      <c r="N270" s="635"/>
      <c r="P270" s="316"/>
      <c r="X270" s="632"/>
      <c r="Y270" s="566"/>
    </row>
    <row r="271" spans="1:25" ht="43.2" x14ac:dyDescent="0.3">
      <c r="A271" s="623"/>
      <c r="B271" s="97"/>
      <c r="C271" s="624"/>
      <c r="D271" s="626"/>
      <c r="E271" s="627"/>
      <c r="F271" s="628"/>
      <c r="G271" s="629"/>
      <c r="H271" s="633"/>
      <c r="I271" s="38"/>
      <c r="J271" s="172">
        <v>556</v>
      </c>
      <c r="K271" s="634" t="s">
        <v>565</v>
      </c>
      <c r="L271" s="595"/>
      <c r="N271" s="635"/>
      <c r="P271" s="316"/>
      <c r="X271" s="632"/>
      <c r="Y271" s="566"/>
    </row>
    <row r="272" spans="1:25" ht="43.2" x14ac:dyDescent="0.3">
      <c r="A272" s="623"/>
      <c r="B272" s="97"/>
      <c r="C272" s="624"/>
      <c r="D272" s="626"/>
      <c r="E272" s="627"/>
      <c r="F272" s="628"/>
      <c r="G272" s="629"/>
      <c r="H272" s="633"/>
      <c r="I272" s="38"/>
      <c r="J272" s="172">
        <v>557</v>
      </c>
      <c r="K272" s="634" t="s">
        <v>566</v>
      </c>
      <c r="L272" s="595"/>
      <c r="N272" s="635"/>
      <c r="P272" s="316"/>
      <c r="X272" s="632"/>
      <c r="Y272" s="566"/>
    </row>
    <row r="273" spans="1:25" ht="43.2" x14ac:dyDescent="0.3">
      <c r="A273" s="623"/>
      <c r="B273" s="97"/>
      <c r="C273" s="624"/>
      <c r="D273" s="626"/>
      <c r="E273" s="627"/>
      <c r="F273" s="628"/>
      <c r="G273" s="629"/>
      <c r="H273" s="633"/>
      <c r="I273" s="38"/>
      <c r="J273" s="172">
        <v>606</v>
      </c>
      <c r="K273" s="634" t="s">
        <v>810</v>
      </c>
      <c r="L273" s="595"/>
      <c r="N273" s="635"/>
      <c r="P273" s="316"/>
      <c r="X273" s="632"/>
      <c r="Y273" s="566"/>
    </row>
    <row r="274" spans="1:25" ht="39.75" customHeight="1" x14ac:dyDescent="0.3">
      <c r="A274" s="623"/>
      <c r="B274" s="97"/>
      <c r="C274" s="624"/>
      <c r="D274" s="626"/>
      <c r="E274" s="627"/>
      <c r="F274" s="628"/>
      <c r="G274" s="629"/>
      <c r="H274" s="633"/>
      <c r="I274" s="38"/>
      <c r="J274" s="322">
        <v>662</v>
      </c>
      <c r="K274" s="636" t="s">
        <v>811</v>
      </c>
      <c r="L274" s="637"/>
      <c r="N274" s="635"/>
      <c r="P274" s="322"/>
      <c r="X274" s="632"/>
      <c r="Y274" s="566"/>
    </row>
    <row r="275" spans="1:25" ht="39" customHeight="1" x14ac:dyDescent="0.3">
      <c r="A275" s="623"/>
      <c r="B275" s="97"/>
      <c r="C275" s="624"/>
      <c r="D275" s="626"/>
      <c r="E275" s="627"/>
      <c r="F275" s="628"/>
      <c r="G275" s="629"/>
      <c r="H275" s="633"/>
      <c r="I275" s="38"/>
      <c r="J275" s="322">
        <v>663</v>
      </c>
      <c r="K275" s="638" t="s">
        <v>812</v>
      </c>
      <c r="L275" s="637"/>
      <c r="N275" s="635"/>
      <c r="P275" s="322"/>
      <c r="X275" s="632"/>
      <c r="Y275" s="566"/>
    </row>
    <row r="276" spans="1:25" s="18" customFormat="1" ht="22.5" customHeight="1" x14ac:dyDescent="0.3">
      <c r="A276" s="623"/>
      <c r="B276" s="97"/>
      <c r="C276" s="624"/>
      <c r="D276" s="139"/>
      <c r="E276" s="140"/>
      <c r="F276" s="66"/>
      <c r="G276" s="141"/>
      <c r="H276" s="142"/>
      <c r="I276" s="38"/>
      <c r="J276" s="143"/>
      <c r="K276" s="639"/>
      <c r="L276" s="640"/>
      <c r="N276" s="378"/>
      <c r="P276" s="316"/>
      <c r="Q276" s="559"/>
      <c r="W276" s="18" t="b">
        <f t="shared" ref="W276:W284" si="27">EXACT(A276,J276)</f>
        <v>1</v>
      </c>
      <c r="X276" s="575">
        <f t="shared" si="21"/>
        <v>0</v>
      </c>
      <c r="Y276" s="575">
        <f t="shared" si="22"/>
        <v>0</v>
      </c>
    </row>
    <row r="277" spans="1:25" ht="99" customHeight="1" x14ac:dyDescent="0.3">
      <c r="A277" s="333">
        <f>'Unit Data from Audit Worksheet'!A304</f>
        <v>947</v>
      </c>
      <c r="B277" s="132"/>
      <c r="C277" s="332" t="str">
        <f>'Unit Data from Audit Worksheet'!D304</f>
        <v>First name of finance officer or interim finance officer (please enter “vacant” for first name if the position is currently vacant)</v>
      </c>
      <c r="D277" s="355"/>
      <c r="E277" s="187">
        <f>'Unit Data from Audit Worksheet'!F304</f>
        <v>0</v>
      </c>
      <c r="F277" s="346" t="str">
        <f>'Unit Data from Audit Worksheet'!G304</f>
        <v>Please do not leave blank</v>
      </c>
      <c r="G277" s="348"/>
      <c r="H277" s="345"/>
      <c r="I277" s="38"/>
      <c r="J277" s="176">
        <v>947</v>
      </c>
      <c r="K277" s="641" t="s">
        <v>728</v>
      </c>
      <c r="L277" s="642">
        <f t="shared" ref="L277:L290" si="28">IF(D277="",E277,D277)</f>
        <v>0</v>
      </c>
      <c r="N277" s="635"/>
      <c r="P277" s="322"/>
      <c r="Q277" s="601">
        <f t="shared" ref="Q277:Q284" si="29">IF(L277=0,1,0)</f>
        <v>1</v>
      </c>
      <c r="W277" s="3" t="b">
        <f t="shared" si="27"/>
        <v>1</v>
      </c>
      <c r="X277" s="566">
        <f t="shared" ref="X277:X291" si="30">E277-L277</f>
        <v>0</v>
      </c>
      <c r="Y277" s="566">
        <f t="shared" ref="Y277:Y291" si="31">D277-L277</f>
        <v>0</v>
      </c>
    </row>
    <row r="278" spans="1:25" ht="128.25" customHeight="1" x14ac:dyDescent="0.3">
      <c r="A278" s="333">
        <f>'Unit Data from Audit Worksheet'!A305</f>
        <v>948</v>
      </c>
      <c r="B278" s="132"/>
      <c r="C278" s="332" t="str">
        <f>'Unit Data from Audit Worksheet'!D305</f>
        <v>Last name of finance officer or interim finance officer (please enter “vacant” for last name if the position is currently vacant)</v>
      </c>
      <c r="D278" s="355"/>
      <c r="E278" s="643">
        <f>'Unit Data from Audit Worksheet'!F305</f>
        <v>0</v>
      </c>
      <c r="F278" s="346" t="str">
        <f>'Unit Data from Audit Worksheet'!G305</f>
        <v>Please do not leave blank</v>
      </c>
      <c r="G278" s="348"/>
      <c r="H278" s="345"/>
      <c r="I278" s="38"/>
      <c r="J278" s="176">
        <v>948</v>
      </c>
      <c r="K278" s="641" t="s">
        <v>729</v>
      </c>
      <c r="L278" s="642">
        <f t="shared" si="28"/>
        <v>0</v>
      </c>
      <c r="N278" s="635"/>
      <c r="P278" s="322"/>
      <c r="Q278" s="601">
        <f t="shared" si="29"/>
        <v>1</v>
      </c>
      <c r="W278" s="3" t="b">
        <f t="shared" si="27"/>
        <v>1</v>
      </c>
      <c r="X278" s="566">
        <f t="shared" si="30"/>
        <v>0</v>
      </c>
      <c r="Y278" s="566">
        <f t="shared" si="31"/>
        <v>0</v>
      </c>
    </row>
    <row r="279" spans="1:25" ht="61.5" customHeight="1" x14ac:dyDescent="0.3">
      <c r="A279" s="333">
        <f>'Unit Data from Audit Worksheet'!A306</f>
        <v>949</v>
      </c>
      <c r="B279" s="132"/>
      <c r="C279" s="332" t="str">
        <f>'Unit Data from Audit Worksheet'!D306</f>
        <v>Is the finance officer serving in a permanent role or an interim role? (select permanent/interim/vacant)</v>
      </c>
      <c r="D279" s="355"/>
      <c r="E279" s="187">
        <f>'Unit Data from Audit Worksheet'!F306</f>
        <v>0</v>
      </c>
      <c r="F279" s="346" t="str">
        <f>'Unit Data from Audit Worksheet'!G306</f>
        <v>Please do not leave blank</v>
      </c>
      <c r="G279" s="348"/>
      <c r="H279" s="345"/>
      <c r="I279" s="38"/>
      <c r="J279" s="176">
        <v>949</v>
      </c>
      <c r="K279" s="641" t="s">
        <v>757</v>
      </c>
      <c r="L279" s="642">
        <f t="shared" si="28"/>
        <v>0</v>
      </c>
      <c r="N279" s="635"/>
      <c r="P279" s="322"/>
      <c r="Q279" s="601">
        <f t="shared" si="29"/>
        <v>1</v>
      </c>
      <c r="W279" s="3" t="b">
        <f t="shared" si="27"/>
        <v>1</v>
      </c>
      <c r="X279" s="566">
        <f t="shared" si="30"/>
        <v>0</v>
      </c>
      <c r="Y279" s="566">
        <f t="shared" si="31"/>
        <v>0</v>
      </c>
    </row>
    <row r="280" spans="1:25" ht="93.75" customHeight="1" x14ac:dyDescent="0.3">
      <c r="A280" s="333">
        <f>'Unit Data from Audit Worksheet'!A307</f>
        <v>950</v>
      </c>
      <c r="B280" s="132"/>
      <c r="C280" s="332" t="str">
        <f>'Unit Data from Audit Worksheet'!D307</f>
        <v>Has the finance officer been formally appointed by the local government, public authority, or designated official?  (Y/N)</v>
      </c>
      <c r="D280" s="355"/>
      <c r="E280" s="187">
        <f>'Unit Data from Audit Worksheet'!F307</f>
        <v>0</v>
      </c>
      <c r="F280" s="346" t="str">
        <f>'Unit Data from Audit Worksheet'!G307</f>
        <v>Please do not leave blank</v>
      </c>
      <c r="G280" s="348"/>
      <c r="H280" s="345"/>
      <c r="I280" s="38"/>
      <c r="J280" s="176">
        <v>950</v>
      </c>
      <c r="K280" s="641" t="s">
        <v>758</v>
      </c>
      <c r="L280" s="642">
        <f t="shared" si="28"/>
        <v>0</v>
      </c>
      <c r="N280" s="635"/>
      <c r="P280" s="322"/>
      <c r="Q280" s="601">
        <f t="shared" si="29"/>
        <v>1</v>
      </c>
      <c r="W280" s="3" t="b">
        <f t="shared" si="27"/>
        <v>1</v>
      </c>
      <c r="X280" s="566">
        <f t="shared" si="30"/>
        <v>0</v>
      </c>
      <c r="Y280" s="566">
        <f t="shared" si="31"/>
        <v>0</v>
      </c>
    </row>
    <row r="281" spans="1:25" ht="153.75" customHeight="1" x14ac:dyDescent="0.3">
      <c r="A281" s="333">
        <f>'Unit Data from Audit Worksheet'!A308</f>
        <v>952</v>
      </c>
      <c r="B281" s="132"/>
      <c r="C281" s="332"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5"/>
      <c r="E281" s="136" t="str">
        <f>IF('Unit Data from Audit Worksheet'!F308&gt;0,'Unit Data from Audit Worksheet'!F308," ")</f>
        <v xml:space="preserve"> </v>
      </c>
      <c r="F281" s="346" t="str">
        <f>'Unit Data from Audit Worksheet'!G308</f>
        <v>Leave blank if data not available</v>
      </c>
      <c r="G281" s="348"/>
      <c r="H281" s="345"/>
      <c r="I281" s="38"/>
      <c r="J281" s="176">
        <v>952</v>
      </c>
      <c r="K281" s="641" t="s">
        <v>759</v>
      </c>
      <c r="L281" s="644" t="str">
        <f t="shared" si="28"/>
        <v xml:space="preserve"> </v>
      </c>
      <c r="N281" s="635"/>
      <c r="P281" s="322"/>
      <c r="Q281" s="601">
        <f t="shared" si="29"/>
        <v>0</v>
      </c>
      <c r="W281" s="3" t="b">
        <f t="shared" si="27"/>
        <v>1</v>
      </c>
      <c r="X281" s="566" t="e">
        <f t="shared" si="30"/>
        <v>#VALUE!</v>
      </c>
      <c r="Y281" s="566" t="e">
        <f t="shared" si="31"/>
        <v>#VALUE!</v>
      </c>
    </row>
    <row r="282" spans="1:25" ht="153.75" customHeight="1" x14ac:dyDescent="0.3">
      <c r="A282" s="333">
        <f>'Unit Data from Audit Worksheet'!A309</f>
        <v>954</v>
      </c>
      <c r="B282" s="132"/>
      <c r="C282" s="332" t="str">
        <f>'Unit Data from Audit Worksheet'!D309</f>
        <v>Has the finance officer or interim finance officer read, understand, and is in compliance with the requirements of N.C.G.S. 159, as applicable based on unit type and circumstances? (Y/N)</v>
      </c>
      <c r="D282" s="355"/>
      <c r="E282" s="187">
        <f>'Unit Data from Audit Worksheet'!F309</f>
        <v>0</v>
      </c>
      <c r="F282" s="346" t="str">
        <f>'Unit Data from Audit Worksheet'!G309</f>
        <v>Please do not leave blank</v>
      </c>
      <c r="G282" s="348"/>
      <c r="H282" s="345"/>
      <c r="I282" s="38"/>
      <c r="J282" s="176">
        <v>954</v>
      </c>
      <c r="K282" s="641" t="s">
        <v>760</v>
      </c>
      <c r="L282" s="642">
        <f t="shared" si="28"/>
        <v>0</v>
      </c>
      <c r="N282" s="635"/>
      <c r="P282" s="322"/>
      <c r="Q282" s="601">
        <f t="shared" si="29"/>
        <v>1</v>
      </c>
      <c r="W282" s="3" t="b">
        <f t="shared" si="27"/>
        <v>1</v>
      </c>
      <c r="X282" s="566">
        <f t="shared" si="30"/>
        <v>0</v>
      </c>
      <c r="Y282" s="566">
        <f t="shared" si="31"/>
        <v>0</v>
      </c>
    </row>
    <row r="283" spans="1:25" ht="153.75" customHeight="1" x14ac:dyDescent="0.3">
      <c r="A283" s="333">
        <f>'Unit Data from Audit Worksheet'!A310</f>
        <v>956</v>
      </c>
      <c r="B283" s="132"/>
      <c r="C283" s="332" t="str">
        <f>'Unit Data from Audit Worksheet'!D310</f>
        <v>Does the finance officer or interim finance officer maintain and update (or ensures the maintenance and update of)  financial records monthly, including reconciliation of bank accounts to the general ledger? (Y/N)</v>
      </c>
      <c r="D283" s="355"/>
      <c r="E283" s="187">
        <f>'Unit Data from Audit Worksheet'!F310</f>
        <v>0</v>
      </c>
      <c r="F283" s="346" t="str">
        <f>'Unit Data from Audit Worksheet'!G310</f>
        <v>Please do not leave blank</v>
      </c>
      <c r="G283" s="348"/>
      <c r="H283" s="345"/>
      <c r="I283" s="38"/>
      <c r="J283" s="176">
        <v>956</v>
      </c>
      <c r="K283" s="641" t="s">
        <v>761</v>
      </c>
      <c r="L283" s="642">
        <f t="shared" si="28"/>
        <v>0</v>
      </c>
      <c r="N283" s="635"/>
      <c r="P283" s="322"/>
      <c r="Q283" s="601">
        <f t="shared" si="29"/>
        <v>1</v>
      </c>
      <c r="W283" s="3" t="b">
        <f t="shared" si="27"/>
        <v>1</v>
      </c>
      <c r="X283" s="566">
        <f t="shared" si="30"/>
        <v>0</v>
      </c>
      <c r="Y283" s="566">
        <f t="shared" si="31"/>
        <v>0</v>
      </c>
    </row>
    <row r="284" spans="1:25" ht="201.6" x14ac:dyDescent="0.3">
      <c r="A284" s="333">
        <f>'Unit Data from Audit Worksheet'!A311</f>
        <v>958</v>
      </c>
      <c r="B284" s="132"/>
      <c r="C284" s="332"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5"/>
      <c r="E284" s="187">
        <f>'Unit Data from Audit Worksheet'!F311</f>
        <v>0</v>
      </c>
      <c r="F284" s="346" t="str">
        <f>'Unit Data from Audit Worksheet'!G311</f>
        <v>Please do not leave blank</v>
      </c>
      <c r="G284" s="348"/>
      <c r="H284" s="345"/>
      <c r="I284" s="38"/>
      <c r="J284" s="176">
        <v>958</v>
      </c>
      <c r="K284" s="641" t="s">
        <v>762</v>
      </c>
      <c r="L284" s="645">
        <f t="shared" si="28"/>
        <v>0</v>
      </c>
      <c r="N284" s="635"/>
      <c r="P284" s="322"/>
      <c r="Q284" s="601">
        <f t="shared" si="29"/>
        <v>1</v>
      </c>
      <c r="W284" s="3" t="b">
        <f t="shared" si="27"/>
        <v>1</v>
      </c>
      <c r="X284" s="566">
        <f t="shared" si="30"/>
        <v>0</v>
      </c>
      <c r="Y284" s="566">
        <f t="shared" si="31"/>
        <v>0</v>
      </c>
    </row>
    <row r="285" spans="1:25" ht="30.75" customHeight="1" x14ac:dyDescent="0.3">
      <c r="A285" s="646">
        <f>'Unit Data from Audit Worksheet'!A319</f>
        <v>960</v>
      </c>
      <c r="B285" s="183"/>
      <c r="C285" s="184" t="str">
        <f>'Unit Data from Audit Worksheet'!B319</f>
        <v>Name of Finance Officer</v>
      </c>
      <c r="D285" s="355"/>
      <c r="E285" s="647">
        <f>'Unit Data from Audit Worksheet'!D319</f>
        <v>0</v>
      </c>
      <c r="F285" s="648" t="str">
        <f>'Unit Data from Audit Worksheet'!F319</f>
        <v>Required</v>
      </c>
      <c r="G285" s="348"/>
      <c r="H285" s="345"/>
      <c r="I285" s="38"/>
      <c r="J285" s="186">
        <v>960</v>
      </c>
      <c r="K285" s="649" t="s">
        <v>753</v>
      </c>
      <c r="L285" s="650">
        <f t="shared" si="28"/>
        <v>0</v>
      </c>
      <c r="N285" s="593"/>
      <c r="P285" s="322"/>
      <c r="Q285" s="601">
        <f>IF(L285=0,1,0)</f>
        <v>1</v>
      </c>
      <c r="X285" s="566"/>
      <c r="Y285" s="566"/>
    </row>
    <row r="286" spans="1:25" ht="30.75" customHeight="1" x14ac:dyDescent="0.3">
      <c r="A286" s="646">
        <f>'Unit Data from Audit Worksheet'!A320</f>
        <v>962</v>
      </c>
      <c r="B286" s="183"/>
      <c r="C286" s="184" t="str">
        <f>'Unit Data from Audit Worksheet'!B320</f>
        <v>Title of Official</v>
      </c>
      <c r="D286" s="355"/>
      <c r="E286" s="647">
        <f>'Unit Data from Audit Worksheet'!D320</f>
        <v>0</v>
      </c>
      <c r="F286" s="648" t="str">
        <f>'Unit Data from Audit Worksheet'!F320</f>
        <v>Required</v>
      </c>
      <c r="G286" s="348"/>
      <c r="H286" s="345"/>
      <c r="I286" s="38"/>
      <c r="J286" s="186">
        <v>962</v>
      </c>
      <c r="K286" s="649" t="s">
        <v>714</v>
      </c>
      <c r="L286" s="650">
        <f t="shared" si="28"/>
        <v>0</v>
      </c>
      <c r="N286" s="593"/>
      <c r="P286" s="322"/>
      <c r="Q286" s="601">
        <f>IF(L286=0,1,0)</f>
        <v>1</v>
      </c>
      <c r="X286" s="566"/>
      <c r="Y286" s="566"/>
    </row>
    <row r="287" spans="1:25" ht="30.75" customHeight="1" x14ac:dyDescent="0.3">
      <c r="A287" s="646">
        <f>'Unit Data from Audit Worksheet'!A321</f>
        <v>964</v>
      </c>
      <c r="B287" s="183"/>
      <c r="C287" s="185" t="str">
        <f>'Unit Data from Audit Worksheet'!B321</f>
        <v>Date                        (Enter as "MM/DD/YYYY")</v>
      </c>
      <c r="D287" s="355"/>
      <c r="E287" s="651" t="str">
        <f>IF('Unit Data from Audit Worksheet'!D321&gt;0,'Unit Data from Audit Worksheet'!D321," ")</f>
        <v xml:space="preserve"> </v>
      </c>
      <c r="F287" s="648" t="str">
        <f>'Unit Data from Audit Worksheet'!F321</f>
        <v>Required</v>
      </c>
      <c r="G287" s="348"/>
      <c r="H287" s="345"/>
      <c r="I287" s="38"/>
      <c r="J287" s="186">
        <v>964</v>
      </c>
      <c r="K287" s="649" t="s">
        <v>822</v>
      </c>
      <c r="L287" s="652" t="str">
        <f t="shared" si="28"/>
        <v xml:space="preserve"> </v>
      </c>
      <c r="N287" s="593"/>
      <c r="P287" s="322"/>
      <c r="Q287" s="601">
        <f>IF(L287=0,1,0)</f>
        <v>0</v>
      </c>
      <c r="X287" s="566"/>
      <c r="Y287" s="566"/>
    </row>
    <row r="288" spans="1:25" ht="30.75" customHeight="1" x14ac:dyDescent="0.3">
      <c r="A288" s="646">
        <f>'Unit Data from Audit Worksheet'!A322</f>
        <v>966</v>
      </c>
      <c r="B288" s="183"/>
      <c r="C288" s="184" t="str">
        <f>'Unit Data from Audit Worksheet'!B322</f>
        <v>Telephone number</v>
      </c>
      <c r="D288" s="355"/>
      <c r="E288" s="647">
        <f>'Unit Data from Audit Worksheet'!D322</f>
        <v>0</v>
      </c>
      <c r="F288" s="648" t="str">
        <f>'Unit Data from Audit Worksheet'!F322</f>
        <v>Required</v>
      </c>
      <c r="G288" s="348"/>
      <c r="H288" s="345"/>
      <c r="I288" s="38"/>
      <c r="J288" s="186">
        <v>966</v>
      </c>
      <c r="K288" s="649" t="s">
        <v>716</v>
      </c>
      <c r="L288" s="650">
        <f t="shared" si="28"/>
        <v>0</v>
      </c>
      <c r="N288" s="593"/>
      <c r="P288" s="322"/>
      <c r="Q288" s="601">
        <f>IF(L288=0,1,0)</f>
        <v>1</v>
      </c>
      <c r="X288" s="566"/>
      <c r="Y288" s="566"/>
    </row>
    <row r="289" spans="1:25" ht="30.75" customHeight="1" x14ac:dyDescent="0.3">
      <c r="A289" s="646">
        <f>'Unit Data from Audit Worksheet'!A323</f>
        <v>968</v>
      </c>
      <c r="B289" s="183"/>
      <c r="C289" s="184" t="str">
        <f>'Unit Data from Audit Worksheet'!B323</f>
        <v>E-mail address</v>
      </c>
      <c r="D289" s="355"/>
      <c r="E289" s="647">
        <f>'Unit Data from Audit Worksheet'!D323</f>
        <v>0</v>
      </c>
      <c r="F289" s="648" t="str">
        <f>'Unit Data from Audit Worksheet'!F323</f>
        <v>Required</v>
      </c>
      <c r="G289" s="348"/>
      <c r="H289" s="345"/>
      <c r="I289" s="38"/>
      <c r="J289" s="186">
        <v>968</v>
      </c>
      <c r="K289" s="649" t="s">
        <v>717</v>
      </c>
      <c r="L289" s="650">
        <f t="shared" si="28"/>
        <v>0</v>
      </c>
      <c r="N289" s="593"/>
      <c r="P289" s="322"/>
      <c r="Q289" s="601">
        <f>IF(L289=0,1,0)</f>
        <v>1</v>
      </c>
      <c r="X289" s="566"/>
      <c r="Y289" s="566"/>
    </row>
    <row r="290" spans="1:25" ht="75.599999999999994" customHeight="1" x14ac:dyDescent="0.3">
      <c r="A290" s="653">
        <f>+'TD Info Completed by Auditor'!D74</f>
        <v>980</v>
      </c>
      <c r="B290" s="365" t="s">
        <v>1040</v>
      </c>
      <c r="C290" s="381" t="str">
        <f>+'TD Info Completed by Auditor'!E74</f>
        <v>Date the Auditor presented or plans to present the Audit to the Governing Board</v>
      </c>
      <c r="D290" s="355"/>
      <c r="E290" s="654" t="str">
        <f>IF('TD Info Completed by Auditor'!G74&gt;0,'TD Info Completed by Auditor'!G74," ")</f>
        <v xml:space="preserve"> </v>
      </c>
      <c r="F290" s="655" t="s">
        <v>1242</v>
      </c>
      <c r="G290" s="348"/>
      <c r="H290" s="345"/>
      <c r="I290" s="38"/>
      <c r="J290" s="382">
        <v>980</v>
      </c>
      <c r="K290" s="383" t="s">
        <v>1009</v>
      </c>
      <c r="L290" s="656" t="str">
        <f t="shared" si="28"/>
        <v xml:space="preserve"> </v>
      </c>
      <c r="N290" s="593"/>
      <c r="P290" s="322"/>
      <c r="Q290" s="601"/>
      <c r="X290" s="566"/>
      <c r="Y290" s="566"/>
    </row>
    <row r="291" spans="1:25" ht="83.4" customHeight="1" x14ac:dyDescent="0.3">
      <c r="A291" s="623"/>
      <c r="B291" s="97"/>
      <c r="C291" s="624"/>
      <c r="D291" s="626"/>
      <c r="E291" s="627"/>
      <c r="F291" s="628"/>
      <c r="G291" s="629"/>
      <c r="H291" s="630"/>
      <c r="I291" s="38"/>
      <c r="J291" s="176">
        <v>999</v>
      </c>
      <c r="K291" s="641" t="s">
        <v>289</v>
      </c>
      <c r="L291" s="657" t="e">
        <f>'Unit Data from Audit Worksheet'!D3</f>
        <v>#N/A</v>
      </c>
      <c r="M291" s="619"/>
      <c r="N291" s="658" t="s">
        <v>1241</v>
      </c>
      <c r="O291" s="658" t="s">
        <v>1240</v>
      </c>
      <c r="P291" s="322"/>
      <c r="W291" s="3" t="b">
        <f>EXACT(A291,J291)</f>
        <v>0</v>
      </c>
      <c r="X291" s="566" t="e">
        <f t="shared" si="30"/>
        <v>#N/A</v>
      </c>
      <c r="Y291" s="566" t="e">
        <f t="shared" si="31"/>
        <v>#N/A</v>
      </c>
    </row>
    <row r="292" spans="1:25" x14ac:dyDescent="0.3">
      <c r="A292" s="295"/>
      <c r="B292" s="295"/>
      <c r="C292" s="295"/>
      <c r="D292" s="295"/>
      <c r="E292" s="295"/>
      <c r="F292" s="295"/>
      <c r="G292" s="295"/>
      <c r="H292" s="295"/>
      <c r="I292" s="295"/>
      <c r="J292" s="3"/>
      <c r="K292" s="3"/>
      <c r="L292" s="3"/>
      <c r="N292" s="4"/>
      <c r="P292" s="323"/>
    </row>
    <row r="293" spans="1:25" x14ac:dyDescent="0.3">
      <c r="D293" s="660"/>
      <c r="E293" s="661"/>
      <c r="F293" s="661"/>
      <c r="G293" s="662"/>
      <c r="H293" s="661"/>
      <c r="I293" s="663"/>
      <c r="K293" s="10"/>
      <c r="L293" s="664"/>
      <c r="N293" s="4"/>
      <c r="P293" s="323"/>
    </row>
    <row r="294" spans="1:25" ht="18" x14ac:dyDescent="0.35">
      <c r="A294" s="165" t="s">
        <v>649</v>
      </c>
      <c r="B294" s="166"/>
      <c r="C294" s="167"/>
      <c r="D294" s="168"/>
      <c r="E294" s="169"/>
      <c r="F294" s="661"/>
      <c r="G294" s="662"/>
      <c r="H294" s="661"/>
      <c r="I294" s="663"/>
      <c r="L294" s="664"/>
      <c r="N294" s="4"/>
      <c r="P294" s="323"/>
    </row>
    <row r="295" spans="1:25" ht="117" customHeight="1" x14ac:dyDescent="0.7">
      <c r="A295" s="333">
        <f>'Unit Data from Audit Worksheet'!A88</f>
        <v>590</v>
      </c>
      <c r="B295" s="333"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2"/>
      <c r="H295" s="661"/>
      <c r="I295" s="663"/>
      <c r="J295" s="158" t="e">
        <f>SUM(Q5:Q295)</f>
        <v>#N/A</v>
      </c>
      <c r="K295" s="157" t="s">
        <v>750</v>
      </c>
      <c r="L295" s="664" t="e">
        <f>SUM(G5:G245)</f>
        <v>#N/A</v>
      </c>
      <c r="N295" s="4"/>
      <c r="P295" s="323"/>
    </row>
    <row r="296" spans="1:25" ht="14.25" customHeight="1" x14ac:dyDescent="0.3">
      <c r="A296" s="295"/>
      <c r="B296" s="295"/>
      <c r="C296" s="295"/>
      <c r="D296" s="295"/>
      <c r="E296" s="295"/>
      <c r="F296" s="661"/>
      <c r="G296" s="662"/>
      <c r="H296" s="661"/>
      <c r="I296" s="663"/>
      <c r="K296" s="10"/>
      <c r="L296" s="665"/>
      <c r="P296" s="323"/>
      <c r="Q296" s="85"/>
    </row>
    <row r="297" spans="1:25" x14ac:dyDescent="0.3">
      <c r="A297" s="295"/>
      <c r="B297" s="295"/>
      <c r="C297" s="295"/>
      <c r="D297" s="295"/>
      <c r="E297" s="295"/>
      <c r="F297" s="661"/>
      <c r="G297" s="662"/>
      <c r="H297" s="661"/>
      <c r="I297" s="663"/>
      <c r="K297" s="10"/>
      <c r="L297" s="665"/>
      <c r="P297" s="323"/>
    </row>
    <row r="298" spans="1:25" ht="18.75" customHeight="1" x14ac:dyDescent="0.3">
      <c r="A298" s="295"/>
      <c r="B298" s="295"/>
      <c r="C298" s="295"/>
      <c r="D298" s="295"/>
      <c r="E298" s="295"/>
      <c r="F298" s="661"/>
      <c r="G298" s="662"/>
      <c r="H298" s="661"/>
      <c r="I298" s="663"/>
      <c r="J298" s="5">
        <f>SUM(J5:J245)</f>
        <v>98821</v>
      </c>
      <c r="K298" s="10"/>
      <c r="L298" s="665"/>
      <c r="P298" s="323"/>
    </row>
    <row r="299" spans="1:25" ht="30.75" customHeight="1" x14ac:dyDescent="0.3">
      <c r="A299" s="295"/>
      <c r="B299" s="295"/>
      <c r="C299" s="295"/>
      <c r="D299" s="295"/>
      <c r="E299" s="295"/>
      <c r="F299" s="661"/>
      <c r="G299" s="662"/>
      <c r="H299" s="661"/>
      <c r="I299" s="663"/>
      <c r="J299" s="5">
        <f>SUM(J261:J265)+SUM(J277:J290)</f>
        <v>13934</v>
      </c>
      <c r="K299" s="10"/>
      <c r="L299" s="665"/>
      <c r="P299" s="323"/>
    </row>
    <row r="300" spans="1:25" ht="30.75" customHeight="1" x14ac:dyDescent="0.3">
      <c r="A300" s="295"/>
      <c r="B300" s="295"/>
      <c r="C300" s="295"/>
      <c r="D300" s="295"/>
      <c r="E300" s="295"/>
      <c r="F300" s="661"/>
      <c r="G300" s="662"/>
      <c r="H300" s="661"/>
      <c r="I300" s="663"/>
      <c r="J300" s="5">
        <f>+J298+J299</f>
        <v>112755</v>
      </c>
      <c r="K300" s="10"/>
      <c r="L300" s="665"/>
      <c r="P300" s="323"/>
    </row>
    <row r="301" spans="1:25" ht="30.75" customHeight="1" x14ac:dyDescent="0.3">
      <c r="A301" s="295"/>
      <c r="B301" s="295"/>
      <c r="C301" s="295"/>
      <c r="D301" s="295"/>
      <c r="E301" s="295"/>
      <c r="F301" s="661"/>
      <c r="G301" s="662"/>
      <c r="H301" s="661"/>
      <c r="I301" s="663"/>
      <c r="J301" s="5">
        <f>+'Unit Data from Audit Worksheet'!A327</f>
        <v>31944</v>
      </c>
      <c r="K301" s="10"/>
      <c r="L301" s="665"/>
      <c r="P301" s="323"/>
    </row>
    <row r="302" spans="1:25" ht="30.75" customHeight="1" x14ac:dyDescent="0.3">
      <c r="A302" s="295"/>
      <c r="B302" s="295"/>
      <c r="C302" s="295"/>
      <c r="D302" s="295"/>
      <c r="E302" s="295"/>
      <c r="F302" s="661"/>
      <c r="G302" s="662"/>
      <c r="H302" s="661"/>
      <c r="I302" s="663"/>
      <c r="J302" s="5">
        <f>+J300-J301</f>
        <v>80811</v>
      </c>
      <c r="K302" s="10"/>
      <c r="L302" s="665"/>
      <c r="P302" s="323"/>
    </row>
    <row r="303" spans="1:25" ht="30.75" customHeight="1" x14ac:dyDescent="0.3">
      <c r="A303" s="295"/>
      <c r="B303" s="295"/>
      <c r="C303" s="295"/>
      <c r="D303" s="295"/>
      <c r="E303" s="295"/>
      <c r="F303" s="661"/>
      <c r="G303" s="662"/>
      <c r="H303" s="661"/>
      <c r="I303" s="663"/>
      <c r="K303" s="10"/>
      <c r="L303" s="665"/>
      <c r="P303" s="323"/>
    </row>
    <row r="304" spans="1:25" x14ac:dyDescent="0.3">
      <c r="A304" s="295"/>
      <c r="B304" s="295"/>
      <c r="C304" s="295"/>
      <c r="D304" s="295"/>
      <c r="E304" s="295"/>
      <c r="I304" s="663"/>
      <c r="K304" s="10"/>
      <c r="L304" s="665"/>
      <c r="P304" s="323"/>
    </row>
    <row r="305" spans="1:16" x14ac:dyDescent="0.3">
      <c r="A305" s="295"/>
      <c r="B305" s="295"/>
      <c r="C305" s="295"/>
      <c r="D305" s="295"/>
      <c r="E305" s="295"/>
      <c r="I305" s="663"/>
      <c r="L305" s="665"/>
      <c r="P305" s="323"/>
    </row>
    <row r="306" spans="1:16" x14ac:dyDescent="0.3">
      <c r="A306" s="5"/>
      <c r="B306" s="666"/>
      <c r="C306" s="26"/>
      <c r="D306" s="79"/>
      <c r="I306" s="663"/>
      <c r="L306" s="665"/>
      <c r="P306" s="323"/>
    </row>
    <row r="307" spans="1:16" x14ac:dyDescent="0.3">
      <c r="A307" s="5"/>
      <c r="B307" s="666"/>
      <c r="C307" s="26"/>
      <c r="D307" s="79"/>
      <c r="L307" s="665"/>
      <c r="P307" s="323"/>
    </row>
    <row r="308" spans="1:16" x14ac:dyDescent="0.3">
      <c r="D308" s="79"/>
      <c r="P308" s="323"/>
    </row>
    <row r="309" spans="1:16" x14ac:dyDescent="0.3">
      <c r="D309" s="79"/>
      <c r="P309" s="323"/>
    </row>
    <row r="310" spans="1:16" x14ac:dyDescent="0.3">
      <c r="D310" s="79"/>
      <c r="P310" s="323"/>
    </row>
    <row r="311" spans="1:16" x14ac:dyDescent="0.3">
      <c r="D311" s="79"/>
      <c r="P311" s="323"/>
    </row>
    <row r="312" spans="1:16" x14ac:dyDescent="0.3">
      <c r="A312" s="5"/>
      <c r="B312" s="666"/>
      <c r="C312" s="26"/>
      <c r="D312" s="79"/>
      <c r="P312" s="323"/>
    </row>
    <row r="313" spans="1:16" x14ac:dyDescent="0.3">
      <c r="A313" s="5"/>
      <c r="B313" s="666"/>
      <c r="C313" s="26"/>
      <c r="D313" s="79"/>
      <c r="P313" s="323"/>
    </row>
    <row r="314" spans="1:16" x14ac:dyDescent="0.3">
      <c r="D314" s="79"/>
      <c r="P314" s="323"/>
    </row>
    <row r="315" spans="1:16" x14ac:dyDescent="0.3">
      <c r="D315" s="79"/>
      <c r="P315" s="323"/>
    </row>
    <row r="316" spans="1:16" x14ac:dyDescent="0.3">
      <c r="D316" s="79"/>
      <c r="P316" s="323"/>
    </row>
    <row r="317" spans="1:16" x14ac:dyDescent="0.3">
      <c r="D317" s="79"/>
      <c r="P317" s="323"/>
    </row>
    <row r="318" spans="1:16" x14ac:dyDescent="0.3">
      <c r="A318" s="5"/>
      <c r="B318" s="666"/>
      <c r="C318" s="26"/>
      <c r="D318" s="79"/>
      <c r="P318" s="323"/>
    </row>
    <row r="319" spans="1:16" x14ac:dyDescent="0.3">
      <c r="A319" s="5"/>
      <c r="B319" s="666"/>
      <c r="C319" s="26"/>
      <c r="D319" s="79"/>
      <c r="P319" s="323"/>
    </row>
    <row r="320" spans="1:16" x14ac:dyDescent="0.3">
      <c r="D320" s="79"/>
      <c r="P320" s="323"/>
    </row>
    <row r="321" spans="1:16" x14ac:dyDescent="0.3">
      <c r="D321" s="79"/>
      <c r="P321" s="323"/>
    </row>
    <row r="322" spans="1:16" x14ac:dyDescent="0.3">
      <c r="D322" s="79"/>
      <c r="P322" s="323"/>
    </row>
    <row r="323" spans="1:16" x14ac:dyDescent="0.3">
      <c r="D323" s="79"/>
      <c r="P323" s="323"/>
    </row>
    <row r="324" spans="1:16" x14ac:dyDescent="0.3">
      <c r="A324" s="5"/>
      <c r="B324" s="666"/>
      <c r="C324" s="26"/>
      <c r="D324" s="79"/>
      <c r="P324" s="323"/>
    </row>
    <row r="325" spans="1:16" x14ac:dyDescent="0.3">
      <c r="A325" s="5"/>
      <c r="B325" s="666"/>
      <c r="C325" s="26"/>
      <c r="D325" s="79"/>
      <c r="P325" s="323"/>
    </row>
    <row r="326" spans="1:16" x14ac:dyDescent="0.3">
      <c r="A326" s="5"/>
      <c r="B326" s="666"/>
      <c r="C326" s="26"/>
      <c r="D326" s="79"/>
      <c r="P326" s="323"/>
    </row>
    <row r="327" spans="1:16" x14ac:dyDescent="0.3">
      <c r="A327" s="5"/>
      <c r="B327" s="666"/>
      <c r="C327" s="26"/>
      <c r="D327" s="79"/>
      <c r="P327" s="323"/>
    </row>
    <row r="328" spans="1:16" x14ac:dyDescent="0.3">
      <c r="D328" s="79"/>
      <c r="P328" s="323"/>
    </row>
    <row r="329" spans="1:16" x14ac:dyDescent="0.3">
      <c r="D329" s="79"/>
      <c r="P329" s="323"/>
    </row>
    <row r="330" spans="1:16" x14ac:dyDescent="0.3">
      <c r="D330" s="79"/>
      <c r="P330" s="323"/>
    </row>
    <row r="331" spans="1:16" x14ac:dyDescent="0.3">
      <c r="A331" s="5"/>
      <c r="B331" s="666"/>
      <c r="C331" s="26"/>
      <c r="D331" s="79"/>
      <c r="P331" s="323"/>
    </row>
    <row r="332" spans="1:16" x14ac:dyDescent="0.3">
      <c r="A332" s="5"/>
      <c r="B332" s="666"/>
      <c r="C332" s="26"/>
      <c r="D332" s="79"/>
      <c r="P332" s="323"/>
    </row>
    <row r="333" spans="1:16" x14ac:dyDescent="0.3">
      <c r="A333" s="5"/>
      <c r="B333" s="666"/>
      <c r="C333" s="26"/>
      <c r="D333" s="79"/>
      <c r="P333" s="323"/>
    </row>
    <row r="334" spans="1:16" x14ac:dyDescent="0.3">
      <c r="A334" s="5"/>
      <c r="B334" s="666"/>
      <c r="C334" s="26"/>
      <c r="D334" s="79"/>
      <c r="P334" s="323"/>
    </row>
    <row r="335" spans="1:16" x14ac:dyDescent="0.3">
      <c r="A335" s="5"/>
      <c r="B335" s="666"/>
      <c r="C335" s="26"/>
      <c r="D335" s="79"/>
      <c r="P335" s="323"/>
    </row>
    <row r="336" spans="1:16" x14ac:dyDescent="0.3">
      <c r="A336" s="5"/>
      <c r="B336" s="666"/>
      <c r="C336" s="26"/>
      <c r="D336" s="79"/>
      <c r="P336" s="323"/>
    </row>
    <row r="337" spans="1:16" x14ac:dyDescent="0.3">
      <c r="A337" s="5"/>
      <c r="B337" s="666"/>
      <c r="C337" s="26"/>
      <c r="D337" s="79"/>
      <c r="P337" s="323"/>
    </row>
    <row r="338" spans="1:16" x14ac:dyDescent="0.3">
      <c r="A338" s="5"/>
      <c r="B338" s="666"/>
      <c r="C338" s="26"/>
      <c r="D338" s="79"/>
      <c r="P338" s="323"/>
    </row>
    <row r="339" spans="1:16" x14ac:dyDescent="0.3">
      <c r="A339" s="5"/>
      <c r="B339" s="666"/>
      <c r="C339" s="26"/>
      <c r="D339" s="79"/>
      <c r="P339" s="323"/>
    </row>
    <row r="340" spans="1:16" x14ac:dyDescent="0.3">
      <c r="A340" s="5"/>
      <c r="B340" s="666"/>
      <c r="C340" s="26"/>
      <c r="D340" s="79"/>
      <c r="P340" s="323"/>
    </row>
    <row r="341" spans="1:16" x14ac:dyDescent="0.3">
      <c r="A341" s="5"/>
      <c r="B341" s="666"/>
      <c r="C341" s="26"/>
      <c r="D341" s="79"/>
      <c r="P341" s="323"/>
    </row>
    <row r="342" spans="1:16" x14ac:dyDescent="0.3">
      <c r="A342" s="5"/>
      <c r="B342" s="666"/>
      <c r="C342" s="26"/>
      <c r="D342" s="79"/>
      <c r="P342" s="323"/>
    </row>
    <row r="343" spans="1:16" x14ac:dyDescent="0.3">
      <c r="A343" s="5"/>
      <c r="B343" s="666"/>
      <c r="C343" s="26"/>
      <c r="D343" s="79"/>
      <c r="P343" s="323"/>
    </row>
    <row r="344" spans="1:16" x14ac:dyDescent="0.3">
      <c r="A344" s="5"/>
      <c r="B344" s="666"/>
      <c r="C344" s="26"/>
      <c r="D344" s="79"/>
      <c r="P344" s="323"/>
    </row>
    <row r="345" spans="1:16" x14ac:dyDescent="0.3">
      <c r="A345" s="5"/>
      <c r="B345" s="666"/>
      <c r="C345" s="26"/>
      <c r="D345" s="79"/>
      <c r="P345" s="323"/>
    </row>
    <row r="346" spans="1:16" x14ac:dyDescent="0.3">
      <c r="A346" s="5"/>
      <c r="B346" s="666"/>
      <c r="C346" s="26"/>
      <c r="D346" s="79"/>
      <c r="P346" s="323"/>
    </row>
    <row r="347" spans="1:16" x14ac:dyDescent="0.3">
      <c r="A347" s="5"/>
      <c r="B347" s="666"/>
      <c r="C347" s="26"/>
      <c r="D347" s="79"/>
      <c r="P347" s="323"/>
    </row>
    <row r="348" spans="1:16" x14ac:dyDescent="0.3">
      <c r="A348" s="5"/>
      <c r="B348" s="666"/>
      <c r="C348" s="26"/>
      <c r="D348" s="79"/>
      <c r="P348" s="323"/>
    </row>
    <row r="349" spans="1:16" x14ac:dyDescent="0.3">
      <c r="A349" s="5"/>
      <c r="B349" s="666"/>
      <c r="C349" s="26"/>
      <c r="D349" s="79"/>
      <c r="P349" s="323"/>
    </row>
    <row r="350" spans="1:16" x14ac:dyDescent="0.3">
      <c r="A350" s="5"/>
      <c r="B350" s="666"/>
      <c r="C350" s="26"/>
      <c r="D350" s="79"/>
      <c r="P350" s="323"/>
    </row>
    <row r="351" spans="1:16" x14ac:dyDescent="0.3">
      <c r="A351" s="5"/>
      <c r="B351" s="666"/>
      <c r="C351" s="26"/>
      <c r="D351" s="79"/>
      <c r="P351" s="323"/>
    </row>
    <row r="352" spans="1:16" x14ac:dyDescent="0.3">
      <c r="A352" s="5"/>
      <c r="B352" s="666"/>
      <c r="C352" s="26"/>
      <c r="D352" s="79"/>
      <c r="P352" s="323"/>
    </row>
    <row r="353" spans="1:16" x14ac:dyDescent="0.3">
      <c r="A353" s="5"/>
      <c r="B353" s="666"/>
      <c r="C353" s="26"/>
      <c r="D353" s="79"/>
      <c r="P353" s="323"/>
    </row>
    <row r="354" spans="1:16" x14ac:dyDescent="0.3">
      <c r="A354" s="5"/>
      <c r="B354" s="666"/>
      <c r="C354" s="26"/>
      <c r="D354" s="79"/>
      <c r="P354" s="323"/>
    </row>
    <row r="355" spans="1:16" x14ac:dyDescent="0.3">
      <c r="A355" s="5"/>
      <c r="B355" s="666"/>
      <c r="C355" s="26"/>
      <c r="D355" s="79"/>
      <c r="P355" s="323"/>
    </row>
    <row r="356" spans="1:16" x14ac:dyDescent="0.3">
      <c r="A356" s="5"/>
      <c r="B356" s="666"/>
      <c r="C356" s="26"/>
      <c r="D356" s="79"/>
      <c r="P356" s="323"/>
    </row>
    <row r="357" spans="1:16" x14ac:dyDescent="0.3">
      <c r="A357" s="5"/>
      <c r="B357" s="666"/>
      <c r="C357" s="26"/>
      <c r="D357" s="79"/>
      <c r="P357" s="323"/>
    </row>
    <row r="358" spans="1:16" x14ac:dyDescent="0.3">
      <c r="A358" s="5"/>
      <c r="B358" s="666"/>
      <c r="C358" s="26"/>
      <c r="D358" s="79"/>
      <c r="P358" s="323"/>
    </row>
    <row r="359" spans="1:16" x14ac:dyDescent="0.3">
      <c r="A359" s="5"/>
      <c r="B359" s="666"/>
      <c r="C359" s="26"/>
      <c r="D359" s="79"/>
      <c r="P359" s="323"/>
    </row>
    <row r="360" spans="1:16" x14ac:dyDescent="0.3">
      <c r="A360" s="5"/>
      <c r="B360" s="666"/>
      <c r="C360" s="26"/>
      <c r="D360" s="79"/>
      <c r="P360" s="323"/>
    </row>
    <row r="361" spans="1:16" x14ac:dyDescent="0.3">
      <c r="A361" s="5"/>
      <c r="B361" s="666"/>
      <c r="C361" s="26"/>
      <c r="D361" s="79"/>
      <c r="P361" s="323"/>
    </row>
    <row r="362" spans="1:16" x14ac:dyDescent="0.3">
      <c r="A362" s="5"/>
      <c r="B362" s="666"/>
      <c r="C362" s="26"/>
      <c r="D362" s="79"/>
      <c r="P362" s="323"/>
    </row>
    <row r="363" spans="1:16" x14ac:dyDescent="0.3">
      <c r="A363" s="5"/>
      <c r="B363" s="666"/>
      <c r="C363" s="26"/>
      <c r="D363" s="79"/>
      <c r="P363" s="323"/>
    </row>
    <row r="364" spans="1:16" x14ac:dyDescent="0.3">
      <c r="A364" s="5"/>
      <c r="B364" s="666"/>
      <c r="C364" s="26"/>
      <c r="D364" s="79"/>
      <c r="P364" s="323"/>
    </row>
    <row r="365" spans="1:16" x14ac:dyDescent="0.3">
      <c r="A365" s="5"/>
      <c r="B365" s="666"/>
      <c r="C365" s="26"/>
      <c r="D365" s="79"/>
      <c r="P365" s="323"/>
    </row>
    <row r="366" spans="1:16" x14ac:dyDescent="0.3">
      <c r="A366" s="5"/>
      <c r="B366" s="666"/>
      <c r="C366" s="26"/>
      <c r="D366" s="79"/>
      <c r="P366" s="323"/>
    </row>
    <row r="367" spans="1:16" x14ac:dyDescent="0.3">
      <c r="A367" s="5"/>
      <c r="B367" s="666"/>
      <c r="C367" s="26"/>
      <c r="D367" s="79"/>
      <c r="P367" s="323"/>
    </row>
    <row r="368" spans="1:16" x14ac:dyDescent="0.3">
      <c r="A368" s="5"/>
      <c r="B368" s="666"/>
      <c r="C368" s="26"/>
      <c r="D368" s="79"/>
      <c r="P368" s="323"/>
    </row>
    <row r="369" spans="1:16" x14ac:dyDescent="0.3">
      <c r="A369" s="5"/>
      <c r="B369" s="666"/>
      <c r="C369" s="26"/>
      <c r="D369" s="79"/>
      <c r="P369" s="323"/>
    </row>
    <row r="370" spans="1:16" x14ac:dyDescent="0.3">
      <c r="A370" s="5"/>
      <c r="B370" s="666"/>
      <c r="C370" s="26"/>
      <c r="D370" s="79"/>
      <c r="P370" s="323"/>
    </row>
    <row r="371" spans="1:16" x14ac:dyDescent="0.3">
      <c r="A371" s="5"/>
      <c r="B371" s="666"/>
      <c r="C371" s="26"/>
      <c r="D371" s="79"/>
      <c r="P371" s="323"/>
    </row>
    <row r="372" spans="1:16" x14ac:dyDescent="0.3">
      <c r="A372" s="5"/>
      <c r="B372" s="666"/>
      <c r="C372" s="26"/>
      <c r="D372" s="79"/>
      <c r="P372" s="323"/>
    </row>
    <row r="373" spans="1:16" x14ac:dyDescent="0.3">
      <c r="A373" s="5"/>
      <c r="B373" s="666"/>
      <c r="C373" s="26"/>
      <c r="D373" s="79"/>
      <c r="P373" s="323"/>
    </row>
    <row r="374" spans="1:16" x14ac:dyDescent="0.3">
      <c r="A374" s="5"/>
      <c r="B374" s="666"/>
      <c r="C374" s="26"/>
      <c r="D374" s="79"/>
      <c r="P374" s="323"/>
    </row>
    <row r="375" spans="1:16" x14ac:dyDescent="0.3">
      <c r="A375" s="5"/>
      <c r="B375" s="666"/>
      <c r="C375" s="26"/>
      <c r="D375" s="79"/>
      <c r="P375" s="323"/>
    </row>
    <row r="376" spans="1:16" x14ac:dyDescent="0.3">
      <c r="A376" s="5"/>
      <c r="B376" s="666"/>
      <c r="C376" s="26"/>
      <c r="D376" s="79"/>
      <c r="P376" s="323"/>
    </row>
    <row r="377" spans="1:16" x14ac:dyDescent="0.3">
      <c r="A377" s="5"/>
      <c r="B377" s="666"/>
      <c r="C377" s="26"/>
      <c r="D377" s="79"/>
      <c r="P377" s="323"/>
    </row>
    <row r="378" spans="1:16" x14ac:dyDescent="0.3">
      <c r="A378" s="5"/>
      <c r="B378" s="666"/>
      <c r="C378" s="26"/>
      <c r="D378" s="79"/>
      <c r="P378" s="323"/>
    </row>
    <row r="379" spans="1:16" x14ac:dyDescent="0.3">
      <c r="A379" s="5"/>
      <c r="B379" s="666"/>
      <c r="C379" s="26"/>
      <c r="D379" s="79"/>
      <c r="P379" s="323"/>
    </row>
    <row r="380" spans="1:16" x14ac:dyDescent="0.3">
      <c r="A380" s="5"/>
      <c r="B380" s="666"/>
      <c r="C380" s="26"/>
      <c r="D380" s="79"/>
      <c r="P380" s="323"/>
    </row>
    <row r="381" spans="1:16" x14ac:dyDescent="0.3">
      <c r="A381" s="5"/>
      <c r="B381" s="666"/>
      <c r="C381" s="26"/>
      <c r="D381" s="79"/>
      <c r="P381" s="323"/>
    </row>
    <row r="382" spans="1:16" x14ac:dyDescent="0.3">
      <c r="A382" s="5"/>
      <c r="B382" s="666"/>
      <c r="C382" s="26"/>
      <c r="D382" s="79"/>
      <c r="P382" s="323"/>
    </row>
    <row r="383" spans="1:16" x14ac:dyDescent="0.3">
      <c r="A383" s="5"/>
      <c r="B383" s="666"/>
      <c r="C383" s="26"/>
      <c r="D383" s="79"/>
      <c r="P383" s="323"/>
    </row>
    <row r="384" spans="1:16" x14ac:dyDescent="0.3">
      <c r="A384" s="5"/>
      <c r="B384" s="666"/>
      <c r="C384" s="26"/>
      <c r="D384" s="79"/>
      <c r="P384" s="323"/>
    </row>
    <row r="385" spans="1:16" x14ac:dyDescent="0.3">
      <c r="A385" s="5"/>
      <c r="B385" s="666"/>
      <c r="C385" s="26"/>
      <c r="D385" s="79"/>
      <c r="P385" s="323"/>
    </row>
    <row r="386" spans="1:16" x14ac:dyDescent="0.3">
      <c r="A386" s="5"/>
      <c r="B386" s="666"/>
      <c r="C386" s="26"/>
      <c r="D386" s="79"/>
      <c r="P386" s="323"/>
    </row>
    <row r="387" spans="1:16" x14ac:dyDescent="0.3">
      <c r="A387" s="5"/>
      <c r="B387" s="666"/>
      <c r="C387" s="26"/>
      <c r="D387" s="79"/>
      <c r="P387" s="323"/>
    </row>
    <row r="388" spans="1:16" x14ac:dyDescent="0.3">
      <c r="A388" s="5"/>
      <c r="B388" s="666"/>
      <c r="C388" s="26"/>
      <c r="D388" s="79"/>
      <c r="P388" s="323"/>
    </row>
    <row r="389" spans="1:16" x14ac:dyDescent="0.3">
      <c r="A389" s="5"/>
      <c r="B389" s="666"/>
      <c r="C389" s="26"/>
      <c r="D389" s="79"/>
      <c r="P389" s="323"/>
    </row>
    <row r="390" spans="1:16" x14ac:dyDescent="0.3">
      <c r="A390" s="5"/>
      <c r="B390" s="666"/>
      <c r="C390" s="26"/>
      <c r="D390" s="79"/>
      <c r="P390" s="323"/>
    </row>
    <row r="391" spans="1:16" x14ac:dyDescent="0.3">
      <c r="A391" s="5"/>
      <c r="B391" s="666"/>
      <c r="C391" s="26"/>
      <c r="D391" s="79"/>
      <c r="P391" s="323"/>
    </row>
    <row r="392" spans="1:16" x14ac:dyDescent="0.3">
      <c r="A392" s="5"/>
      <c r="B392" s="666"/>
      <c r="C392" s="26"/>
      <c r="D392" s="79"/>
      <c r="P392" s="323"/>
    </row>
    <row r="393" spans="1:16" x14ac:dyDescent="0.3">
      <c r="A393" s="5"/>
      <c r="B393" s="666"/>
      <c r="C393" s="26"/>
      <c r="D393" s="79"/>
      <c r="P393" s="323"/>
    </row>
    <row r="394" spans="1:16" x14ac:dyDescent="0.3">
      <c r="A394" s="5"/>
      <c r="B394" s="666"/>
      <c r="C394" s="26"/>
      <c r="D394" s="79"/>
      <c r="P394" s="323"/>
    </row>
    <row r="395" spans="1:16" x14ac:dyDescent="0.3">
      <c r="A395" s="5"/>
      <c r="B395" s="666"/>
      <c r="C395" s="26"/>
      <c r="D395" s="79"/>
      <c r="P395" s="323"/>
    </row>
    <row r="396" spans="1:16" x14ac:dyDescent="0.3">
      <c r="A396" s="5"/>
      <c r="B396" s="666"/>
      <c r="C396" s="26"/>
      <c r="D396" s="79"/>
      <c r="P396" s="323"/>
    </row>
    <row r="397" spans="1:16" x14ac:dyDescent="0.3">
      <c r="A397" s="5"/>
      <c r="B397" s="666"/>
      <c r="C397" s="26"/>
      <c r="D397" s="79"/>
      <c r="P397" s="323"/>
    </row>
    <row r="398" spans="1:16" x14ac:dyDescent="0.3">
      <c r="A398" s="5"/>
      <c r="B398" s="666"/>
      <c r="C398" s="26"/>
      <c r="D398" s="79"/>
      <c r="P398" s="323"/>
    </row>
    <row r="399" spans="1:16" x14ac:dyDescent="0.3">
      <c r="A399" s="5"/>
      <c r="B399" s="666"/>
      <c r="C399" s="26"/>
      <c r="D399" s="79"/>
      <c r="P399" s="323"/>
    </row>
    <row r="400" spans="1:16" x14ac:dyDescent="0.3">
      <c r="A400" s="5"/>
      <c r="B400" s="666"/>
      <c r="C400" s="26"/>
      <c r="D400" s="79"/>
      <c r="P400" s="323"/>
    </row>
    <row r="401" spans="1:16" x14ac:dyDescent="0.3">
      <c r="A401" s="5"/>
      <c r="B401" s="666"/>
      <c r="C401" s="26"/>
      <c r="D401" s="79"/>
      <c r="P401" s="323"/>
    </row>
    <row r="402" spans="1:16" x14ac:dyDescent="0.3">
      <c r="A402" s="5"/>
      <c r="B402" s="666"/>
      <c r="C402" s="26"/>
      <c r="D402" s="79"/>
      <c r="P402" s="323"/>
    </row>
    <row r="403" spans="1:16" x14ac:dyDescent="0.3">
      <c r="A403" s="5"/>
      <c r="B403" s="666"/>
      <c r="C403" s="26"/>
      <c r="D403" s="79"/>
      <c r="P403" s="323"/>
    </row>
    <row r="404" spans="1:16" x14ac:dyDescent="0.3">
      <c r="A404" s="5"/>
      <c r="B404" s="666"/>
      <c r="C404" s="26"/>
      <c r="D404" s="79"/>
      <c r="P404" s="323"/>
    </row>
    <row r="405" spans="1:16" x14ac:dyDescent="0.3">
      <c r="A405" s="5"/>
      <c r="B405" s="666"/>
      <c r="C405" s="26"/>
      <c r="D405" s="79"/>
      <c r="P405" s="323"/>
    </row>
    <row r="406" spans="1:16" x14ac:dyDescent="0.3">
      <c r="A406" s="5"/>
      <c r="B406" s="666"/>
      <c r="C406" s="26"/>
      <c r="D406" s="79"/>
      <c r="P406" s="323"/>
    </row>
    <row r="407" spans="1:16" x14ac:dyDescent="0.3">
      <c r="A407" s="5"/>
      <c r="B407" s="666"/>
      <c r="C407" s="26"/>
      <c r="D407" s="79"/>
      <c r="P407" s="323"/>
    </row>
    <row r="408" spans="1:16" x14ac:dyDescent="0.3">
      <c r="A408" s="5"/>
      <c r="B408" s="666"/>
      <c r="C408" s="26"/>
      <c r="D408" s="79"/>
      <c r="P408" s="323"/>
    </row>
    <row r="409" spans="1:16" x14ac:dyDescent="0.3">
      <c r="A409" s="5"/>
      <c r="B409" s="666"/>
      <c r="C409" s="26"/>
      <c r="D409" s="79"/>
      <c r="P409" s="323"/>
    </row>
    <row r="410" spans="1:16" x14ac:dyDescent="0.3">
      <c r="A410" s="5"/>
      <c r="B410" s="666"/>
      <c r="C410" s="26"/>
      <c r="D410" s="79"/>
      <c r="P410" s="323"/>
    </row>
    <row r="411" spans="1:16" x14ac:dyDescent="0.3">
      <c r="A411" s="5"/>
      <c r="B411" s="666"/>
      <c r="C411" s="26"/>
      <c r="D411" s="79"/>
      <c r="P411" s="323"/>
    </row>
    <row r="412" spans="1:16" x14ac:dyDescent="0.3">
      <c r="A412" s="5"/>
      <c r="B412" s="666"/>
      <c r="C412" s="26"/>
      <c r="D412" s="79"/>
      <c r="P412" s="323"/>
    </row>
    <row r="413" spans="1:16" x14ac:dyDescent="0.3">
      <c r="A413" s="5"/>
      <c r="B413" s="666"/>
      <c r="C413" s="26"/>
      <c r="D413" s="79"/>
      <c r="P413" s="323"/>
    </row>
    <row r="414" spans="1:16" x14ac:dyDescent="0.3">
      <c r="A414" s="5"/>
      <c r="B414" s="666"/>
      <c r="C414" s="26"/>
      <c r="D414" s="79"/>
      <c r="P414" s="323"/>
    </row>
    <row r="415" spans="1:16" x14ac:dyDescent="0.3">
      <c r="A415" s="5"/>
      <c r="B415" s="666"/>
      <c r="C415" s="26"/>
      <c r="D415" s="79"/>
      <c r="P415" s="323"/>
    </row>
    <row r="416" spans="1:16" x14ac:dyDescent="0.3">
      <c r="A416" s="5"/>
      <c r="B416" s="666"/>
      <c r="C416" s="26"/>
      <c r="D416" s="79"/>
      <c r="P416" s="323"/>
    </row>
    <row r="417" spans="1:16" x14ac:dyDescent="0.3">
      <c r="A417" s="5"/>
      <c r="B417" s="666"/>
      <c r="C417" s="26"/>
      <c r="D417" s="79"/>
      <c r="P417" s="323"/>
    </row>
    <row r="418" spans="1:16" x14ac:dyDescent="0.3">
      <c r="A418" s="5"/>
      <c r="B418" s="666"/>
      <c r="C418" s="26"/>
      <c r="D418" s="79"/>
      <c r="P418" s="323"/>
    </row>
    <row r="419" spans="1:16" x14ac:dyDescent="0.3">
      <c r="A419" s="5"/>
      <c r="B419" s="666"/>
      <c r="C419" s="26"/>
      <c r="D419" s="79"/>
      <c r="P419" s="323"/>
    </row>
    <row r="420" spans="1:16" x14ac:dyDescent="0.3">
      <c r="A420" s="5"/>
      <c r="B420" s="666"/>
      <c r="C420" s="26"/>
      <c r="D420" s="79"/>
      <c r="P420" s="323"/>
    </row>
    <row r="421" spans="1:16" x14ac:dyDescent="0.3">
      <c r="A421" s="5"/>
      <c r="B421" s="666"/>
      <c r="C421" s="26"/>
      <c r="D421" s="79"/>
      <c r="P421" s="323"/>
    </row>
    <row r="422" spans="1:16" x14ac:dyDescent="0.3">
      <c r="A422" s="5"/>
      <c r="B422" s="666"/>
      <c r="C422" s="26"/>
      <c r="D422" s="79"/>
      <c r="P422" s="323"/>
    </row>
    <row r="423" spans="1:16" x14ac:dyDescent="0.3">
      <c r="A423" s="5"/>
      <c r="B423" s="666"/>
      <c r="C423" s="26"/>
      <c r="D423" s="79"/>
      <c r="P423" s="323"/>
    </row>
    <row r="424" spans="1:16" x14ac:dyDescent="0.3">
      <c r="A424" s="5"/>
      <c r="B424" s="666"/>
      <c r="C424" s="26"/>
      <c r="D424" s="79"/>
      <c r="P424" s="323"/>
    </row>
    <row r="425" spans="1:16" x14ac:dyDescent="0.3">
      <c r="A425" s="5"/>
      <c r="B425" s="666"/>
      <c r="C425" s="26"/>
      <c r="D425" s="79"/>
      <c r="P425" s="323"/>
    </row>
    <row r="426" spans="1:16" x14ac:dyDescent="0.3">
      <c r="A426" s="5"/>
      <c r="B426" s="666"/>
      <c r="C426" s="26"/>
      <c r="D426" s="79"/>
      <c r="P426" s="323"/>
    </row>
    <row r="427" spans="1:16" x14ac:dyDescent="0.3">
      <c r="A427" s="5"/>
      <c r="B427" s="666"/>
      <c r="C427" s="26"/>
      <c r="D427" s="79"/>
      <c r="P427" s="323"/>
    </row>
    <row r="428" spans="1:16" x14ac:dyDescent="0.3">
      <c r="A428" s="5"/>
      <c r="B428" s="666"/>
      <c r="C428" s="26"/>
      <c r="D428" s="79"/>
      <c r="P428" s="323"/>
    </row>
    <row r="429" spans="1:16" x14ac:dyDescent="0.3">
      <c r="A429" s="5"/>
      <c r="B429" s="666"/>
      <c r="C429" s="26"/>
      <c r="D429" s="79"/>
    </row>
    <row r="430" spans="1:16" x14ac:dyDescent="0.3">
      <c r="A430" s="5"/>
      <c r="B430" s="666"/>
      <c r="C430" s="26"/>
      <c r="D430" s="79"/>
      <c r="P430" s="323"/>
    </row>
    <row r="431" spans="1:16" x14ac:dyDescent="0.3">
      <c r="A431" s="5"/>
      <c r="B431" s="666"/>
      <c r="C431" s="26"/>
      <c r="D431" s="79"/>
    </row>
    <row r="432" spans="1:16" x14ac:dyDescent="0.3">
      <c r="A432" s="5"/>
      <c r="B432" s="666"/>
      <c r="C432" s="26"/>
      <c r="D432" s="79"/>
    </row>
    <row r="433" spans="1:4" x14ac:dyDescent="0.3">
      <c r="A433" s="5"/>
      <c r="B433" s="666"/>
      <c r="C433" s="26"/>
      <c r="D433" s="79"/>
    </row>
    <row r="434" spans="1:4" x14ac:dyDescent="0.3">
      <c r="A434" s="5"/>
      <c r="B434" s="666"/>
      <c r="C434" s="26"/>
      <c r="D434" s="79"/>
    </row>
    <row r="435" spans="1:4" x14ac:dyDescent="0.3">
      <c r="A435" s="5"/>
      <c r="B435" s="666"/>
      <c r="C435" s="26"/>
      <c r="D435" s="79"/>
    </row>
    <row r="436" spans="1:4" x14ac:dyDescent="0.3">
      <c r="A436" s="5"/>
      <c r="B436" s="666"/>
      <c r="C436" s="26"/>
      <c r="D436" s="79"/>
    </row>
    <row r="437" spans="1:4" x14ac:dyDescent="0.3">
      <c r="A437" s="5"/>
      <c r="B437" s="666"/>
      <c r="C437" s="26"/>
      <c r="D437" s="79"/>
    </row>
    <row r="438" spans="1:4" x14ac:dyDescent="0.3">
      <c r="A438" s="5"/>
      <c r="B438" s="666"/>
      <c r="C438" s="26"/>
      <c r="D438" s="79"/>
    </row>
    <row r="439" spans="1:4" x14ac:dyDescent="0.3">
      <c r="A439" s="5"/>
      <c r="B439" s="666"/>
      <c r="C439" s="26"/>
      <c r="D439" s="79"/>
    </row>
    <row r="440" spans="1:4" x14ac:dyDescent="0.3">
      <c r="A440" s="5"/>
      <c r="B440" s="666"/>
      <c r="C440" s="26"/>
      <c r="D440" s="79"/>
    </row>
    <row r="441" spans="1:4" x14ac:dyDescent="0.3">
      <c r="A441" s="5"/>
      <c r="B441" s="666"/>
      <c r="C441" s="26"/>
      <c r="D441" s="79"/>
    </row>
    <row r="442" spans="1:4" x14ac:dyDescent="0.3">
      <c r="A442" s="5"/>
      <c r="B442" s="666"/>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54" priority="93" stopIfTrue="1" operator="notEqual">
      <formula>0</formula>
    </cfRule>
  </conditionalFormatting>
  <conditionalFormatting sqref="G34">
    <cfRule type="cellIs" dxfId="53" priority="92" stopIfTrue="1" operator="notEqual">
      <formula>0</formula>
    </cfRule>
  </conditionalFormatting>
  <conditionalFormatting sqref="G65">
    <cfRule type="cellIs" dxfId="52" priority="91" stopIfTrue="1" operator="notEqual">
      <formula>0</formula>
    </cfRule>
  </conditionalFormatting>
  <conditionalFormatting sqref="G79">
    <cfRule type="cellIs" dxfId="51" priority="90" stopIfTrue="1" operator="notEqual">
      <formula>0</formula>
    </cfRule>
  </conditionalFormatting>
  <conditionalFormatting sqref="G80:G90">
    <cfRule type="cellIs" dxfId="50" priority="89" stopIfTrue="1" operator="notEqual">
      <formula>0</formula>
    </cfRule>
  </conditionalFormatting>
  <conditionalFormatting sqref="G133">
    <cfRule type="cellIs" dxfId="49" priority="88" stopIfTrue="1" operator="notEqual">
      <formula>0</formula>
    </cfRule>
  </conditionalFormatting>
  <conditionalFormatting sqref="G151">
    <cfRule type="cellIs" dxfId="48" priority="87" stopIfTrue="1" operator="notEqual">
      <formula>0</formula>
    </cfRule>
  </conditionalFormatting>
  <conditionalFormatting sqref="G163">
    <cfRule type="cellIs" dxfId="47" priority="86" stopIfTrue="1" operator="notEqual">
      <formula>0</formula>
    </cfRule>
  </conditionalFormatting>
  <conditionalFormatting sqref="G164">
    <cfRule type="cellIs" dxfId="46" priority="85" stopIfTrue="1" operator="notEqual">
      <formula>0</formula>
    </cfRule>
  </conditionalFormatting>
  <conditionalFormatting sqref="G178">
    <cfRule type="cellIs" dxfId="45" priority="84" stopIfTrue="1" operator="notEqual">
      <formula>0</formula>
    </cfRule>
  </conditionalFormatting>
  <conditionalFormatting sqref="G179">
    <cfRule type="cellIs" dxfId="44" priority="83" stopIfTrue="1" operator="notEqual">
      <formula>0</formula>
    </cfRule>
  </conditionalFormatting>
  <conditionalFormatting sqref="H237:H239">
    <cfRule type="cellIs" priority="79" stopIfTrue="1" operator="equal">
      <formula>";;;"</formula>
    </cfRule>
  </conditionalFormatting>
  <conditionalFormatting sqref="H237">
    <cfRule type="cellIs" dxfId="43" priority="78" stopIfTrue="1" operator="equal">
      <formula>0</formula>
    </cfRule>
  </conditionalFormatting>
  <conditionalFormatting sqref="H238">
    <cfRule type="cellIs" dxfId="42" priority="77" stopIfTrue="1" operator="equal">
      <formula>0</formula>
    </cfRule>
  </conditionalFormatting>
  <conditionalFormatting sqref="H239">
    <cfRule type="cellIs" dxfId="41" priority="76" stopIfTrue="1" operator="equal">
      <formula>0</formula>
    </cfRule>
  </conditionalFormatting>
  <conditionalFormatting sqref="H239">
    <cfRule type="cellIs" dxfId="40" priority="75" stopIfTrue="1" operator="equal">
      <formula>0</formula>
    </cfRule>
  </conditionalFormatting>
  <conditionalFormatting sqref="H237">
    <cfRule type="cellIs" dxfId="39" priority="74" stopIfTrue="1" operator="equal">
      <formula>0</formula>
    </cfRule>
  </conditionalFormatting>
  <conditionalFormatting sqref="G21">
    <cfRule type="cellIs" dxfId="38" priority="73" stopIfTrue="1" operator="notEqual">
      <formula>0</formula>
    </cfRule>
  </conditionalFormatting>
  <conditionalFormatting sqref="G7">
    <cfRule type="containsText" dxfId="37" priority="71" stopIfTrue="1" operator="containsText" text="Included in error count">
      <formula>NOT(ISERROR(SEARCH("Included in error count",G7)))</formula>
    </cfRule>
    <cfRule type="cellIs" dxfId="36" priority="72" stopIfTrue="1" operator="equal">
      <formula>1</formula>
    </cfRule>
  </conditionalFormatting>
  <conditionalFormatting sqref="G55">
    <cfRule type="containsText" dxfId="35" priority="69" stopIfTrue="1" operator="containsText" text="Included in error count">
      <formula>NOT(ISERROR(SEARCH("Included in error count",G55)))</formula>
    </cfRule>
    <cfRule type="cellIs" dxfId="34" priority="70" stopIfTrue="1" operator="equal">
      <formula>1</formula>
    </cfRule>
  </conditionalFormatting>
  <conditionalFormatting sqref="G120:G121">
    <cfRule type="containsText" dxfId="33" priority="67" stopIfTrue="1" operator="containsText" text="Included in error count">
      <formula>NOT(ISERROR(SEARCH("Included in error count",G120)))</formula>
    </cfRule>
    <cfRule type="cellIs" dxfId="32" priority="68" stopIfTrue="1" operator="equal">
      <formula>1</formula>
    </cfRule>
  </conditionalFormatting>
  <conditionalFormatting sqref="G122">
    <cfRule type="containsText" dxfId="31" priority="65" stopIfTrue="1" operator="containsText" text="Included in error count">
      <formula>NOT(ISERROR(SEARCH("Included in error count",G122)))</formula>
    </cfRule>
    <cfRule type="cellIs" dxfId="30" priority="66" stopIfTrue="1" operator="equal">
      <formula>1</formula>
    </cfRule>
  </conditionalFormatting>
  <conditionalFormatting sqref="G131">
    <cfRule type="containsText" dxfId="29" priority="61" stopIfTrue="1" operator="containsText" text="Included in error count">
      <formula>NOT(ISERROR(SEARCH("Included in error count",G131)))</formula>
    </cfRule>
    <cfRule type="cellIs" dxfId="28" priority="62" stopIfTrue="1" operator="equal">
      <formula>1</formula>
    </cfRule>
  </conditionalFormatting>
  <conditionalFormatting sqref="G153">
    <cfRule type="containsText" dxfId="27" priority="57" stopIfTrue="1" operator="containsText" text="Included in error count">
      <formula>NOT(ISERROR(SEARCH("Included in error count",G153)))</formula>
    </cfRule>
    <cfRule type="cellIs" dxfId="26" priority="58" stopIfTrue="1" operator="equal">
      <formula>1</formula>
    </cfRule>
  </conditionalFormatting>
  <conditionalFormatting sqref="G237">
    <cfRule type="containsText" dxfId="25" priority="46" stopIfTrue="1" operator="containsText" text="Included in error count">
      <formula>NOT(ISERROR(SEARCH("Included in error count",G237)))</formula>
    </cfRule>
    <cfRule type="cellIs" dxfId="24" priority="47" stopIfTrue="1" operator="equal">
      <formula>1</formula>
    </cfRule>
  </conditionalFormatting>
  <conditionalFormatting sqref="G238">
    <cfRule type="containsText" dxfId="23" priority="44" stopIfTrue="1" operator="containsText" text="Included in error count">
      <formula>NOT(ISERROR(SEARCH("Included in error count",G238)))</formula>
    </cfRule>
    <cfRule type="cellIs" dxfId="22" priority="45" stopIfTrue="1" operator="equal">
      <formula>1</formula>
    </cfRule>
  </conditionalFormatting>
  <conditionalFormatting sqref="G239">
    <cfRule type="containsText" dxfId="21" priority="42" stopIfTrue="1" operator="containsText" text="Included in error count">
      <formula>NOT(ISERROR(SEARCH("Included in error count",G239)))</formula>
    </cfRule>
    <cfRule type="cellIs" dxfId="20" priority="43" stopIfTrue="1" operator="equal">
      <formula>1</formula>
    </cfRule>
  </conditionalFormatting>
  <conditionalFormatting sqref="G168">
    <cfRule type="containsText" dxfId="19" priority="40" stopIfTrue="1" operator="containsText" text="Included in error count">
      <formula>NOT(ISERROR(SEARCH("Included in error count",G168)))</formula>
    </cfRule>
    <cfRule type="cellIs" dxfId="18"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10"/>
  <sheetViews>
    <sheetView showGridLines="0" zoomScale="70" zoomScaleNormal="70" workbookViewId="0">
      <selection activeCell="A2" sqref="A2:H2"/>
    </sheetView>
  </sheetViews>
  <sheetFormatPr defaultColWidth="9.109375" defaultRowHeight="14.4" x14ac:dyDescent="0.3"/>
  <cols>
    <col min="1" max="1" width="44.5546875" style="932" customWidth="1"/>
    <col min="2" max="2" width="17.109375" style="932" customWidth="1"/>
    <col min="3" max="3" width="19" style="932" customWidth="1"/>
    <col min="4" max="4" width="19.109375" style="932" customWidth="1"/>
    <col min="5" max="5" width="15.109375" style="932" customWidth="1"/>
    <col min="6" max="6" width="12.88671875" style="932" customWidth="1"/>
    <col min="7" max="7" width="43.88671875" style="957" hidden="1" customWidth="1"/>
    <col min="8" max="8" width="77.5546875" style="932" customWidth="1"/>
    <col min="9" max="9" width="91" style="933" customWidth="1"/>
    <col min="10" max="10" width="46.109375" style="933" customWidth="1"/>
    <col min="11" max="11" width="9.109375" style="933" hidden="1" customWidth="1"/>
    <col min="12" max="12" width="36.88671875" style="270" hidden="1" customWidth="1"/>
    <col min="13" max="14" width="15.6640625" style="270" hidden="1" customWidth="1"/>
    <col min="15" max="15" width="56.33203125" style="270" customWidth="1"/>
    <col min="16" max="16" width="11.109375" style="931" customWidth="1"/>
    <col min="17" max="18" width="9.109375" style="932" customWidth="1"/>
    <col min="19" max="16384" width="9.109375" style="932"/>
  </cols>
  <sheetData>
    <row r="1" spans="1:81" ht="40.5" customHeight="1" thickBot="1" x14ac:dyDescent="0.35">
      <c r="A1" s="1191" t="s">
        <v>1561</v>
      </c>
      <c r="B1" s="1192"/>
      <c r="C1" s="1192"/>
      <c r="D1" s="1192"/>
      <c r="E1" s="1192"/>
      <c r="F1" s="1192"/>
      <c r="G1" s="1192"/>
      <c r="H1" s="1193"/>
      <c r="I1" s="1182" t="s">
        <v>1570</v>
      </c>
      <c r="J1" s="1183"/>
      <c r="K1" s="951"/>
    </row>
    <row r="2" spans="1:81" ht="72" customHeight="1" thickBot="1" x14ac:dyDescent="0.35">
      <c r="A2" s="1194" t="s">
        <v>1562</v>
      </c>
      <c r="B2" s="1195"/>
      <c r="C2" s="1195"/>
      <c r="D2" s="1195"/>
      <c r="E2" s="1195"/>
      <c r="F2" s="1195"/>
      <c r="G2" s="1195"/>
      <c r="H2" s="1196"/>
      <c r="I2" s="1184" t="s">
        <v>1569</v>
      </c>
      <c r="J2" s="1188" t="s">
        <v>1295</v>
      </c>
      <c r="K2" s="961"/>
    </row>
    <row r="3" spans="1:81" ht="15" customHeight="1" x14ac:dyDescent="0.3">
      <c r="A3" s="1087" t="s">
        <v>990</v>
      </c>
      <c r="B3" s="947"/>
      <c r="C3" s="947"/>
      <c r="D3" s="947"/>
      <c r="E3" s="1088"/>
      <c r="F3" s="1088"/>
      <c r="G3" s="1197"/>
      <c r="H3" s="1198"/>
      <c r="I3" s="1185"/>
      <c r="J3" s="1189"/>
      <c r="K3" s="961"/>
    </row>
    <row r="4" spans="1:81" ht="21.75" customHeight="1" x14ac:dyDescent="0.3">
      <c r="A4" s="934" t="s">
        <v>1057</v>
      </c>
      <c r="B4" s="1199" t="str">
        <f>'Unit Data from Audit Worksheet'!D2</f>
        <v>Select Unit Name from Drop Down List</v>
      </c>
      <c r="C4" s="1199"/>
      <c r="D4" s="1199"/>
      <c r="E4" s="1200" t="s">
        <v>1563</v>
      </c>
      <c r="F4" s="1201"/>
      <c r="G4" s="935"/>
      <c r="H4" s="1202" t="s">
        <v>993</v>
      </c>
      <c r="I4" s="1186"/>
      <c r="J4" s="1189"/>
      <c r="K4" s="962"/>
      <c r="L4" s="936"/>
    </row>
    <row r="5" spans="1:81" ht="21.6" thickBot="1" x14ac:dyDescent="0.35">
      <c r="A5" s="937" t="s">
        <v>992</v>
      </c>
      <c r="B5" s="1204" t="e">
        <f>'Unit Data from Audit Worksheet'!D3</f>
        <v>#N/A</v>
      </c>
      <c r="C5" s="1204"/>
      <c r="D5" s="1204"/>
      <c r="E5" s="1200"/>
      <c r="F5" s="1201"/>
      <c r="G5" s="938"/>
      <c r="H5" s="1203"/>
      <c r="I5" s="1187"/>
      <c r="J5" s="1190"/>
      <c r="K5" s="930"/>
      <c r="L5" s="170" t="s">
        <v>1023</v>
      </c>
    </row>
    <row r="6" spans="1:81" s="270" customFormat="1" ht="18.600000000000001" thickBot="1" x14ac:dyDescent="0.35">
      <c r="A6" s="943"/>
      <c r="B6" s="944"/>
      <c r="C6" s="944"/>
      <c r="D6" s="944"/>
      <c r="E6" s="945"/>
      <c r="F6" s="944"/>
      <c r="G6" s="946"/>
      <c r="H6" s="944"/>
      <c r="I6" s="965"/>
      <c r="J6" s="958"/>
      <c r="K6" s="933"/>
      <c r="N6" s="939"/>
      <c r="P6" s="931"/>
      <c r="Q6" s="932"/>
      <c r="R6" s="932"/>
      <c r="S6" s="932"/>
      <c r="T6" s="932"/>
      <c r="U6" s="932"/>
      <c r="V6" s="932"/>
      <c r="W6" s="932"/>
      <c r="X6" s="932"/>
      <c r="Y6" s="932"/>
      <c r="Z6" s="932"/>
      <c r="AA6" s="932"/>
      <c r="AB6" s="932"/>
      <c r="AC6" s="932"/>
      <c r="AD6" s="932"/>
      <c r="AE6" s="932"/>
      <c r="AF6" s="932"/>
      <c r="AG6" s="932"/>
      <c r="AH6" s="932"/>
      <c r="AI6" s="932"/>
      <c r="AJ6" s="932"/>
      <c r="AK6" s="932"/>
      <c r="AL6" s="932"/>
      <c r="AM6" s="932"/>
      <c r="AN6" s="932"/>
      <c r="AO6" s="932"/>
      <c r="AP6" s="932"/>
      <c r="AQ6" s="932"/>
      <c r="AR6" s="932"/>
      <c r="AS6" s="932"/>
      <c r="AT6" s="932"/>
      <c r="AU6" s="932"/>
      <c r="AV6" s="932"/>
      <c r="AW6" s="932"/>
      <c r="AX6" s="932"/>
      <c r="AY6" s="932"/>
      <c r="AZ6" s="932"/>
      <c r="BA6" s="932"/>
      <c r="BB6" s="932"/>
      <c r="BC6" s="932"/>
      <c r="BD6" s="932"/>
      <c r="BE6" s="932"/>
      <c r="BF6" s="932"/>
      <c r="BG6" s="932"/>
      <c r="BH6" s="932"/>
      <c r="BI6" s="932"/>
      <c r="BJ6" s="932"/>
      <c r="BK6" s="932"/>
      <c r="BL6" s="932"/>
      <c r="BM6" s="932"/>
      <c r="BN6" s="932"/>
      <c r="BO6" s="932"/>
      <c r="BP6" s="932"/>
      <c r="BQ6" s="932"/>
      <c r="BR6" s="932"/>
      <c r="BS6" s="932"/>
      <c r="BT6" s="932"/>
      <c r="BU6" s="932"/>
      <c r="BV6" s="932"/>
      <c r="BW6" s="932"/>
      <c r="BX6" s="932"/>
      <c r="BY6" s="932"/>
      <c r="BZ6" s="932"/>
      <c r="CA6" s="932"/>
      <c r="CB6" s="932"/>
      <c r="CC6" s="932"/>
    </row>
    <row r="7" spans="1:81" s="270" customFormat="1" ht="18.600000000000001" thickBot="1" x14ac:dyDescent="0.35">
      <c r="A7" s="1178" t="s">
        <v>1565</v>
      </c>
      <c r="B7" s="1179"/>
      <c r="C7" s="1180"/>
      <c r="D7" s="282" t="s">
        <v>1564</v>
      </c>
      <c r="E7" s="283" t="s">
        <v>1566</v>
      </c>
      <c r="F7" s="947"/>
      <c r="G7" s="948"/>
      <c r="H7" s="949"/>
      <c r="I7" s="967"/>
      <c r="J7" s="949"/>
      <c r="K7" s="930"/>
      <c r="P7" s="931"/>
      <c r="Q7" s="932"/>
      <c r="R7" s="932"/>
      <c r="S7" s="932"/>
      <c r="T7" s="932"/>
      <c r="U7" s="932"/>
      <c r="V7" s="932"/>
      <c r="W7" s="932"/>
      <c r="X7" s="932"/>
      <c r="Y7" s="932"/>
      <c r="Z7" s="932"/>
      <c r="AA7" s="932"/>
      <c r="AB7" s="932"/>
      <c r="AC7" s="932"/>
      <c r="AD7" s="932"/>
      <c r="AE7" s="932"/>
      <c r="AF7" s="932"/>
      <c r="AG7" s="932"/>
      <c r="AH7" s="932"/>
      <c r="AI7" s="932"/>
      <c r="AJ7" s="932"/>
      <c r="AK7" s="932"/>
      <c r="AL7" s="932"/>
      <c r="AM7" s="932"/>
      <c r="AN7" s="932"/>
      <c r="AO7" s="932"/>
      <c r="AP7" s="932"/>
      <c r="AQ7" s="932"/>
      <c r="AR7" s="932"/>
      <c r="AS7" s="932"/>
      <c r="AT7" s="932"/>
      <c r="AU7" s="932"/>
      <c r="AV7" s="932"/>
      <c r="AW7" s="932"/>
      <c r="AX7" s="932"/>
      <c r="AY7" s="932"/>
      <c r="AZ7" s="932"/>
      <c r="BA7" s="932"/>
      <c r="BB7" s="932"/>
      <c r="BC7" s="932"/>
      <c r="BD7" s="932"/>
      <c r="BE7" s="932"/>
      <c r="BF7" s="932"/>
      <c r="BG7" s="932"/>
      <c r="BH7" s="932"/>
      <c r="BI7" s="932"/>
      <c r="BJ7" s="932"/>
      <c r="BK7" s="932"/>
      <c r="BL7" s="932"/>
      <c r="BM7" s="932"/>
      <c r="BN7" s="932"/>
      <c r="BO7" s="932"/>
      <c r="BP7" s="932"/>
      <c r="BQ7" s="932"/>
      <c r="BR7" s="932"/>
      <c r="BS7" s="932"/>
      <c r="BT7" s="932"/>
      <c r="BU7" s="932"/>
      <c r="BV7" s="932"/>
      <c r="BW7" s="932"/>
      <c r="BX7" s="932"/>
      <c r="BY7" s="932"/>
      <c r="BZ7" s="932"/>
      <c r="CA7" s="932"/>
      <c r="CB7" s="932"/>
      <c r="CC7" s="932"/>
    </row>
    <row r="8" spans="1:81" s="270" customFormat="1" ht="92.25" customHeight="1" thickBot="1" x14ac:dyDescent="0.35">
      <c r="A8" s="1181" t="s">
        <v>1572</v>
      </c>
      <c r="B8" s="1181"/>
      <c r="C8" s="1181"/>
      <c r="D8" s="950" t="b">
        <f>IF(Import!L258=1,"Yes",IF(Import!L258=2,"No"))</f>
        <v>0</v>
      </c>
      <c r="E8" s="941" t="s">
        <v>1573</v>
      </c>
      <c r="F8" s="950" t="b">
        <f>D8</f>
        <v>0</v>
      </c>
      <c r="G8" s="942"/>
      <c r="H8" s="963" t="s">
        <v>1567</v>
      </c>
      <c r="I8" s="964" t="s">
        <v>1013</v>
      </c>
      <c r="J8" s="966"/>
      <c r="K8" s="930"/>
      <c r="P8" s="931"/>
      <c r="Q8" s="932"/>
      <c r="R8" s="932"/>
      <c r="S8" s="932"/>
      <c r="T8" s="932"/>
      <c r="U8" s="932"/>
      <c r="V8" s="932"/>
      <c r="W8" s="932"/>
      <c r="X8" s="932"/>
      <c r="Y8" s="932"/>
      <c r="Z8" s="932"/>
      <c r="AA8" s="932"/>
      <c r="AB8" s="932"/>
      <c r="AC8" s="932"/>
      <c r="AD8" s="932"/>
      <c r="AE8" s="932"/>
      <c r="AF8" s="932"/>
      <c r="AG8" s="932"/>
      <c r="AH8" s="932"/>
      <c r="AI8" s="932"/>
      <c r="AJ8" s="932"/>
      <c r="AK8" s="932"/>
      <c r="AL8" s="932"/>
      <c r="AM8" s="932"/>
      <c r="AN8" s="932"/>
      <c r="AO8" s="932"/>
      <c r="AP8" s="932"/>
      <c r="AQ8" s="932"/>
      <c r="AR8" s="932"/>
      <c r="AS8" s="932"/>
      <c r="AT8" s="932"/>
      <c r="AU8" s="932"/>
      <c r="AV8" s="932"/>
      <c r="AW8" s="932"/>
      <c r="AX8" s="932"/>
      <c r="AY8" s="932"/>
      <c r="AZ8" s="932"/>
      <c r="BA8" s="932"/>
      <c r="BB8" s="932"/>
      <c r="BC8" s="932"/>
      <c r="BD8" s="932"/>
      <c r="BE8" s="932"/>
      <c r="BF8" s="932"/>
      <c r="BG8" s="932"/>
      <c r="BH8" s="932"/>
      <c r="BI8" s="932"/>
      <c r="BJ8" s="932"/>
      <c r="BK8" s="932"/>
      <c r="BL8" s="932"/>
      <c r="BM8" s="932"/>
      <c r="BN8" s="932"/>
      <c r="BO8" s="932"/>
      <c r="BP8" s="932"/>
      <c r="BQ8" s="932"/>
      <c r="BR8" s="932"/>
      <c r="BS8" s="932"/>
      <c r="BT8" s="932"/>
      <c r="BU8" s="932"/>
      <c r="BV8" s="932"/>
      <c r="BW8" s="932"/>
      <c r="BX8" s="932"/>
      <c r="BY8" s="932"/>
      <c r="BZ8" s="932"/>
      <c r="CA8" s="932"/>
      <c r="CB8" s="932"/>
      <c r="CC8" s="932"/>
    </row>
    <row r="9" spans="1:81" s="270" customFormat="1" ht="68.25" customHeight="1" thickBot="1" x14ac:dyDescent="0.35">
      <c r="A9" s="1175" t="s">
        <v>995</v>
      </c>
      <c r="B9" s="1176"/>
      <c r="C9" s="1177"/>
      <c r="D9" s="953" t="e">
        <f>+M9+N9+L9+Import!L250+Import!L251+Import!L254</f>
        <v>#VALUE!</v>
      </c>
      <c r="E9" s="952"/>
      <c r="F9" s="954"/>
      <c r="G9" s="942"/>
      <c r="H9" s="960" t="s">
        <v>1568</v>
      </c>
      <c r="I9" s="964" t="s">
        <v>1014</v>
      </c>
      <c r="J9" s="966"/>
      <c r="K9" s="930"/>
      <c r="L9" s="940">
        <f>IF(Import!L247=1,1,0)</f>
        <v>0</v>
      </c>
      <c r="M9" s="940">
        <f>IF(Import!L248=1,1,0)</f>
        <v>0</v>
      </c>
      <c r="N9" s="940">
        <f>IF(Import!L249=1,1,0)</f>
        <v>0</v>
      </c>
      <c r="P9" s="931"/>
      <c r="Q9" s="932"/>
      <c r="R9" s="932"/>
      <c r="S9" s="932"/>
      <c r="T9" s="932"/>
      <c r="U9" s="932"/>
      <c r="V9" s="932"/>
      <c r="W9" s="932"/>
      <c r="X9" s="932"/>
      <c r="Y9" s="932"/>
      <c r="Z9" s="932"/>
      <c r="AA9" s="932"/>
      <c r="AB9" s="932"/>
      <c r="AC9" s="932"/>
      <c r="AD9" s="932"/>
      <c r="AE9" s="932"/>
      <c r="AF9" s="932"/>
      <c r="AG9" s="932"/>
      <c r="AH9" s="932"/>
      <c r="AI9" s="932"/>
      <c r="AJ9" s="932"/>
      <c r="AK9" s="932"/>
      <c r="AL9" s="932"/>
      <c r="AM9" s="932"/>
      <c r="AN9" s="932"/>
      <c r="AO9" s="932"/>
      <c r="AP9" s="932"/>
      <c r="AQ9" s="932"/>
      <c r="AR9" s="932"/>
      <c r="AS9" s="932"/>
      <c r="AT9" s="932"/>
      <c r="AU9" s="932"/>
      <c r="AV9" s="932"/>
      <c r="AW9" s="932"/>
      <c r="AX9" s="932"/>
      <c r="AY9" s="932"/>
      <c r="AZ9" s="932"/>
      <c r="BA9" s="932"/>
      <c r="BB9" s="932"/>
      <c r="BC9" s="932"/>
      <c r="BD9" s="932"/>
      <c r="BE9" s="932"/>
      <c r="BF9" s="932"/>
      <c r="BG9" s="932"/>
      <c r="BH9" s="932"/>
      <c r="BI9" s="932"/>
      <c r="BJ9" s="932"/>
      <c r="BK9" s="932"/>
      <c r="BL9" s="932"/>
      <c r="BM9" s="932"/>
      <c r="BN9" s="932"/>
      <c r="BO9" s="932"/>
      <c r="BP9" s="932"/>
      <c r="BQ9" s="932"/>
      <c r="BR9" s="932"/>
      <c r="BS9" s="932"/>
      <c r="BT9" s="932"/>
      <c r="BU9" s="932"/>
      <c r="BV9" s="932"/>
      <c r="BW9" s="932"/>
      <c r="BX9" s="932"/>
      <c r="BY9" s="932"/>
      <c r="BZ9" s="932"/>
      <c r="CA9" s="932"/>
      <c r="CB9" s="932"/>
      <c r="CC9" s="932"/>
    </row>
    <row r="10" spans="1:81" s="933" customFormat="1" x14ac:dyDescent="0.3">
      <c r="A10" s="955"/>
      <c r="B10" s="955"/>
      <c r="C10" s="955"/>
      <c r="D10" s="955"/>
      <c r="E10" s="955"/>
      <c r="F10" s="955"/>
      <c r="G10" s="956"/>
      <c r="H10" s="955"/>
      <c r="I10" s="959"/>
      <c r="J10" s="959"/>
      <c r="L10" s="270"/>
      <c r="M10" s="270"/>
      <c r="N10" s="270"/>
      <c r="O10" s="270"/>
      <c r="P10" s="931"/>
      <c r="Q10" s="932"/>
      <c r="R10" s="932"/>
      <c r="S10" s="932"/>
      <c r="T10" s="932"/>
      <c r="U10" s="932"/>
      <c r="V10" s="932"/>
      <c r="W10" s="932"/>
      <c r="X10" s="932"/>
      <c r="Y10" s="932"/>
      <c r="Z10" s="932"/>
      <c r="AA10" s="932"/>
      <c r="AB10" s="932"/>
      <c r="AC10" s="932"/>
      <c r="AD10" s="932"/>
      <c r="AE10" s="932"/>
      <c r="AF10" s="932"/>
      <c r="AG10" s="932"/>
      <c r="AH10" s="932"/>
      <c r="AI10" s="932"/>
      <c r="AJ10" s="932"/>
      <c r="AK10" s="932"/>
      <c r="AL10" s="932"/>
      <c r="AM10" s="932"/>
      <c r="AN10" s="932"/>
      <c r="AO10" s="932"/>
      <c r="AP10" s="932"/>
      <c r="AQ10" s="932"/>
      <c r="AR10" s="932"/>
      <c r="AS10" s="932"/>
      <c r="AT10" s="932"/>
      <c r="AU10" s="932"/>
      <c r="AV10" s="932"/>
      <c r="AW10" s="932"/>
      <c r="AX10" s="932"/>
      <c r="AY10" s="932"/>
      <c r="AZ10" s="932"/>
      <c r="BA10" s="932"/>
      <c r="BB10" s="932"/>
      <c r="BC10" s="932"/>
      <c r="BD10" s="932"/>
      <c r="BE10" s="932"/>
      <c r="BF10" s="932"/>
      <c r="BG10" s="932"/>
      <c r="BH10" s="932"/>
      <c r="BI10" s="932"/>
      <c r="BJ10" s="932"/>
      <c r="BK10" s="932"/>
      <c r="BL10" s="932"/>
      <c r="BM10" s="932"/>
      <c r="BN10" s="932"/>
      <c r="BO10" s="932"/>
      <c r="BP10" s="932"/>
      <c r="BQ10" s="932"/>
      <c r="BR10" s="932"/>
      <c r="BS10" s="932"/>
      <c r="BT10" s="932"/>
      <c r="BU10" s="932"/>
      <c r="BV10" s="932"/>
      <c r="BW10" s="932"/>
      <c r="BX10" s="932"/>
      <c r="BY10" s="932"/>
      <c r="BZ10" s="932"/>
      <c r="CA10" s="932"/>
      <c r="CB10" s="932"/>
      <c r="CC10" s="932"/>
    </row>
  </sheetData>
  <mergeCells count="13">
    <mergeCell ref="A9:C9"/>
    <mergeCell ref="A7:C7"/>
    <mergeCell ref="A8:C8"/>
    <mergeCell ref="I1:J1"/>
    <mergeCell ref="I2:I5"/>
    <mergeCell ref="J2:J5"/>
    <mergeCell ref="A1:H1"/>
    <mergeCell ref="A2:H2"/>
    <mergeCell ref="G3:H3"/>
    <mergeCell ref="B4:D4"/>
    <mergeCell ref="E4:F5"/>
    <mergeCell ref="H4:H5"/>
    <mergeCell ref="B5:D5"/>
  </mergeCells>
  <conditionalFormatting sqref="F8">
    <cfRule type="cellIs" dxfId="17" priority="21" operator="equal">
      <formula>"No"</formula>
    </cfRule>
  </conditionalFormatting>
  <conditionalFormatting sqref="F9">
    <cfRule type="expression" dxfId="16" priority="9">
      <formula>$D$9&gt;0</formula>
    </cfRule>
  </conditionalFormatting>
  <pageMargins left="0.25" right="0.25" top="0.05" bottom="0.05" header="0.3" footer="0.3"/>
  <pageSetup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activeCell="A2" sqref="A2:H2"/>
      <selection pane="bottomLeft" activeCell="A2" sqref="A2:H2"/>
    </sheetView>
  </sheetViews>
  <sheetFormatPr defaultColWidth="9.109375" defaultRowHeight="14.4" x14ac:dyDescent="0.3"/>
  <cols>
    <col min="1" max="1" width="44.5546875" style="487" customWidth="1"/>
    <col min="2" max="2" width="17.33203125" style="487" customWidth="1"/>
    <col min="3" max="3" width="17.88671875" style="487" customWidth="1"/>
    <col min="4" max="4" width="20.88671875" style="487" customWidth="1"/>
    <col min="5" max="5" width="16.109375" style="487" customWidth="1"/>
    <col min="6" max="6" width="14.88671875" style="487" customWidth="1"/>
    <col min="7" max="7" width="46.109375" style="494" customWidth="1"/>
    <col min="8" max="8" width="77.5546875" style="487" customWidth="1"/>
    <col min="9" max="9" width="34" style="487" customWidth="1"/>
    <col min="10" max="10" width="9.109375" style="487" customWidth="1"/>
    <col min="11" max="11" width="36.88671875" style="487" customWidth="1"/>
    <col min="12" max="12" width="15" style="487" customWidth="1"/>
    <col min="13" max="13" width="11.88671875" style="487" customWidth="1"/>
    <col min="14" max="24" width="9.109375" style="487" customWidth="1"/>
    <col min="25" max="25" width="9.109375" style="295" customWidth="1"/>
    <col min="26" max="26" width="36.88671875" style="545" hidden="1" customWidth="1"/>
    <col min="27" max="16384" width="9.109375" style="487"/>
  </cols>
  <sheetData>
    <row r="1" spans="1:78" x14ac:dyDescent="0.3">
      <c r="A1" s="488" t="s">
        <v>990</v>
      </c>
      <c r="B1" s="489"/>
      <c r="C1" s="489"/>
      <c r="D1" s="489"/>
      <c r="E1" s="490" t="s">
        <v>991</v>
      </c>
      <c r="F1" s="490">
        <v>2021</v>
      </c>
      <c r="G1" s="1207"/>
      <c r="H1" s="1208"/>
      <c r="I1" s="491"/>
      <c r="Z1" s="538" t="s">
        <v>1252</v>
      </c>
    </row>
    <row r="2" spans="1:78" ht="98.25" customHeight="1" x14ac:dyDescent="0.3">
      <c r="A2" s="492" t="s">
        <v>1057</v>
      </c>
      <c r="B2" s="1209" t="str">
        <f>'Unit Data from Audit Worksheet'!D2</f>
        <v>Select Unit Name from Drop Down List</v>
      </c>
      <c r="C2" s="1209"/>
      <c r="D2" s="1209"/>
      <c r="E2" s="1213" t="s">
        <v>1496</v>
      </c>
      <c r="F2" s="1213"/>
      <c r="G2" s="1213"/>
      <c r="H2" s="1210" t="s">
        <v>1258</v>
      </c>
      <c r="I2" s="493"/>
      <c r="J2" s="494"/>
      <c r="K2" s="495"/>
      <c r="Z2" s="162"/>
    </row>
    <row r="3" spans="1:78" ht="38.25" customHeight="1" x14ac:dyDescent="0.3">
      <c r="A3" s="496" t="s">
        <v>992</v>
      </c>
      <c r="B3" s="1212" t="e">
        <f>'Unit Data from Audit Worksheet'!D3</f>
        <v>#N/A</v>
      </c>
      <c r="C3" s="1212"/>
      <c r="D3" s="1212"/>
      <c r="E3" s="1214"/>
      <c r="F3" s="1214"/>
      <c r="G3" s="1214"/>
      <c r="H3" s="1211"/>
      <c r="I3" s="491"/>
      <c r="K3" s="497" t="s">
        <v>1023</v>
      </c>
      <c r="Z3" s="162"/>
    </row>
    <row r="4" spans="1:78" ht="106.5" customHeight="1" x14ac:dyDescent="0.3">
      <c r="A4" s="552"/>
      <c r="B4" s="553">
        <v>2019</v>
      </c>
      <c r="C4" s="553">
        <v>2020</v>
      </c>
      <c r="D4" s="553">
        <v>2021</v>
      </c>
      <c r="E4" s="554" t="s">
        <v>1256</v>
      </c>
      <c r="F4" s="553" t="s">
        <v>996</v>
      </c>
      <c r="G4" s="555"/>
      <c r="H4" s="553" t="s">
        <v>993</v>
      </c>
      <c r="I4" s="554" t="s">
        <v>1295</v>
      </c>
      <c r="J4" s="498"/>
      <c r="Z4" s="162"/>
    </row>
    <row r="5" spans="1:78" x14ac:dyDescent="0.3">
      <c r="A5" s="548" t="s">
        <v>659</v>
      </c>
      <c r="B5" s="549"/>
      <c r="C5" s="549"/>
      <c r="D5" s="549"/>
      <c r="E5" s="550"/>
      <c r="F5" s="547"/>
      <c r="G5" s="550"/>
      <c r="H5" s="549"/>
      <c r="I5" s="551"/>
      <c r="J5" s="498"/>
      <c r="K5" s="500">
        <f>+(Import!$L$72+Import!$L$77+Import!$L$74-Import!$L$75-Import!$L$76)</f>
        <v>0</v>
      </c>
      <c r="L5" s="487" t="s">
        <v>1066</v>
      </c>
      <c r="Z5" s="540"/>
    </row>
    <row r="6" spans="1:78" ht="143.25" customHeight="1" x14ac:dyDescent="0.3">
      <c r="A6" s="392" t="s">
        <v>830</v>
      </c>
      <c r="B6" s="388" t="e">
        <f>HLOOKUP($B$3,'2019 Data(H)'!$E$2:$CZ$299,291,FALSE)</f>
        <v>#N/A</v>
      </c>
      <c r="C6" s="388" t="e">
        <f>HLOOKUP($B$2,'2020 Data(H)'!$E$1:$CZ$426,339,FALSE)</f>
        <v>#N/A</v>
      </c>
      <c r="D6" s="388" t="str">
        <f>IFERROR((Import!$L$52+Import!$L$53-Import!$L$57-Import!$L$58-Import!$L$230-Import!$L$62+Import!$L$89)/(Import!$L$72+Import!$L$77+Import!$L$74-Import!$L$75-Import!$L$76),"")</f>
        <v/>
      </c>
      <c r="E6" s="525" t="b">
        <f>IF(K5&gt;10000000,"25% -- Average of similar units is 46%",IF(K5&gt;999999,"34% -- Average of similar units is 63%",IF(K5&gt;99999,"71% -- Average of similar units is 132%",IF(K5&gt;1,"100 %-- Average of similar units is 260%"))))</f>
        <v>0</v>
      </c>
      <c r="F6" s="905"/>
      <c r="G6" s="913" t="s">
        <v>1457</v>
      </c>
      <c r="H6" s="894" t="s">
        <v>1497</v>
      </c>
      <c r="I6" s="524"/>
      <c r="J6" s="498"/>
      <c r="K6" s="501" t="b">
        <f>IF($K$5&gt;10000000,"25%",IF($K$5&gt;999999,"34%",IF($K$5&gt;99999,"71%",IF($K$5&gt;1,"100%"))))</f>
        <v>0</v>
      </c>
      <c r="L6" s="502" t="e">
        <f>+D6-K6</f>
        <v>#VALUE!</v>
      </c>
      <c r="Z6" s="162" t="s">
        <v>1253</v>
      </c>
    </row>
    <row r="7" spans="1:78" ht="22.5" customHeight="1" x14ac:dyDescent="0.3">
      <c r="A7" s="392"/>
      <c r="B7" s="390"/>
      <c r="C7" s="390"/>
      <c r="D7" s="390"/>
      <c r="E7" s="525"/>
      <c r="F7" s="391"/>
      <c r="G7" s="523"/>
      <c r="H7" s="521"/>
      <c r="I7" s="922"/>
      <c r="J7" s="498"/>
      <c r="K7" s="526"/>
      <c r="L7" s="502"/>
      <c r="Z7" s="162"/>
    </row>
    <row r="8" spans="1:78" ht="137.25" customHeight="1" x14ac:dyDescent="0.3">
      <c r="A8" s="903" t="s">
        <v>1501</v>
      </c>
      <c r="B8" s="904" t="e">
        <f>HLOOKUP($B$3,'2019 Data(H)'!$E$2:$CZ$299,291,FALSE)</f>
        <v>#N/A</v>
      </c>
      <c r="C8" s="904" t="e">
        <f>HLOOKUP($B$2,'2020 Data(H)'!$E$1:$CZ$426,339,FALSE)</f>
        <v>#N/A</v>
      </c>
      <c r="D8" s="904" t="str">
        <f>IFERROR((Import!$L$52+Import!$L$53-Import!$L$57-Import!$L$58-Import!$L$230-Import!$L$62+Import!$L$89)/(Import!$L$72+Import!$L$77+Import!$L$74-Import!$L$75-Import!$L$76),"")</f>
        <v/>
      </c>
      <c r="E8" s="919" t="str">
        <f>IF($K$5&gt;99999999,"16%--Median of simiar units is 32%","20%--Median of similar units is 39%")</f>
        <v>20%--Median of similar units is 39%</v>
      </c>
      <c r="F8" s="905"/>
      <c r="G8" s="914" t="s">
        <v>997</v>
      </c>
      <c r="H8" s="915" t="s">
        <v>1228</v>
      </c>
      <c r="I8" s="906"/>
      <c r="J8" s="498"/>
      <c r="K8" s="541">
        <f>IF($K$5&gt;99999999,16%,20%)</f>
        <v>0.2</v>
      </c>
      <c r="L8" s="502" t="e">
        <f>+D8-K8</f>
        <v>#VALUE!</v>
      </c>
      <c r="Z8" s="162" t="s">
        <v>1458</v>
      </c>
    </row>
    <row r="9" spans="1:78" ht="120" customHeight="1" x14ac:dyDescent="0.3">
      <c r="A9" s="902" t="s">
        <v>1503</v>
      </c>
      <c r="B9" s="904" t="e">
        <f>HLOOKUP($B$3,'2019 Data(H)'!$E$2:$CZ$299,291,FALSE)</f>
        <v>#N/A</v>
      </c>
      <c r="C9" s="904" t="e">
        <f>HLOOKUP($B$2,'2020 Data(H)'!$E$1:$CZ$426,339,FALSE)</f>
        <v>#N/A</v>
      </c>
      <c r="D9" s="904" t="str">
        <f>IFERROR((Import!$L$52+Import!$L$53-Import!$L$57-Import!$L$58-Import!$L$230-Import!$L$62+Import!$L$89)/(Import!$L$72+Import!$L$77+Import!$L$74-Import!$L$75-Import!$L$76),"")</f>
        <v/>
      </c>
      <c r="E9" s="919">
        <v>0.08</v>
      </c>
      <c r="F9" s="905" t="str">
        <f>+K9</f>
        <v/>
      </c>
      <c r="G9" s="914" t="s">
        <v>997</v>
      </c>
      <c r="H9" s="915" t="s">
        <v>1499</v>
      </c>
      <c r="I9" s="520"/>
      <c r="J9" s="498"/>
      <c r="K9" s="904" t="str">
        <f>+IF(D9&gt;7.9999%,D9,"Less than 8%")</f>
        <v/>
      </c>
      <c r="L9" s="502"/>
      <c r="Z9" s="162"/>
    </row>
    <row r="10" spans="1:78" ht="152.25" customHeight="1" thickBot="1" x14ac:dyDescent="0.35">
      <c r="A10" s="902" t="s">
        <v>1017</v>
      </c>
      <c r="B10" s="552"/>
      <c r="C10" s="552"/>
      <c r="D10" s="907">
        <f>+Import!L65</f>
        <v>0</v>
      </c>
      <c r="E10" s="908"/>
      <c r="F10" s="907">
        <f>+D10</f>
        <v>0</v>
      </c>
      <c r="G10" s="531" t="s">
        <v>1018</v>
      </c>
      <c r="H10" s="531" t="s">
        <v>1230</v>
      </c>
      <c r="I10" s="519"/>
      <c r="J10" s="498"/>
      <c r="Z10" s="162" t="s">
        <v>1459</v>
      </c>
    </row>
    <row r="11" spans="1:78" ht="78" customHeight="1" x14ac:dyDescent="0.3">
      <c r="A11" s="539" t="s">
        <v>661</v>
      </c>
      <c r="B11" s="288">
        <f>+B4</f>
        <v>2019</v>
      </c>
      <c r="C11" s="288">
        <f>+C4</f>
        <v>2020</v>
      </c>
      <c r="D11" s="288">
        <f>+D4</f>
        <v>2021</v>
      </c>
      <c r="E11" s="506"/>
      <c r="F11" s="507"/>
      <c r="G11" s="1215" t="s">
        <v>1257</v>
      </c>
      <c r="H11" s="1216"/>
      <c r="I11" s="522"/>
      <c r="J11" s="498"/>
      <c r="K11" s="508" t="e">
        <f>HLOOKUP($B$3,'2019 Data(H)'!$E$2:$CZ$305,244,FALSE)</f>
        <v>#N/A</v>
      </c>
      <c r="L11" s="508" t="e">
        <f>HLOOKUP(B3,'2020 Data(H)'!E2:CZ350,244,FALSE)</f>
        <v>#N/A</v>
      </c>
      <c r="M11" s="508" t="e">
        <f>Import!L268</f>
        <v>#N/A</v>
      </c>
      <c r="N11" s="509"/>
      <c r="O11" s="509"/>
      <c r="P11" s="509"/>
      <c r="Q11" s="509"/>
      <c r="R11" s="509"/>
      <c r="S11" s="509"/>
      <c r="T11" s="509"/>
      <c r="U11" s="509"/>
      <c r="V11" s="509"/>
      <c r="W11" s="509"/>
      <c r="X11" s="509"/>
      <c r="Z11" s="162"/>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509"/>
      <c r="BA11" s="509"/>
      <c r="BB11" s="509"/>
      <c r="BC11" s="509"/>
      <c r="BD11" s="509"/>
      <c r="BE11" s="509"/>
      <c r="BF11" s="509"/>
      <c r="BG11" s="509"/>
      <c r="BH11" s="509"/>
      <c r="BI11" s="509"/>
      <c r="BJ11" s="509"/>
      <c r="BK11" s="509"/>
      <c r="BL11" s="509"/>
      <c r="BM11" s="509"/>
      <c r="BN11" s="509"/>
      <c r="BO11" s="509"/>
      <c r="BP11" s="509"/>
      <c r="BQ11" s="509"/>
      <c r="BR11" s="509"/>
      <c r="BS11" s="509"/>
      <c r="BT11" s="509"/>
      <c r="BU11" s="509"/>
      <c r="BV11" s="509"/>
      <c r="BW11" s="509"/>
      <c r="BX11" s="509"/>
      <c r="BY11" s="509"/>
      <c r="BZ11" s="509"/>
    </row>
    <row r="12" spans="1:78" ht="119.4" customHeight="1" x14ac:dyDescent="0.3">
      <c r="A12" s="396" t="s">
        <v>658</v>
      </c>
      <c r="B12" s="529" t="e">
        <f>IF(K11=0,"Not Applicable",(K12))</f>
        <v>#N/A</v>
      </c>
      <c r="C12" s="529" t="e">
        <f>IF(L11=0,"Not Applicable",(L12))</f>
        <v>#N/A</v>
      </c>
      <c r="D12" s="529" t="e">
        <f>IF(M11=0,"Not Applicable",M12)</f>
        <v>#N/A</v>
      </c>
      <c r="E12" s="530" t="s">
        <v>994</v>
      </c>
      <c r="F12" s="897" t="str">
        <f>M12</f>
        <v/>
      </c>
      <c r="G12" s="530" t="s">
        <v>998</v>
      </c>
      <c r="H12" s="531" t="s">
        <v>1020</v>
      </c>
      <c r="I12" s="524"/>
      <c r="J12" s="498"/>
      <c r="K12" s="508" t="e">
        <f>HLOOKUP($B$3,'2019 Data(H)'!$E$2:$CZ$305,299,FALSE)</f>
        <v>#N/A</v>
      </c>
      <c r="L12" s="508" t="e">
        <f>HLOOKUP(B2,'2020 Data(H)'!E1:CB426,347,FALSE)</f>
        <v>#N/A</v>
      </c>
      <c r="M12" s="510" t="str">
        <f>IFERROR((Import!$L$120-Import!$L$121-Import!$L$118-Import!$L$119)/(Import!$L$124-Import!$L$125-Import!$L$126-Import!$L$127-Import!$L$128-Import!$L$129-Import!$L$123),"")</f>
        <v/>
      </c>
      <c r="Z12" s="162" t="s">
        <v>1254</v>
      </c>
    </row>
    <row r="13" spans="1:78" ht="69.599999999999994" customHeight="1" x14ac:dyDescent="0.3">
      <c r="A13" s="396" t="s">
        <v>1028</v>
      </c>
      <c r="B13" s="532" t="e">
        <f>IF(K11=0,"Not Applicable",K13)</f>
        <v>#N/A</v>
      </c>
      <c r="C13" s="394" t="e">
        <f>IF(L11=0,"Not Applicable",L13)</f>
        <v>#N/A</v>
      </c>
      <c r="D13" s="533" t="e">
        <f>IF(M11=0,"Not Applicable",M13)</f>
        <v>#N/A</v>
      </c>
      <c r="E13" s="530" t="s">
        <v>1261</v>
      </c>
      <c r="F13" s="898" t="e">
        <f>D13</f>
        <v>#N/A</v>
      </c>
      <c r="G13" s="530" t="s">
        <v>1574</v>
      </c>
      <c r="H13" s="531" t="s">
        <v>1021</v>
      </c>
      <c r="I13" s="524"/>
      <c r="J13" s="498"/>
      <c r="K13" s="268" t="e">
        <f>HLOOKUP(B3,'2019 Data(H)'!E2:CB305,300,FALSE)</f>
        <v>#N/A</v>
      </c>
      <c r="L13" s="268" t="e">
        <f>HLOOKUP(B2,'2020 Data(H)'!F1:CZ426,348,FALSE)</f>
        <v>#N/A</v>
      </c>
      <c r="M13" s="890">
        <f>+Import!$L$153-Import!$L$155+Import!$L$154-Import!$L$182</f>
        <v>0</v>
      </c>
      <c r="Z13" s="162" t="s">
        <v>1254</v>
      </c>
    </row>
    <row r="14" spans="1:78" ht="109.95" customHeight="1" x14ac:dyDescent="0.3">
      <c r="A14" s="396" t="s">
        <v>1049</v>
      </c>
      <c r="B14" s="395" t="e">
        <f>IF(K11=0,"Not Applicable",K14)</f>
        <v>#N/A</v>
      </c>
      <c r="C14" s="395" t="e">
        <f>IF(L11=0,"Not Applicable",L14)</f>
        <v>#N/A</v>
      </c>
      <c r="D14" s="395" t="e">
        <f>IF(M11=0,"Not Applicable",M14)</f>
        <v>#N/A</v>
      </c>
      <c r="E14" s="530" t="s">
        <v>1493</v>
      </c>
      <c r="F14" s="389" t="e">
        <f>D14</f>
        <v>#N/A</v>
      </c>
      <c r="G14" s="530" t="s">
        <v>1029</v>
      </c>
      <c r="H14" s="531" t="s">
        <v>1229</v>
      </c>
      <c r="I14" s="524"/>
      <c r="J14" s="498"/>
      <c r="K14" s="269" t="e">
        <f>HLOOKUP(B3,'2019 Data(H)'!E2:CZ305,301,FALSE)</f>
        <v>#N/A</v>
      </c>
      <c r="L14" s="269" t="e">
        <f>HLOOKUP(B2,'2020 Data(H)'!F1:CZ426,349,FALSE)</f>
        <v>#N/A</v>
      </c>
      <c r="M14" s="269" t="str">
        <f>IFERROR(Import!L116/(Import!L155+Import!L158-Import!L154+Import!L182),"")</f>
        <v/>
      </c>
      <c r="Z14" s="162" t="s">
        <v>1254</v>
      </c>
    </row>
    <row r="15" spans="1:78" ht="99.75" customHeight="1" thickBot="1" x14ac:dyDescent="0.35">
      <c r="A15" s="1205" t="s">
        <v>1494</v>
      </c>
      <c r="B15" s="1206"/>
      <c r="C15" s="1206"/>
      <c r="D15" s="891" t="str">
        <f>IF(K15&lt;0,"Yes","No")</f>
        <v>No</v>
      </c>
      <c r="E15" s="921"/>
      <c r="F15" s="892" t="str">
        <f>D15</f>
        <v>No</v>
      </c>
      <c r="G15" s="527" t="s">
        <v>1495</v>
      </c>
      <c r="H15" s="534" t="s">
        <v>1022</v>
      </c>
      <c r="I15" s="528"/>
      <c r="J15" s="498"/>
      <c r="K15" s="287">
        <f>((Import!L158+Import!L155)*0.03)-Import!L161</f>
        <v>0</v>
      </c>
      <c r="Z15" s="162" t="s">
        <v>1254</v>
      </c>
    </row>
    <row r="16" spans="1:78" ht="37.5" customHeight="1" thickBot="1" x14ac:dyDescent="0.35">
      <c r="A16" s="286"/>
      <c r="B16" s="503"/>
      <c r="C16" s="503"/>
      <c r="D16" s="503"/>
      <c r="E16" s="504"/>
      <c r="F16" s="503"/>
      <c r="G16" s="505"/>
      <c r="H16" s="503"/>
      <c r="I16" s="503"/>
      <c r="Z16" s="542"/>
    </row>
    <row r="17" spans="1:26" ht="116.25" customHeight="1" thickBot="1" x14ac:dyDescent="0.35">
      <c r="A17" s="499" t="s">
        <v>660</v>
      </c>
      <c r="B17" s="289">
        <f>+B4</f>
        <v>2019</v>
      </c>
      <c r="C17" s="289">
        <f>+C4</f>
        <v>2020</v>
      </c>
      <c r="D17" s="289">
        <f>+D4</f>
        <v>2021</v>
      </c>
      <c r="E17" s="511"/>
      <c r="F17" s="512"/>
      <c r="G17" s="546" t="s">
        <v>1048</v>
      </c>
      <c r="H17" s="895" t="s">
        <v>1019</v>
      </c>
      <c r="I17" s="513"/>
      <c r="J17" s="498"/>
      <c r="K17" s="508" t="e">
        <f>HLOOKUP(B3,'2019 Data(H)'!E2:CZ310,243,FALSE)</f>
        <v>#N/A</v>
      </c>
      <c r="L17" s="271" t="e">
        <f>HLOOKUP(B3,'2020 Data(H)'!E2:CZ350,243,FALSE)</f>
        <v>#N/A</v>
      </c>
      <c r="M17" s="514" t="e">
        <f>+Import!L267</f>
        <v>#N/A</v>
      </c>
      <c r="Z17" s="540"/>
    </row>
    <row r="18" spans="1:26" ht="78" customHeight="1" x14ac:dyDescent="0.3">
      <c r="A18" s="290" t="s">
        <v>658</v>
      </c>
      <c r="B18" s="515" t="e">
        <f>IF(K17=0,"Not Applicable",K18)</f>
        <v>#N/A</v>
      </c>
      <c r="C18" s="515" t="e">
        <f>IF(L17=0,"Not Applicable",L18)</f>
        <v>#N/A</v>
      </c>
      <c r="D18" s="515" t="e">
        <f>IF(M17=0,"Not Applicable",M18)</f>
        <v>#N/A</v>
      </c>
      <c r="E18" s="530" t="s">
        <v>994</v>
      </c>
      <c r="F18" s="899" t="str">
        <f>+M18</f>
        <v/>
      </c>
      <c r="G18" s="909" t="s">
        <v>1035</v>
      </c>
      <c r="H18" s="910" t="s">
        <v>1020</v>
      </c>
      <c r="I18" s="524"/>
      <c r="J18" s="498"/>
      <c r="K18" s="271" t="e">
        <f>HLOOKUP(B3,'2019 Data(H)'!E2:CZ310,302,FALSE)</f>
        <v>#N/A</v>
      </c>
      <c r="L18" s="508" t="e">
        <f>HLOOKUP(B2,'2020 Data(H)'!F1:CZ426,350,FALSE)</f>
        <v>#N/A</v>
      </c>
      <c r="M18" s="508" t="str">
        <f>IFERROR((Import!L138-Import!L139-Import!L137-Import!L136)/(Import!L143-Import!L144-Import!L145-Import!L146-Import!L147-Import!L148-Import!L142),"")</f>
        <v/>
      </c>
      <c r="Z18" s="543" t="s">
        <v>1255</v>
      </c>
    </row>
    <row r="19" spans="1:26" ht="60.75" customHeight="1" x14ac:dyDescent="0.3">
      <c r="A19" s="284" t="s">
        <v>1028</v>
      </c>
      <c r="B19" s="376" t="e">
        <f>IF(K17=0,"Not Applicable",K19)</f>
        <v>#N/A</v>
      </c>
      <c r="C19" s="376" t="e">
        <f>IF(L17=0,"Not Applicable",L19)</f>
        <v>#N/A</v>
      </c>
      <c r="D19" s="376" t="e">
        <f>IF(M17=0,"Not Applicable",M19)</f>
        <v>#N/A</v>
      </c>
      <c r="E19" s="530" t="s">
        <v>1261</v>
      </c>
      <c r="F19" s="900" t="e">
        <f>D19</f>
        <v>#N/A</v>
      </c>
      <c r="G19" s="909" t="s">
        <v>1575</v>
      </c>
      <c r="H19" s="910" t="s">
        <v>1021</v>
      </c>
      <c r="I19" s="524"/>
      <c r="J19" s="498"/>
      <c r="K19" s="268" t="e">
        <f>HLOOKUP(B3,'2019 Data(H)'!E2:CZ310,303,FALSE)</f>
        <v>#N/A</v>
      </c>
      <c r="L19" s="268" t="e">
        <f>HLOOKUP(B2,'2020 Data(H)'!F1:CZ426,351,FALSE)</f>
        <v>#N/A</v>
      </c>
      <c r="M19" s="268">
        <f>+Import!L168-Import!L171+Import!L170-Import!L185</f>
        <v>0</v>
      </c>
      <c r="Z19" s="543" t="s">
        <v>1255</v>
      </c>
    </row>
    <row r="20" spans="1:26" ht="88.5" customHeight="1" thickBot="1" x14ac:dyDescent="0.35">
      <c r="A20" s="291" t="s">
        <v>1049</v>
      </c>
      <c r="B20" s="377" t="e">
        <f>IF(K17=0,"Not Applicable",K20)</f>
        <v>#N/A</v>
      </c>
      <c r="C20" s="377" t="e">
        <f>IF(L17=0,"Not Applicable",L20)</f>
        <v>#N/A</v>
      </c>
      <c r="D20" s="377" t="e">
        <f>IF(M17=0,"Not Applicable",M20)</f>
        <v>#N/A</v>
      </c>
      <c r="E20" s="920" t="s">
        <v>1493</v>
      </c>
      <c r="F20" s="901" t="str">
        <f>+M20</f>
        <v/>
      </c>
      <c r="G20" s="912" t="s">
        <v>1039</v>
      </c>
      <c r="H20" s="911" t="s">
        <v>1229</v>
      </c>
      <c r="I20" s="528"/>
      <c r="J20" s="498"/>
      <c r="K20" s="269" t="e">
        <f>HLOOKUP(B3,'2019 Data(H)'!E2:CZ310,304,FALSE)</f>
        <v>#N/A</v>
      </c>
      <c r="L20" s="269" t="e">
        <f>HLOOKUP(B2,'2020 Data(H)'!F1:CZ426,352,FALSE)</f>
        <v>#N/A</v>
      </c>
      <c r="M20" s="269" t="str">
        <f>IFERROR(Import!L134/(Import!L174+Import!L171-Import!L170+Import!L185),"")</f>
        <v/>
      </c>
      <c r="Z20" s="543" t="s">
        <v>1255</v>
      </c>
    </row>
    <row r="21" spans="1:26" ht="15.75" customHeight="1" x14ac:dyDescent="0.3">
      <c r="A21" s="397"/>
      <c r="B21" s="398"/>
      <c r="C21" s="398"/>
      <c r="D21" s="398"/>
      <c r="E21" s="535"/>
      <c r="F21" s="536"/>
      <c r="G21" s="537"/>
      <c r="H21" s="537"/>
      <c r="I21" s="917"/>
      <c r="J21" s="498"/>
      <c r="K21" s="269"/>
      <c r="L21" s="269"/>
      <c r="M21" s="269"/>
      <c r="Z21" s="543"/>
    </row>
    <row r="22" spans="1:26" ht="50.25" customHeight="1" x14ac:dyDescent="0.3">
      <c r="A22" s="918" t="s">
        <v>1259</v>
      </c>
      <c r="B22" s="398"/>
      <c r="C22" s="398"/>
      <c r="D22" s="398"/>
      <c r="E22" s="535"/>
      <c r="F22" s="536"/>
      <c r="G22" s="537"/>
      <c r="H22" s="537"/>
      <c r="I22" s="917"/>
      <c r="J22" s="498"/>
      <c r="K22" s="269"/>
      <c r="L22" s="269"/>
      <c r="M22" s="269"/>
      <c r="Z22" s="543"/>
    </row>
    <row r="23" spans="1:26" ht="88.5" customHeight="1" x14ac:dyDescent="0.3">
      <c r="A23" s="393" t="s">
        <v>658</v>
      </c>
      <c r="B23" s="399"/>
      <c r="C23" s="399"/>
      <c r="D23" s="924" t="str">
        <f>+M23</f>
        <v/>
      </c>
      <c r="E23" s="530" t="s">
        <v>994</v>
      </c>
      <c r="F23" s="923" t="str">
        <f>+M23</f>
        <v/>
      </c>
      <c r="G23" s="531" t="s">
        <v>1500</v>
      </c>
      <c r="H23" s="531" t="s">
        <v>1020</v>
      </c>
      <c r="I23" s="520"/>
      <c r="J23" s="498"/>
      <c r="K23" s="269">
        <v>1000</v>
      </c>
      <c r="L23" s="269"/>
      <c r="M23" s="916" t="str">
        <f>IFERROR((+Import!L94-Import!L93)/Import!L95,"")</f>
        <v/>
      </c>
      <c r="Z23" s="543" t="s">
        <v>1260</v>
      </c>
    </row>
    <row r="24" spans="1:26" x14ac:dyDescent="0.3">
      <c r="A24" s="285"/>
      <c r="B24" s="516"/>
      <c r="C24" s="516"/>
      <c r="D24" s="516"/>
      <c r="E24" s="517"/>
      <c r="F24" s="516"/>
      <c r="G24" s="518"/>
      <c r="H24" s="516"/>
      <c r="I24" s="516"/>
      <c r="M24" s="275"/>
      <c r="Z24" s="544"/>
    </row>
  </sheetData>
  <sheetProtection algorithmName="SHA-512" hashValue="gGY2NOskNm+jfzkLH7rDsb0zFvdJK6QhSkcXL8xHK9GZ8xGRYHoB2TCKgdfu4JE9AbjgbYwNyVtIQYxGsFYv0A==" saltValue="Ktwp7KDl93V3dmeQxRe9Ug==" spinCount="100000" sheet="1" objects="1" scenarios="1"/>
  <mergeCells count="7">
    <mergeCell ref="A15:C15"/>
    <mergeCell ref="G1:H1"/>
    <mergeCell ref="B2:D2"/>
    <mergeCell ref="H2:H3"/>
    <mergeCell ref="B3:D3"/>
    <mergeCell ref="E2:G3"/>
    <mergeCell ref="G11:H11"/>
  </mergeCells>
  <conditionalFormatting sqref="F12">
    <cfRule type="cellIs" dxfId="15" priority="50" operator="lessThan">
      <formula>1</formula>
    </cfRule>
  </conditionalFormatting>
  <conditionalFormatting sqref="F13">
    <cfRule type="cellIs" dxfId="14" priority="49" operator="lessThan">
      <formula>0</formula>
    </cfRule>
  </conditionalFormatting>
  <conditionalFormatting sqref="F14">
    <cfRule type="cellIs" dxfId="13" priority="48" operator="lessThan">
      <formula>0.16</formula>
    </cfRule>
  </conditionalFormatting>
  <conditionalFormatting sqref="F18">
    <cfRule type="cellIs" dxfId="12" priority="43" operator="lessThan">
      <formula>1</formula>
    </cfRule>
  </conditionalFormatting>
  <conditionalFormatting sqref="F19">
    <cfRule type="cellIs" dxfId="11" priority="42" operator="lessThan">
      <formula>0</formula>
    </cfRule>
  </conditionalFormatting>
  <conditionalFormatting sqref="F20">
    <cfRule type="cellIs" dxfId="10" priority="41" operator="lessThan">
      <formula>0.16</formula>
    </cfRule>
  </conditionalFormatting>
  <conditionalFormatting sqref="F10">
    <cfRule type="cellIs" dxfId="9" priority="30" operator="lessThan">
      <formula>0</formula>
    </cfRule>
  </conditionalFormatting>
  <conditionalFormatting sqref="F15">
    <cfRule type="cellIs" dxfId="8" priority="8" operator="equal">
      <formula>"Yes"</formula>
    </cfRule>
  </conditionalFormatting>
  <conditionalFormatting sqref="F9">
    <cfRule type="cellIs" dxfId="7" priority="6" operator="equal">
      <formula>"Less than 8%"</formula>
    </cfRule>
  </conditionalFormatting>
  <conditionalFormatting sqref="F23">
    <cfRule type="cellIs" dxfId="6" priority="5" operator="lessThan">
      <formula>1</formula>
    </cfRule>
  </conditionalFormatting>
  <conditionalFormatting sqref="F8">
    <cfRule type="cellIs" dxfId="5" priority="3" operator="lessThan">
      <formula>$L$8&lt;0%</formula>
    </cfRule>
  </conditionalFormatting>
  <conditionalFormatting sqref="F6">
    <cfRule type="cellIs" dxfId="4"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09375" defaultRowHeight="14.4" x14ac:dyDescent="0.3"/>
  <cols>
    <col min="1" max="1" width="9.109375" style="295"/>
    <col min="2" max="2" width="10.44140625" style="295" bestFit="1" customWidth="1"/>
    <col min="3" max="3" width="29.88671875" style="295" customWidth="1"/>
    <col min="4" max="4" width="40.5546875" style="295" customWidth="1"/>
    <col min="5" max="5" width="3.6640625" style="295" customWidth="1"/>
    <col min="6" max="6" width="13.44140625" style="295" customWidth="1"/>
    <col min="7" max="7" width="3.5546875" style="295" customWidth="1"/>
    <col min="8" max="8" width="14.109375" style="295" customWidth="1"/>
    <col min="9" max="16384" width="9.109375" style="295"/>
  </cols>
  <sheetData>
    <row r="2" spans="1:8" ht="54.75" customHeight="1" x14ac:dyDescent="0.3">
      <c r="A2" s="1220" t="s">
        <v>112</v>
      </c>
      <c r="B2" s="1220"/>
      <c r="C2" s="1220"/>
      <c r="D2" s="1220"/>
      <c r="E2" s="1220"/>
      <c r="F2" s="448"/>
      <c r="G2" s="448"/>
      <c r="H2" s="449"/>
    </row>
    <row r="4" spans="1:8" ht="15.6" x14ac:dyDescent="0.3">
      <c r="A4" s="449"/>
      <c r="B4" s="450" t="str">
        <f>'Unit Data from Audit Worksheet'!D2</f>
        <v>Select Unit Name from Drop Down List</v>
      </c>
      <c r="C4" s="451"/>
      <c r="D4" s="19"/>
      <c r="E4" s="20"/>
      <c r="F4" s="452">
        <f>'Unit Data from Audit Worksheet'!F5</f>
        <v>2021</v>
      </c>
      <c r="G4" s="449"/>
      <c r="H4" s="452">
        <f>'Unit Data from Audit Worksheet'!F5</f>
        <v>2021</v>
      </c>
    </row>
    <row r="5" spans="1:8" ht="41.4" x14ac:dyDescent="0.4">
      <c r="A5" s="453"/>
      <c r="B5" s="454" t="s">
        <v>72</v>
      </c>
      <c r="C5" s="453"/>
      <c r="D5" s="453"/>
      <c r="E5" s="453"/>
      <c r="F5" s="452" t="s">
        <v>73</v>
      </c>
      <c r="G5" s="453"/>
      <c r="H5" s="455" t="s">
        <v>74</v>
      </c>
    </row>
    <row r="6" spans="1:8" x14ac:dyDescent="0.3">
      <c r="A6" s="449"/>
      <c r="B6" s="456" t="s">
        <v>75</v>
      </c>
      <c r="C6" s="449"/>
      <c r="D6" s="457"/>
      <c r="E6" s="457"/>
      <c r="F6" s="457"/>
      <c r="G6" s="457"/>
      <c r="H6" s="457"/>
    </row>
    <row r="7" spans="1:8" x14ac:dyDescent="0.3">
      <c r="A7" s="449"/>
      <c r="B7" s="457" t="s">
        <v>76</v>
      </c>
      <c r="C7" s="449"/>
      <c r="D7" s="457"/>
      <c r="E7" s="457" t="s">
        <v>31</v>
      </c>
      <c r="F7" s="458">
        <f>Import!L52</f>
        <v>0</v>
      </c>
      <c r="G7" s="459"/>
      <c r="H7" s="458">
        <f>F7</f>
        <v>0</v>
      </c>
    </row>
    <row r="8" spans="1:8" ht="44.25" customHeight="1" x14ac:dyDescent="0.3">
      <c r="A8" s="449"/>
      <c r="B8" s="1217" t="s">
        <v>77</v>
      </c>
      <c r="C8" s="1217"/>
      <c r="D8" s="1217"/>
      <c r="E8" s="457" t="s">
        <v>31</v>
      </c>
      <c r="F8" s="460">
        <f>Import!L53</f>
        <v>0</v>
      </c>
      <c r="G8" s="461"/>
      <c r="H8" s="461"/>
    </row>
    <row r="9" spans="1:8" x14ac:dyDescent="0.3">
      <c r="A9" s="449"/>
      <c r="B9" s="449"/>
      <c r="C9" s="457" t="s">
        <v>181</v>
      </c>
      <c r="D9" s="449"/>
      <c r="E9" s="457" t="s">
        <v>31</v>
      </c>
      <c r="F9" s="462">
        <f>Import!L57</f>
        <v>0</v>
      </c>
      <c r="G9" s="461"/>
      <c r="H9" s="447">
        <f>F9</f>
        <v>0</v>
      </c>
    </row>
    <row r="10" spans="1:8" x14ac:dyDescent="0.3">
      <c r="A10" s="449"/>
      <c r="B10" s="449"/>
      <c r="C10" s="457" t="s">
        <v>78</v>
      </c>
      <c r="D10" s="449"/>
      <c r="E10" s="457" t="s">
        <v>31</v>
      </c>
      <c r="F10" s="447">
        <f>Import!L230</f>
        <v>0</v>
      </c>
      <c r="G10" s="461"/>
      <c r="H10" s="447">
        <f>F10</f>
        <v>0</v>
      </c>
    </row>
    <row r="11" spans="1:8" x14ac:dyDescent="0.3">
      <c r="A11" s="449"/>
      <c r="B11" s="449"/>
      <c r="C11" s="457" t="s">
        <v>79</v>
      </c>
      <c r="D11" s="449"/>
      <c r="E11" s="457" t="s">
        <v>31</v>
      </c>
      <c r="F11" s="463">
        <f>Import!L58</f>
        <v>0</v>
      </c>
      <c r="G11" s="464"/>
      <c r="H11" s="463">
        <f>F11</f>
        <v>0</v>
      </c>
    </row>
    <row r="12" spans="1:8" x14ac:dyDescent="0.3">
      <c r="A12" s="449"/>
      <c r="B12" s="21" t="s">
        <v>80</v>
      </c>
      <c r="C12" s="465" t="s">
        <v>81</v>
      </c>
      <c r="D12" s="466"/>
      <c r="E12" s="467" t="s">
        <v>31</v>
      </c>
      <c r="F12" s="468">
        <f>F7+F8-SUM(F9:F11)</f>
        <v>0</v>
      </c>
      <c r="G12" s="469"/>
      <c r="H12" s="468">
        <f>H7+H8-SUM(H9:H11)</f>
        <v>0</v>
      </c>
    </row>
    <row r="13" spans="1:8" x14ac:dyDescent="0.3">
      <c r="A13" s="449"/>
      <c r="B13" s="449"/>
      <c r="C13" s="457"/>
      <c r="D13" s="457"/>
      <c r="E13" s="457" t="s">
        <v>31</v>
      </c>
      <c r="F13" s="457"/>
      <c r="G13" s="457"/>
      <c r="H13" s="457"/>
    </row>
    <row r="14" spans="1:8" x14ac:dyDescent="0.3">
      <c r="A14" s="449"/>
      <c r="B14" s="457" t="s">
        <v>82</v>
      </c>
      <c r="C14" s="449"/>
      <c r="D14" s="457"/>
      <c r="E14" s="457" t="s">
        <v>31</v>
      </c>
      <c r="F14" s="470">
        <f>Import!L65</f>
        <v>0</v>
      </c>
      <c r="G14" s="457"/>
      <c r="H14" s="457"/>
    </row>
    <row r="15" spans="1:8" x14ac:dyDescent="0.3">
      <c r="A15" s="449"/>
      <c r="B15" s="457" t="s">
        <v>83</v>
      </c>
      <c r="C15" s="449"/>
      <c r="D15" s="457"/>
      <c r="E15" s="457" t="s">
        <v>31</v>
      </c>
      <c r="F15" s="471">
        <f>F14-F12</f>
        <v>0</v>
      </c>
      <c r="G15" s="457"/>
      <c r="H15" s="457"/>
    </row>
    <row r="16" spans="1:8" x14ac:dyDescent="0.3">
      <c r="A16" s="449"/>
      <c r="B16" s="472" t="s">
        <v>84</v>
      </c>
      <c r="C16" s="449"/>
      <c r="D16" s="457"/>
      <c r="E16" s="457"/>
      <c r="F16" s="457"/>
      <c r="G16" s="457"/>
      <c r="H16" s="457"/>
    </row>
    <row r="17" spans="2:8" x14ac:dyDescent="0.3">
      <c r="B17" s="473" t="s">
        <v>85</v>
      </c>
      <c r="C17" s="457" t="s">
        <v>86</v>
      </c>
      <c r="D17" s="449"/>
      <c r="E17" s="457" t="s">
        <v>31</v>
      </c>
      <c r="F17" s="474">
        <f>Import!L61</f>
        <v>0</v>
      </c>
      <c r="G17" s="457"/>
      <c r="H17" s="457"/>
    </row>
    <row r="18" spans="2:8" ht="15" thickBot="1" x14ac:dyDescent="0.35">
      <c r="B18" s="21" t="s">
        <v>80</v>
      </c>
      <c r="C18" s="465" t="s">
        <v>87</v>
      </c>
      <c r="D18" s="466"/>
      <c r="E18" s="467" t="s">
        <v>31</v>
      </c>
      <c r="F18" s="475">
        <f>(F15-SUM(F17:F17))</f>
        <v>0</v>
      </c>
      <c r="G18" s="457"/>
      <c r="H18" s="457"/>
    </row>
    <row r="19" spans="2:8" ht="15" thickTop="1" x14ac:dyDescent="0.3">
      <c r="B19" s="449"/>
      <c r="C19" s="457"/>
      <c r="D19" s="457"/>
      <c r="E19" s="457"/>
      <c r="F19" s="457"/>
      <c r="G19" s="457"/>
      <c r="H19" s="457"/>
    </row>
    <row r="20" spans="2:8" ht="15" thickBot="1" x14ac:dyDescent="0.35">
      <c r="B20" s="457" t="s">
        <v>88</v>
      </c>
      <c r="C20" s="449"/>
      <c r="D20" s="457"/>
      <c r="E20" s="457" t="s">
        <v>31</v>
      </c>
      <c r="F20" s="476">
        <f>Import!L60</f>
        <v>0</v>
      </c>
      <c r="G20" s="457"/>
      <c r="H20" s="457"/>
    </row>
    <row r="21" spans="2:8" ht="15.6" thickTop="1" thickBot="1" x14ac:dyDescent="0.35">
      <c r="B21" s="449"/>
      <c r="C21" s="47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49"/>
      <c r="E21" s="457" t="s">
        <v>31</v>
      </c>
      <c r="F21" s="478">
        <f>ABS(F18-F20)</f>
        <v>0</v>
      </c>
      <c r="G21" s="457"/>
      <c r="H21" s="457"/>
    </row>
    <row r="22" spans="2:8" ht="50.25" customHeight="1" thickTop="1" x14ac:dyDescent="0.3">
      <c r="B22" s="449"/>
      <c r="C22" s="1218" t="str">
        <f>IF(F18&gt;F20,"Since Restricted-Stabilization by State Statute was understated, verfiy that the unit did not appropriate fund balance in excess of legal amount available in row 12 above.","")</f>
        <v/>
      </c>
      <c r="D22" s="1218"/>
      <c r="E22" s="1218"/>
      <c r="F22" s="1218"/>
      <c r="G22" s="457"/>
      <c r="H22" s="457"/>
    </row>
    <row r="23" spans="2:8" x14ac:dyDescent="0.3">
      <c r="B23" s="449"/>
      <c r="C23" s="1219" t="s">
        <v>89</v>
      </c>
      <c r="D23" s="457"/>
      <c r="E23" s="457"/>
      <c r="F23" s="457"/>
      <c r="G23" s="457"/>
      <c r="H23" s="479" t="s">
        <v>90</v>
      </c>
    </row>
    <row r="24" spans="2:8" x14ac:dyDescent="0.3">
      <c r="B24" s="449"/>
      <c r="C24" s="1219"/>
      <c r="D24" s="457"/>
      <c r="E24" s="457"/>
      <c r="F24" s="452" t="s">
        <v>91</v>
      </c>
      <c r="G24" s="457"/>
      <c r="H24" s="452" t="s">
        <v>99</v>
      </c>
    </row>
    <row r="25" spans="2:8" x14ac:dyDescent="0.3">
      <c r="B25" s="449"/>
      <c r="C25" s="456" t="s">
        <v>92</v>
      </c>
      <c r="D25" s="457"/>
      <c r="E25" s="457"/>
      <c r="F25" s="457"/>
      <c r="G25" s="457"/>
      <c r="H25" s="457"/>
    </row>
    <row r="26" spans="2:8" ht="25.2" customHeight="1" x14ac:dyDescent="0.3">
      <c r="B26" s="449"/>
      <c r="C26" s="457" t="s">
        <v>93</v>
      </c>
      <c r="D26" s="457"/>
      <c r="E26" s="457" t="s">
        <v>31</v>
      </c>
      <c r="F26" s="458">
        <f>Import!L72</f>
        <v>0</v>
      </c>
      <c r="G26" s="459"/>
      <c r="H26" s="480">
        <f>F26</f>
        <v>0</v>
      </c>
    </row>
    <row r="27" spans="2:8" x14ac:dyDescent="0.3">
      <c r="B27" s="449"/>
      <c r="C27" s="473" t="s">
        <v>94</v>
      </c>
      <c r="D27" s="457"/>
      <c r="E27" s="457"/>
      <c r="F27" s="457"/>
      <c r="G27" s="457"/>
      <c r="H27" s="457"/>
    </row>
    <row r="28" spans="2:8" x14ac:dyDescent="0.3">
      <c r="B28" s="449"/>
      <c r="C28" s="457" t="s">
        <v>95</v>
      </c>
      <c r="D28" s="449"/>
      <c r="E28" s="457" t="s">
        <v>31</v>
      </c>
      <c r="F28" s="481">
        <f>Import!L74</f>
        <v>0</v>
      </c>
      <c r="G28" s="461"/>
      <c r="H28" s="482">
        <f>F28</f>
        <v>0</v>
      </c>
    </row>
    <row r="29" spans="2:8" x14ac:dyDescent="0.3">
      <c r="B29" s="449"/>
      <c r="C29" s="457" t="s">
        <v>96</v>
      </c>
      <c r="D29" s="449"/>
      <c r="E29" s="457" t="s">
        <v>31</v>
      </c>
      <c r="F29" s="483">
        <f>Import!L75+Import!L76</f>
        <v>0</v>
      </c>
      <c r="G29" s="461"/>
      <c r="H29" s="484">
        <f>F29</f>
        <v>0</v>
      </c>
    </row>
    <row r="30" spans="2:8" ht="15" thickBot="1" x14ac:dyDescent="0.35">
      <c r="B30" s="449"/>
      <c r="C30" s="457" t="s">
        <v>97</v>
      </c>
      <c r="D30" s="457"/>
      <c r="E30" s="457" t="s">
        <v>31</v>
      </c>
      <c r="F30" s="485">
        <f>SUM(F26:F28)-F29</f>
        <v>0</v>
      </c>
      <c r="G30" s="459"/>
      <c r="H30" s="485">
        <f>SUM(H26:H28)-H29</f>
        <v>0</v>
      </c>
    </row>
    <row r="31" spans="2:8" ht="15" thickTop="1" x14ac:dyDescent="0.3">
      <c r="B31" s="449"/>
      <c r="C31" s="457"/>
      <c r="D31" s="457"/>
      <c r="E31" s="457"/>
      <c r="F31" s="457"/>
      <c r="G31" s="457"/>
      <c r="H31" s="457"/>
    </row>
    <row r="32" spans="2:8" ht="15" thickBot="1" x14ac:dyDescent="0.35">
      <c r="B32" s="21" t="s">
        <v>80</v>
      </c>
      <c r="C32" s="477" t="s">
        <v>98</v>
      </c>
      <c r="D32" s="21"/>
      <c r="E32" s="477" t="s">
        <v>31</v>
      </c>
      <c r="F32" s="486" t="e">
        <f>F12/F30</f>
        <v>#DIV/0!</v>
      </c>
      <c r="G32" s="457"/>
      <c r="H32" s="486" t="e">
        <f>H12/H30</f>
        <v>#DIV/0!</v>
      </c>
    </row>
    <row r="33" spans="1:8" ht="15" thickTop="1" x14ac:dyDescent="0.3">
      <c r="C33" s="457"/>
      <c r="D33" s="457"/>
      <c r="E33" s="457"/>
      <c r="F33" s="457"/>
      <c r="G33" s="457"/>
      <c r="H33" s="457"/>
    </row>
    <row r="34" spans="1:8" ht="15.6" x14ac:dyDescent="0.3">
      <c r="A34" s="23"/>
      <c r="C34" s="22"/>
    </row>
    <row r="36" spans="1:8" x14ac:dyDescent="0.3">
      <c r="F36" s="296"/>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09375" defaultRowHeight="14.4" x14ac:dyDescent="0.3"/>
  <cols>
    <col min="1" max="3" width="22.6640625" style="295" customWidth="1"/>
    <col min="4" max="4" width="18.6640625" style="685" customWidth="1"/>
    <col min="5" max="10" width="18.6640625" style="295" customWidth="1"/>
    <col min="11" max="16384" width="9.109375" style="295"/>
  </cols>
  <sheetData>
    <row r="3" spans="1:13" x14ac:dyDescent="0.3">
      <c r="D3" s="689">
        <v>2019</v>
      </c>
      <c r="E3" s="689">
        <v>2018</v>
      </c>
      <c r="F3" s="689">
        <v>2017</v>
      </c>
      <c r="G3" s="689">
        <v>2016</v>
      </c>
      <c r="H3" s="689">
        <v>2015</v>
      </c>
      <c r="I3" s="689">
        <v>2014</v>
      </c>
      <c r="J3" s="689">
        <v>2013</v>
      </c>
      <c r="K3" s="685"/>
      <c r="L3" s="685"/>
      <c r="M3" s="685"/>
    </row>
    <row r="4" spans="1:13" x14ac:dyDescent="0.3">
      <c r="A4" s="298" t="s">
        <v>710</v>
      </c>
      <c r="B4" s="298"/>
      <c r="C4" s="298" t="s">
        <v>711</v>
      </c>
      <c r="D4" s="688" t="s">
        <v>657</v>
      </c>
      <c r="E4" s="688" t="s">
        <v>657</v>
      </c>
      <c r="F4" s="688" t="s">
        <v>657</v>
      </c>
      <c r="G4" s="688" t="s">
        <v>657</v>
      </c>
      <c r="H4" s="688" t="s">
        <v>657</v>
      </c>
      <c r="I4" s="688" t="s">
        <v>657</v>
      </c>
      <c r="J4" s="688" t="s">
        <v>657</v>
      </c>
      <c r="K4" s="700"/>
    </row>
    <row r="5" spans="1:13" x14ac:dyDescent="0.3">
      <c r="A5" s="298">
        <v>5119</v>
      </c>
      <c r="B5" s="298" t="s">
        <v>687</v>
      </c>
      <c r="C5" s="298">
        <v>647</v>
      </c>
      <c r="D5" s="685">
        <v>20578691</v>
      </c>
      <c r="E5" s="685">
        <v>3249248</v>
      </c>
      <c r="F5" s="685">
        <v>2957570</v>
      </c>
      <c r="G5" s="685">
        <v>5709008</v>
      </c>
      <c r="H5" s="685">
        <v>5114434</v>
      </c>
      <c r="I5" s="685">
        <v>4562229</v>
      </c>
      <c r="J5" s="685">
        <v>4029652</v>
      </c>
    </row>
    <row r="6" spans="1:13" x14ac:dyDescent="0.3">
      <c r="A6" s="298">
        <v>5120</v>
      </c>
      <c r="B6" s="298" t="s">
        <v>688</v>
      </c>
      <c r="C6" s="298">
        <v>647</v>
      </c>
      <c r="D6" s="685">
        <v>0</v>
      </c>
      <c r="E6" s="685">
        <v>0</v>
      </c>
      <c r="F6" s="685">
        <v>0</v>
      </c>
      <c r="G6" s="685">
        <v>0</v>
      </c>
      <c r="H6" s="685">
        <v>0</v>
      </c>
      <c r="I6" s="685">
        <v>0</v>
      </c>
      <c r="J6" s="685">
        <v>0</v>
      </c>
    </row>
    <row r="7" spans="1:13" x14ac:dyDescent="0.3">
      <c r="A7" s="298">
        <v>5131</v>
      </c>
      <c r="B7" s="298" t="s">
        <v>689</v>
      </c>
      <c r="C7" s="298">
        <v>647</v>
      </c>
      <c r="D7" s="685">
        <v>37089245</v>
      </c>
      <c r="E7" s="685">
        <v>20299814</v>
      </c>
      <c r="F7" s="685">
        <v>8051571</v>
      </c>
      <c r="G7" s="685">
        <v>7371500</v>
      </c>
      <c r="H7" s="685">
        <v>5966665</v>
      </c>
      <c r="I7" s="685">
        <v>8207298</v>
      </c>
      <c r="J7" s="685">
        <v>7347048</v>
      </c>
    </row>
    <row r="8" spans="1:13" x14ac:dyDescent="0.3">
      <c r="A8" s="298">
        <v>5135</v>
      </c>
      <c r="B8" s="298" t="s">
        <v>690</v>
      </c>
      <c r="C8" s="298">
        <v>647</v>
      </c>
      <c r="D8" s="685">
        <v>0</v>
      </c>
      <c r="E8" s="685">
        <v>0</v>
      </c>
      <c r="F8" s="685">
        <v>4056482</v>
      </c>
      <c r="G8" s="685">
        <v>3922669</v>
      </c>
      <c r="H8" s="685">
        <v>3148233</v>
      </c>
      <c r="I8" s="685">
        <v>2755127</v>
      </c>
      <c r="J8" s="685">
        <v>2755127</v>
      </c>
    </row>
    <row r="9" spans="1:13" x14ac:dyDescent="0.3">
      <c r="A9" s="298">
        <v>5144</v>
      </c>
      <c r="B9" s="298" t="s">
        <v>691</v>
      </c>
      <c r="C9" s="298">
        <v>647</v>
      </c>
      <c r="D9" s="685">
        <v>7441890</v>
      </c>
      <c r="E9" s="685">
        <v>7441890</v>
      </c>
      <c r="F9" s="685">
        <v>4932241</v>
      </c>
      <c r="G9" s="685">
        <v>590997</v>
      </c>
      <c r="H9" s="685">
        <v>0</v>
      </c>
      <c r="I9" s="685">
        <v>3000000</v>
      </c>
      <c r="J9" s="685">
        <v>2390166</v>
      </c>
    </row>
    <row r="10" spans="1:13" x14ac:dyDescent="0.3">
      <c r="A10" s="298">
        <v>5155</v>
      </c>
      <c r="B10" s="298" t="s">
        <v>692</v>
      </c>
      <c r="C10" s="298">
        <v>647</v>
      </c>
      <c r="D10" s="685">
        <v>1008755</v>
      </c>
      <c r="E10" s="685">
        <v>781534</v>
      </c>
      <c r="F10" s="685">
        <v>663572</v>
      </c>
      <c r="G10" s="685">
        <v>6557774</v>
      </c>
      <c r="H10" s="685">
        <v>611355</v>
      </c>
      <c r="I10" s="685">
        <v>784361</v>
      </c>
      <c r="J10" s="685">
        <v>1022379</v>
      </c>
    </row>
    <row r="11" spans="1:13" x14ac:dyDescent="0.3">
      <c r="A11" s="298">
        <v>5158</v>
      </c>
      <c r="B11" s="298" t="s">
        <v>693</v>
      </c>
      <c r="C11" s="298">
        <v>647</v>
      </c>
      <c r="D11" s="685">
        <v>9</v>
      </c>
      <c r="E11" s="685">
        <v>9</v>
      </c>
      <c r="F11" s="685">
        <v>9</v>
      </c>
      <c r="G11" s="685">
        <v>9</v>
      </c>
      <c r="H11" s="685">
        <v>9</v>
      </c>
      <c r="I11" s="685">
        <v>9</v>
      </c>
      <c r="J11" s="685">
        <v>9</v>
      </c>
    </row>
    <row r="12" spans="1:13" x14ac:dyDescent="0.3">
      <c r="A12" s="298">
        <v>5159</v>
      </c>
      <c r="B12" s="298" t="s">
        <v>694</v>
      </c>
      <c r="C12" s="298">
        <v>647</v>
      </c>
      <c r="D12" s="685">
        <v>225639888</v>
      </c>
      <c r="E12" s="685">
        <v>219009306</v>
      </c>
      <c r="F12" s="685">
        <v>181812071</v>
      </c>
      <c r="G12" s="685">
        <v>193933610</v>
      </c>
      <c r="H12" s="685">
        <v>181583886</v>
      </c>
      <c r="I12" s="685">
        <v>0</v>
      </c>
      <c r="J12" s="685">
        <v>0</v>
      </c>
    </row>
    <row r="13" spans="1:13" x14ac:dyDescent="0.3">
      <c r="A13" s="298">
        <v>5164</v>
      </c>
      <c r="B13" s="298" t="s">
        <v>695</v>
      </c>
      <c r="C13" s="298">
        <v>647</v>
      </c>
      <c r="D13" s="685">
        <v>7132135</v>
      </c>
      <c r="E13" s="685">
        <v>5438631</v>
      </c>
      <c r="F13" s="685">
        <v>2427428</v>
      </c>
      <c r="G13" s="685">
        <v>157674</v>
      </c>
      <c r="H13" s="685">
        <v>0</v>
      </c>
      <c r="I13" s="685">
        <v>0</v>
      </c>
      <c r="J13" s="685">
        <v>0</v>
      </c>
    </row>
    <row r="14" spans="1:13" x14ac:dyDescent="0.3">
      <c r="A14" s="298">
        <v>5173</v>
      </c>
      <c r="B14" s="298" t="s">
        <v>696</v>
      </c>
      <c r="C14" s="298">
        <v>647</v>
      </c>
      <c r="D14" s="685">
        <v>422216</v>
      </c>
      <c r="E14" s="685">
        <v>2615544</v>
      </c>
      <c r="F14" s="685">
        <v>880554</v>
      </c>
      <c r="G14" s="685">
        <v>154942</v>
      </c>
      <c r="H14" s="685">
        <v>107456</v>
      </c>
      <c r="I14" s="685">
        <v>46240</v>
      </c>
      <c r="J14" s="685">
        <v>23390</v>
      </c>
    </row>
    <row r="15" spans="1:13" x14ac:dyDescent="0.3">
      <c r="A15" s="298">
        <v>5178</v>
      </c>
      <c r="B15" s="298" t="s">
        <v>697</v>
      </c>
      <c r="C15" s="298">
        <v>647</v>
      </c>
      <c r="D15" s="685">
        <v>75835</v>
      </c>
      <c r="E15" s="685">
        <v>66039</v>
      </c>
      <c r="F15" s="685">
        <v>57100</v>
      </c>
      <c r="G15" s="685">
        <v>52316</v>
      </c>
      <c r="H15" s="685">
        <v>23715</v>
      </c>
      <c r="I15" s="685">
        <v>899285</v>
      </c>
      <c r="J15" s="685">
        <v>1169608</v>
      </c>
    </row>
    <row r="16" spans="1:13" x14ac:dyDescent="0.3">
      <c r="A16" s="298">
        <v>5180</v>
      </c>
      <c r="B16" s="298" t="s">
        <v>698</v>
      </c>
      <c r="C16" s="298">
        <v>647</v>
      </c>
      <c r="D16" s="685">
        <v>4586780</v>
      </c>
      <c r="E16" s="685">
        <v>5165281</v>
      </c>
      <c r="F16" s="685">
        <v>4432068</v>
      </c>
      <c r="G16" s="685">
        <v>3558985</v>
      </c>
      <c r="H16" s="685">
        <v>2657915</v>
      </c>
      <c r="I16" s="685">
        <v>2071596</v>
      </c>
      <c r="J16" s="685">
        <v>1986034</v>
      </c>
    </row>
    <row r="17" spans="1:10" x14ac:dyDescent="0.3">
      <c r="A17" s="298">
        <v>5191</v>
      </c>
      <c r="B17" s="298" t="s">
        <v>699</v>
      </c>
      <c r="C17" s="298">
        <v>647</v>
      </c>
      <c r="D17" s="685">
        <v>111303046</v>
      </c>
      <c r="E17" s="685">
        <v>108974619</v>
      </c>
      <c r="F17" s="685">
        <v>120290900</v>
      </c>
      <c r="G17" s="685">
        <v>127448981</v>
      </c>
      <c r="H17" s="685">
        <v>153873846</v>
      </c>
      <c r="I17" s="685">
        <v>135252125</v>
      </c>
      <c r="J17" s="685">
        <v>169055200</v>
      </c>
    </row>
    <row r="18" spans="1:10" x14ac:dyDescent="0.3">
      <c r="A18" s="298">
        <v>50074</v>
      </c>
      <c r="B18" s="298" t="s">
        <v>700</v>
      </c>
      <c r="C18" s="298">
        <v>647</v>
      </c>
      <c r="D18" s="685">
        <v>7494829</v>
      </c>
      <c r="E18" s="685">
        <v>7189658</v>
      </c>
      <c r="F18" s="685">
        <v>7048523</v>
      </c>
      <c r="G18" s="685">
        <v>6615510</v>
      </c>
      <c r="H18" s="685">
        <v>5452410</v>
      </c>
      <c r="I18" s="685">
        <v>4803926</v>
      </c>
      <c r="J18" s="685">
        <v>5340180</v>
      </c>
    </row>
    <row r="19" spans="1:10" x14ac:dyDescent="0.3">
      <c r="A19" s="298">
        <v>50075</v>
      </c>
      <c r="B19" s="298" t="s">
        <v>701</v>
      </c>
      <c r="C19" s="298">
        <v>647</v>
      </c>
      <c r="D19" s="685">
        <v>266214000</v>
      </c>
      <c r="E19" s="685">
        <v>265541000</v>
      </c>
      <c r="F19" s="685">
        <v>274532000</v>
      </c>
      <c r="G19" s="685">
        <v>286138000</v>
      </c>
      <c r="H19" s="685">
        <v>295124000</v>
      </c>
      <c r="I19" s="685">
        <v>264645000</v>
      </c>
      <c r="J19" s="685">
        <v>231434000</v>
      </c>
    </row>
    <row r="20" spans="1:10" x14ac:dyDescent="0.3">
      <c r="A20" s="298">
        <v>50110</v>
      </c>
      <c r="B20" s="298" t="s">
        <v>702</v>
      </c>
      <c r="C20" s="298">
        <v>647</v>
      </c>
      <c r="D20" s="685">
        <v>46833536</v>
      </c>
      <c r="E20" s="685">
        <v>45660075</v>
      </c>
      <c r="F20" s="685">
        <v>8463820</v>
      </c>
      <c r="G20" s="685">
        <v>2663591</v>
      </c>
      <c r="H20" s="685">
        <v>2371109</v>
      </c>
      <c r="I20" s="685">
        <v>2878268</v>
      </c>
      <c r="J20" s="685">
        <v>4203755</v>
      </c>
    </row>
    <row r="21" spans="1:10" x14ac:dyDescent="0.3">
      <c r="A21" s="298">
        <v>50144</v>
      </c>
      <c r="B21" s="298" t="s">
        <v>703</v>
      </c>
      <c r="C21" s="298">
        <v>647</v>
      </c>
      <c r="D21" s="685">
        <v>4258932</v>
      </c>
      <c r="E21" s="685">
        <v>853434</v>
      </c>
      <c r="F21" s="685">
        <v>1622119</v>
      </c>
      <c r="G21" s="685">
        <v>1743258</v>
      </c>
      <c r="H21" s="685">
        <v>1740179</v>
      </c>
      <c r="I21" s="685">
        <v>1739958</v>
      </c>
      <c r="J21" s="685">
        <v>1739695</v>
      </c>
    </row>
    <row r="22" spans="1:10" x14ac:dyDescent="0.3">
      <c r="A22" s="298">
        <v>50159</v>
      </c>
      <c r="B22" s="298" t="s">
        <v>704</v>
      </c>
      <c r="C22" s="298">
        <v>647</v>
      </c>
      <c r="D22" s="685">
        <v>28636370</v>
      </c>
      <c r="E22" s="685">
        <v>23180822</v>
      </c>
      <c r="F22" s="685">
        <v>16487675</v>
      </c>
      <c r="G22" s="685">
        <v>10909425</v>
      </c>
      <c r="H22" s="685">
        <v>7878571</v>
      </c>
      <c r="I22" s="685">
        <v>5300679</v>
      </c>
      <c r="J22" s="685">
        <v>4801051</v>
      </c>
    </row>
    <row r="23" spans="1:10" x14ac:dyDescent="0.3">
      <c r="A23" s="298">
        <v>50160</v>
      </c>
      <c r="B23" s="298" t="s">
        <v>705</v>
      </c>
      <c r="C23" s="298">
        <v>647</v>
      </c>
      <c r="D23" s="685">
        <v>1134799</v>
      </c>
      <c r="E23" s="685">
        <v>894858</v>
      </c>
      <c r="F23" s="685">
        <v>1002425</v>
      </c>
      <c r="G23" s="685">
        <v>354061</v>
      </c>
      <c r="H23" s="685">
        <v>392698</v>
      </c>
      <c r="I23" s="685">
        <v>442800</v>
      </c>
      <c r="J23" s="685">
        <v>942821</v>
      </c>
    </row>
    <row r="24" spans="1:10" x14ac:dyDescent="0.3">
      <c r="A24" s="298">
        <v>50180</v>
      </c>
      <c r="B24" s="298" t="s">
        <v>706</v>
      </c>
      <c r="C24" s="298">
        <v>647</v>
      </c>
      <c r="D24" s="685">
        <v>13193040</v>
      </c>
      <c r="E24" s="685">
        <v>17058564</v>
      </c>
      <c r="F24" s="685">
        <v>16187505</v>
      </c>
      <c r="G24" s="685">
        <v>16428100</v>
      </c>
      <c r="H24" s="685">
        <v>16688416</v>
      </c>
      <c r="I24" s="685">
        <v>17840940</v>
      </c>
      <c r="J24" s="685">
        <v>18042019</v>
      </c>
    </row>
    <row r="25" spans="1:10" x14ac:dyDescent="0.3">
      <c r="A25" s="298">
        <v>50405</v>
      </c>
      <c r="B25" s="298" t="s">
        <v>707</v>
      </c>
      <c r="C25" s="298">
        <v>647</v>
      </c>
      <c r="D25" s="685">
        <v>302046</v>
      </c>
      <c r="E25" s="685">
        <v>1055143</v>
      </c>
      <c r="F25" s="685">
        <v>0</v>
      </c>
      <c r="G25" s="685">
        <v>0</v>
      </c>
      <c r="H25" s="685">
        <v>0</v>
      </c>
      <c r="I25" s="685">
        <v>0</v>
      </c>
      <c r="J25" s="685">
        <v>0</v>
      </c>
    </row>
    <row r="26" spans="1:10" x14ac:dyDescent="0.3">
      <c r="A26" s="298">
        <v>50425</v>
      </c>
      <c r="B26" s="298" t="s">
        <v>708</v>
      </c>
      <c r="C26" s="298">
        <v>647</v>
      </c>
      <c r="D26" s="685">
        <v>20836222</v>
      </c>
      <c r="E26" s="685">
        <v>16328642</v>
      </c>
      <c r="F26" s="685">
        <v>15202516</v>
      </c>
      <c r="G26" s="685">
        <v>12384500</v>
      </c>
      <c r="H26" s="685">
        <v>9788553</v>
      </c>
      <c r="I26" s="685">
        <v>7967199</v>
      </c>
      <c r="J26" s="685">
        <v>6398918</v>
      </c>
    </row>
    <row r="27" spans="1:10" x14ac:dyDescent="0.3">
      <c r="A27" s="298">
        <v>50431</v>
      </c>
      <c r="B27" s="298" t="s">
        <v>709</v>
      </c>
      <c r="C27" s="298">
        <v>647</v>
      </c>
      <c r="D27" s="685">
        <v>25542629</v>
      </c>
      <c r="E27" s="685">
        <v>24964077</v>
      </c>
      <c r="F27" s="685">
        <v>23618105</v>
      </c>
      <c r="G27" s="685">
        <v>22744716</v>
      </c>
      <c r="H27" s="685">
        <v>16714796</v>
      </c>
      <c r="I27" s="685">
        <v>13788676</v>
      </c>
      <c r="J27" s="685">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710</v>
      </c>
      <c r="B1" s="270" t="s">
        <v>865</v>
      </c>
      <c r="C1" s="277" t="s">
        <v>842</v>
      </c>
      <c r="D1" s="278" t="s">
        <v>1047</v>
      </c>
      <c r="E1" s="270" t="s">
        <v>1506</v>
      </c>
    </row>
    <row r="3" spans="1:11" ht="23.4" x14ac:dyDescent="0.45">
      <c r="A3" s="270">
        <v>50001</v>
      </c>
      <c r="B3" s="270" t="s">
        <v>866</v>
      </c>
      <c r="C3" s="270">
        <v>50</v>
      </c>
      <c r="D3" s="170" t="s">
        <v>51</v>
      </c>
      <c r="E3" s="302" t="s">
        <v>1185</v>
      </c>
    </row>
    <row r="4" spans="1:11" x14ac:dyDescent="0.3">
      <c r="A4" s="270">
        <v>50006</v>
      </c>
      <c r="B4" s="270" t="s">
        <v>867</v>
      </c>
      <c r="C4" s="270">
        <v>50</v>
      </c>
      <c r="D4" s="170" t="s">
        <v>51</v>
      </c>
    </row>
    <row r="5" spans="1:11" x14ac:dyDescent="0.3">
      <c r="A5" s="270">
        <v>50013</v>
      </c>
      <c r="B5" s="270" t="s">
        <v>869</v>
      </c>
      <c r="C5" s="270">
        <v>50</v>
      </c>
      <c r="D5" s="170" t="s">
        <v>51</v>
      </c>
    </row>
    <row r="6" spans="1:11" x14ac:dyDescent="0.3">
      <c r="A6" s="270">
        <v>50016</v>
      </c>
      <c r="B6" s="928" t="s">
        <v>1507</v>
      </c>
      <c r="C6" s="270">
        <v>50</v>
      </c>
      <c r="D6" s="170" t="s">
        <v>51</v>
      </c>
      <c r="K6" s="928"/>
    </row>
    <row r="7" spans="1:11" x14ac:dyDescent="0.3">
      <c r="A7" s="270">
        <v>50019</v>
      </c>
      <c r="B7" s="928" t="s">
        <v>1508</v>
      </c>
      <c r="C7" s="270">
        <v>50</v>
      </c>
      <c r="D7" s="170" t="s">
        <v>51</v>
      </c>
      <c r="K7" s="928"/>
    </row>
    <row r="8" spans="1:11" x14ac:dyDescent="0.3">
      <c r="A8" s="270">
        <v>50504</v>
      </c>
      <c r="B8" s="270" t="s">
        <v>870</v>
      </c>
      <c r="C8" s="270">
        <v>50</v>
      </c>
      <c r="D8" s="170" t="s">
        <v>51</v>
      </c>
    </row>
    <row r="9" spans="1:11" x14ac:dyDescent="0.3">
      <c r="A9" s="270">
        <v>50021</v>
      </c>
      <c r="B9" s="928" t="s">
        <v>1509</v>
      </c>
      <c r="C9" s="270">
        <v>50</v>
      </c>
      <c r="D9" s="170" t="s">
        <v>51</v>
      </c>
      <c r="K9" s="928"/>
    </row>
    <row r="10" spans="1:11" x14ac:dyDescent="0.3">
      <c r="A10" s="270">
        <v>50024</v>
      </c>
      <c r="B10" s="270" t="s">
        <v>871</v>
      </c>
      <c r="C10" s="270">
        <v>50</v>
      </c>
      <c r="D10" s="170" t="s">
        <v>51</v>
      </c>
    </row>
    <row r="11" spans="1:11" x14ac:dyDescent="0.3">
      <c r="A11" s="270">
        <v>50029</v>
      </c>
      <c r="B11" s="270" t="s">
        <v>872</v>
      </c>
      <c r="C11" s="270">
        <v>50</v>
      </c>
      <c r="D11" s="170" t="s">
        <v>51</v>
      </c>
    </row>
    <row r="12" spans="1:11" x14ac:dyDescent="0.3">
      <c r="A12" s="270">
        <v>50031</v>
      </c>
      <c r="B12" s="928" t="s">
        <v>1510</v>
      </c>
      <c r="C12" s="270">
        <v>50</v>
      </c>
      <c r="D12" s="170" t="s">
        <v>51</v>
      </c>
      <c r="K12" s="928"/>
    </row>
    <row r="13" spans="1:11" x14ac:dyDescent="0.3">
      <c r="A13" s="270">
        <v>50469</v>
      </c>
      <c r="B13" s="270" t="s">
        <v>873</v>
      </c>
      <c r="C13" s="270">
        <v>50</v>
      </c>
      <c r="D13" s="170" t="s">
        <v>51</v>
      </c>
    </row>
    <row r="14" spans="1:11" x14ac:dyDescent="0.3">
      <c r="A14" s="270">
        <v>50034</v>
      </c>
      <c r="B14" s="270" t="s">
        <v>875</v>
      </c>
      <c r="C14" s="270">
        <v>50</v>
      </c>
      <c r="D14" s="170" t="s">
        <v>51</v>
      </c>
    </row>
    <row r="15" spans="1:11" x14ac:dyDescent="0.3">
      <c r="A15" s="270">
        <v>50038</v>
      </c>
      <c r="B15" s="270" t="s">
        <v>876</v>
      </c>
      <c r="C15" s="270">
        <v>50</v>
      </c>
      <c r="D15" s="170" t="s">
        <v>51</v>
      </c>
    </row>
    <row r="16" spans="1:11" x14ac:dyDescent="0.3">
      <c r="A16" s="270">
        <v>50506</v>
      </c>
      <c r="B16" s="270" t="s">
        <v>877</v>
      </c>
      <c r="C16" s="270">
        <v>50</v>
      </c>
      <c r="D16" s="170" t="s">
        <v>51</v>
      </c>
    </row>
    <row r="17" spans="1:11" x14ac:dyDescent="0.3">
      <c r="A17" s="270">
        <v>50045</v>
      </c>
      <c r="B17" s="270" t="s">
        <v>878</v>
      </c>
      <c r="C17" s="270">
        <v>50</v>
      </c>
      <c r="D17" s="170" t="s">
        <v>51</v>
      </c>
    </row>
    <row r="18" spans="1:11" x14ac:dyDescent="0.3">
      <c r="A18" s="270">
        <v>50049</v>
      </c>
      <c r="B18" s="270" t="s">
        <v>879</v>
      </c>
      <c r="C18" s="270">
        <v>50</v>
      </c>
      <c r="D18" s="170" t="s">
        <v>51</v>
      </c>
    </row>
    <row r="19" spans="1:11" x14ac:dyDescent="0.3">
      <c r="A19" s="270">
        <v>50055</v>
      </c>
      <c r="B19" s="928" t="s">
        <v>1511</v>
      </c>
      <c r="C19" s="270">
        <v>50</v>
      </c>
      <c r="D19" s="170" t="s">
        <v>51</v>
      </c>
      <c r="K19" s="928"/>
    </row>
    <row r="20" spans="1:11" x14ac:dyDescent="0.3">
      <c r="A20" s="270">
        <v>50466</v>
      </c>
      <c r="B20" s="270" t="s">
        <v>1512</v>
      </c>
      <c r="C20" s="270">
        <v>50</v>
      </c>
      <c r="D20" s="170" t="s">
        <v>51</v>
      </c>
    </row>
    <row r="21" spans="1:11" x14ac:dyDescent="0.3">
      <c r="A21" s="270">
        <v>50069</v>
      </c>
      <c r="B21" s="270" t="s">
        <v>880</v>
      </c>
      <c r="C21" s="270">
        <v>50</v>
      </c>
      <c r="D21" s="170" t="s">
        <v>51</v>
      </c>
    </row>
    <row r="22" spans="1:11" x14ac:dyDescent="0.3">
      <c r="A22" s="270">
        <v>50467</v>
      </c>
      <c r="B22" s="270" t="s">
        <v>881</v>
      </c>
      <c r="C22" s="270">
        <v>50</v>
      </c>
      <c r="D22" s="170" t="s">
        <v>51</v>
      </c>
    </row>
    <row r="23" spans="1:11" x14ac:dyDescent="0.3">
      <c r="A23" s="270">
        <v>50510</v>
      </c>
      <c r="B23" s="270" t="s">
        <v>882</v>
      </c>
      <c r="C23" s="270">
        <v>50</v>
      </c>
      <c r="D23" s="170" t="s">
        <v>51</v>
      </c>
    </row>
    <row r="24" spans="1:11" x14ac:dyDescent="0.3">
      <c r="A24" s="270">
        <v>50078</v>
      </c>
      <c r="B24" s="270" t="s">
        <v>1513</v>
      </c>
      <c r="C24" s="270">
        <v>50</v>
      </c>
      <c r="D24" s="170" t="s">
        <v>51</v>
      </c>
    </row>
    <row r="25" spans="1:11" x14ac:dyDescent="0.3">
      <c r="A25" s="270">
        <v>50080</v>
      </c>
      <c r="B25" s="270" t="s">
        <v>1514</v>
      </c>
      <c r="C25" s="270">
        <v>50</v>
      </c>
      <c r="D25" s="170" t="s">
        <v>51</v>
      </c>
    </row>
    <row r="26" spans="1:11" x14ac:dyDescent="0.3">
      <c r="A26" s="270">
        <v>50468</v>
      </c>
      <c r="B26" s="928" t="s">
        <v>1515</v>
      </c>
      <c r="C26" s="270">
        <v>50</v>
      </c>
      <c r="D26" s="170" t="s">
        <v>51</v>
      </c>
      <c r="K26" s="928"/>
    </row>
    <row r="27" spans="1:11" x14ac:dyDescent="0.3">
      <c r="A27" s="270">
        <v>50086</v>
      </c>
      <c r="B27" s="270" t="s">
        <v>884</v>
      </c>
      <c r="C27" s="270">
        <v>50</v>
      </c>
      <c r="D27" s="170" t="s">
        <v>51</v>
      </c>
    </row>
    <row r="28" spans="1:11" x14ac:dyDescent="0.3">
      <c r="A28" s="270">
        <v>50087</v>
      </c>
      <c r="B28" s="270" t="s">
        <v>885</v>
      </c>
      <c r="C28" s="270">
        <v>50</v>
      </c>
      <c r="D28" s="170" t="s">
        <v>51</v>
      </c>
    </row>
    <row r="29" spans="1:11" x14ac:dyDescent="0.3">
      <c r="A29" s="270">
        <v>50091</v>
      </c>
      <c r="B29" s="928" t="s">
        <v>1516</v>
      </c>
      <c r="C29" s="270">
        <v>50</v>
      </c>
      <c r="D29" s="170" t="s">
        <v>51</v>
      </c>
      <c r="K29" s="928"/>
    </row>
    <row r="30" spans="1:11" x14ac:dyDescent="0.3">
      <c r="A30" s="270">
        <v>50098</v>
      </c>
      <c r="B30" s="270" t="s">
        <v>1517</v>
      </c>
      <c r="C30" s="270">
        <v>50</v>
      </c>
      <c r="D30" s="170" t="s">
        <v>51</v>
      </c>
    </row>
    <row r="31" spans="1:11" x14ac:dyDescent="0.3">
      <c r="A31" s="270">
        <v>50100</v>
      </c>
      <c r="B31" s="270" t="s">
        <v>1518</v>
      </c>
      <c r="C31" s="270">
        <v>50</v>
      </c>
      <c r="D31" s="170" t="s">
        <v>51</v>
      </c>
    </row>
    <row r="32" spans="1:11" x14ac:dyDescent="0.3">
      <c r="A32" s="270">
        <v>50513</v>
      </c>
      <c r="B32" s="270" t="s">
        <v>886</v>
      </c>
      <c r="C32" s="270">
        <v>50</v>
      </c>
      <c r="D32" s="170" t="s">
        <v>51</v>
      </c>
    </row>
    <row r="33" spans="1:11" x14ac:dyDescent="0.3">
      <c r="A33" s="270">
        <v>50106</v>
      </c>
      <c r="B33" s="270" t="s">
        <v>887</v>
      </c>
      <c r="C33" s="270">
        <v>50</v>
      </c>
      <c r="D33" s="170" t="s">
        <v>51</v>
      </c>
    </row>
    <row r="34" spans="1:11" x14ac:dyDescent="0.3">
      <c r="A34" s="270">
        <v>50472</v>
      </c>
      <c r="B34" s="270" t="s">
        <v>888</v>
      </c>
      <c r="C34" s="270">
        <v>50</v>
      </c>
      <c r="D34" s="170" t="s">
        <v>51</v>
      </c>
    </row>
    <row r="35" spans="1:11" x14ac:dyDescent="0.3">
      <c r="A35" s="270">
        <v>50112</v>
      </c>
      <c r="B35" s="270" t="s">
        <v>889</v>
      </c>
      <c r="C35" s="270">
        <v>50</v>
      </c>
      <c r="D35" s="170" t="s">
        <v>51</v>
      </c>
    </row>
    <row r="36" spans="1:11" x14ac:dyDescent="0.3">
      <c r="A36" s="270">
        <v>50113</v>
      </c>
      <c r="B36" s="270" t="s">
        <v>890</v>
      </c>
      <c r="C36" s="270">
        <v>50</v>
      </c>
      <c r="D36" s="170" t="s">
        <v>51</v>
      </c>
    </row>
    <row r="37" spans="1:11" x14ac:dyDescent="0.3">
      <c r="A37" s="270">
        <v>50116</v>
      </c>
      <c r="B37" s="928" t="s">
        <v>1519</v>
      </c>
      <c r="C37" s="270">
        <v>50</v>
      </c>
      <c r="D37" s="170" t="s">
        <v>51</v>
      </c>
      <c r="K37" s="928"/>
    </row>
    <row r="38" spans="1:11" x14ac:dyDescent="0.3">
      <c r="A38" s="270">
        <v>50121</v>
      </c>
      <c r="B38" s="270" t="s">
        <v>892</v>
      </c>
      <c r="C38" s="270">
        <v>50</v>
      </c>
      <c r="D38" s="170" t="s">
        <v>51</v>
      </c>
    </row>
    <row r="39" spans="1:11" x14ac:dyDescent="0.3">
      <c r="A39" s="270">
        <v>50122</v>
      </c>
      <c r="B39" s="270" t="s">
        <v>893</v>
      </c>
      <c r="C39" s="270">
        <v>50</v>
      </c>
      <c r="D39" s="170" t="s">
        <v>51</v>
      </c>
    </row>
    <row r="40" spans="1:11" x14ac:dyDescent="0.3">
      <c r="A40" s="270">
        <v>50125</v>
      </c>
      <c r="B40" s="270" t="s">
        <v>894</v>
      </c>
      <c r="C40" s="270">
        <v>50</v>
      </c>
      <c r="D40" s="170" t="s">
        <v>51</v>
      </c>
    </row>
    <row r="41" spans="1:11" x14ac:dyDescent="0.3">
      <c r="A41" s="270">
        <v>50126</v>
      </c>
      <c r="B41" s="928" t="s">
        <v>1520</v>
      </c>
      <c r="C41" s="270">
        <v>50</v>
      </c>
      <c r="D41" s="170" t="s">
        <v>51</v>
      </c>
      <c r="K41" s="928"/>
    </row>
    <row r="42" spans="1:11" x14ac:dyDescent="0.3">
      <c r="A42" s="270">
        <v>50127</v>
      </c>
      <c r="B42" s="270" t="s">
        <v>1521</v>
      </c>
      <c r="C42" s="270">
        <v>50</v>
      </c>
      <c r="D42" s="170" t="s">
        <v>51</v>
      </c>
    </row>
    <row r="43" spans="1:11" x14ac:dyDescent="0.3">
      <c r="A43" s="270">
        <v>50128</v>
      </c>
      <c r="B43" s="270" t="s">
        <v>896</v>
      </c>
      <c r="C43" s="270">
        <v>50</v>
      </c>
      <c r="D43" s="170" t="s">
        <v>51</v>
      </c>
    </row>
    <row r="44" spans="1:11" x14ac:dyDescent="0.3">
      <c r="A44" s="270">
        <v>50129</v>
      </c>
      <c r="B44" s="270" t="s">
        <v>897</v>
      </c>
      <c r="C44" s="270">
        <v>50</v>
      </c>
      <c r="D44" s="170" t="s">
        <v>51</v>
      </c>
    </row>
    <row r="45" spans="1:11" x14ac:dyDescent="0.3">
      <c r="A45" s="270">
        <v>50130</v>
      </c>
      <c r="B45" s="270" t="s">
        <v>898</v>
      </c>
      <c r="C45" s="270">
        <v>50</v>
      </c>
      <c r="D45" s="170" t="s">
        <v>51</v>
      </c>
    </row>
    <row r="46" spans="1:11" x14ac:dyDescent="0.3">
      <c r="A46" s="270">
        <v>50570</v>
      </c>
      <c r="B46" s="270" t="s">
        <v>899</v>
      </c>
      <c r="C46" s="270">
        <v>50</v>
      </c>
      <c r="D46" s="170" t="s">
        <v>51</v>
      </c>
    </row>
    <row r="47" spans="1:11" x14ac:dyDescent="0.3">
      <c r="A47" s="270">
        <v>50139</v>
      </c>
      <c r="B47" s="270" t="s">
        <v>901</v>
      </c>
      <c r="C47" s="270">
        <v>50</v>
      </c>
      <c r="D47" s="170" t="s">
        <v>51</v>
      </c>
    </row>
    <row r="48" spans="1:11" x14ac:dyDescent="0.3">
      <c r="A48" s="270">
        <v>50142</v>
      </c>
      <c r="B48" s="270" t="s">
        <v>902</v>
      </c>
      <c r="C48" s="270">
        <v>50</v>
      </c>
      <c r="D48" s="170" t="s">
        <v>51</v>
      </c>
    </row>
    <row r="49" spans="1:11" x14ac:dyDescent="0.3">
      <c r="A49" s="270">
        <v>50143</v>
      </c>
      <c r="B49" s="270" t="s">
        <v>903</v>
      </c>
      <c r="C49" s="270">
        <v>50</v>
      </c>
      <c r="D49" s="170" t="s">
        <v>51</v>
      </c>
    </row>
    <row r="50" spans="1:11" x14ac:dyDescent="0.3">
      <c r="A50" s="270">
        <v>50148</v>
      </c>
      <c r="B50" s="270" t="s">
        <v>690</v>
      </c>
      <c r="C50" s="270">
        <v>50</v>
      </c>
      <c r="D50" s="170" t="s">
        <v>51</v>
      </c>
    </row>
    <row r="51" spans="1:11" x14ac:dyDescent="0.3">
      <c r="A51" s="270">
        <v>50151</v>
      </c>
      <c r="B51" s="270" t="s">
        <v>1522</v>
      </c>
      <c r="C51" s="270">
        <v>50</v>
      </c>
      <c r="D51" s="170" t="s">
        <v>51</v>
      </c>
    </row>
    <row r="52" spans="1:11" x14ac:dyDescent="0.3">
      <c r="A52" s="270">
        <v>50153</v>
      </c>
      <c r="B52" s="270" t="s">
        <v>904</v>
      </c>
      <c r="C52" s="270">
        <v>50</v>
      </c>
      <c r="D52" s="170" t="s">
        <v>51</v>
      </c>
    </row>
    <row r="53" spans="1:11" x14ac:dyDescent="0.3">
      <c r="A53" s="270">
        <v>50154</v>
      </c>
      <c r="B53" s="270" t="s">
        <v>905</v>
      </c>
      <c r="C53" s="270">
        <v>50</v>
      </c>
      <c r="D53" s="170" t="s">
        <v>51</v>
      </c>
    </row>
    <row r="54" spans="1:11" x14ac:dyDescent="0.3">
      <c r="A54" s="270">
        <v>50517</v>
      </c>
      <c r="B54" s="928" t="s">
        <v>1523</v>
      </c>
      <c r="C54" s="270">
        <v>50</v>
      </c>
      <c r="D54" s="170" t="s">
        <v>51</v>
      </c>
      <c r="K54" s="928"/>
    </row>
    <row r="55" spans="1:11" x14ac:dyDescent="0.3">
      <c r="A55" s="270">
        <v>50448</v>
      </c>
      <c r="B55" s="270" t="s">
        <v>906</v>
      </c>
      <c r="C55" s="270">
        <v>50</v>
      </c>
      <c r="D55" s="170" t="s">
        <v>51</v>
      </c>
    </row>
    <row r="56" spans="1:11" x14ac:dyDescent="0.3">
      <c r="A56" s="270">
        <v>50163</v>
      </c>
      <c r="B56" s="270" t="s">
        <v>907</v>
      </c>
      <c r="C56" s="270">
        <v>50</v>
      </c>
      <c r="D56" s="170" t="s">
        <v>51</v>
      </c>
    </row>
    <row r="57" spans="1:11" x14ac:dyDescent="0.3">
      <c r="A57" s="270">
        <v>50165</v>
      </c>
      <c r="B57" s="270" t="s">
        <v>908</v>
      </c>
      <c r="C57" s="270">
        <v>50</v>
      </c>
      <c r="D57" s="170" t="s">
        <v>51</v>
      </c>
    </row>
    <row r="58" spans="1:11" x14ac:dyDescent="0.3">
      <c r="A58" s="270">
        <v>50166</v>
      </c>
      <c r="B58" s="270" t="s">
        <v>909</v>
      </c>
      <c r="C58" s="270">
        <v>50</v>
      </c>
      <c r="D58" s="170" t="s">
        <v>51</v>
      </c>
    </row>
    <row r="59" spans="1:11" x14ac:dyDescent="0.3">
      <c r="A59" s="270">
        <v>50167</v>
      </c>
      <c r="B59" s="270" t="s">
        <v>910</v>
      </c>
      <c r="C59" s="270">
        <v>50</v>
      </c>
      <c r="D59" s="170" t="s">
        <v>51</v>
      </c>
    </row>
    <row r="60" spans="1:11" x14ac:dyDescent="0.3">
      <c r="A60" s="270">
        <v>50171</v>
      </c>
      <c r="B60" s="928" t="s">
        <v>1524</v>
      </c>
      <c r="C60" s="270">
        <v>50</v>
      </c>
      <c r="D60" s="170" t="s">
        <v>51</v>
      </c>
      <c r="K60" s="928"/>
    </row>
    <row r="61" spans="1:11" x14ac:dyDescent="0.3">
      <c r="A61" s="270">
        <v>50440</v>
      </c>
      <c r="B61" s="270" t="s">
        <v>1525</v>
      </c>
      <c r="C61" s="270">
        <v>50</v>
      </c>
      <c r="D61" s="170" t="s">
        <v>51</v>
      </c>
    </row>
    <row r="62" spans="1:11" x14ac:dyDescent="0.3">
      <c r="A62" s="270">
        <v>50175</v>
      </c>
      <c r="B62" s="928" t="s">
        <v>691</v>
      </c>
      <c r="C62" s="270">
        <v>50</v>
      </c>
      <c r="D62" s="170" t="s">
        <v>51</v>
      </c>
      <c r="K62" s="928"/>
    </row>
    <row r="63" spans="1:11" x14ac:dyDescent="0.3">
      <c r="A63" s="270">
        <v>50177</v>
      </c>
      <c r="B63" s="928" t="s">
        <v>1526</v>
      </c>
      <c r="C63" s="270">
        <v>50</v>
      </c>
      <c r="D63" s="170" t="s">
        <v>51</v>
      </c>
      <c r="K63" s="928"/>
    </row>
    <row r="64" spans="1:11" x14ac:dyDescent="0.3">
      <c r="A64" s="270">
        <v>50183</v>
      </c>
      <c r="B64" s="270" t="s">
        <v>911</v>
      </c>
      <c r="C64" s="270">
        <v>50</v>
      </c>
      <c r="D64" s="170" t="s">
        <v>51</v>
      </c>
    </row>
    <row r="65" spans="1:11" x14ac:dyDescent="0.3">
      <c r="A65" s="270">
        <v>50184</v>
      </c>
      <c r="B65" s="270" t="s">
        <v>912</v>
      </c>
      <c r="C65" s="270">
        <v>50</v>
      </c>
      <c r="D65" s="170" t="s">
        <v>51</v>
      </c>
    </row>
    <row r="66" spans="1:11" x14ac:dyDescent="0.3">
      <c r="A66" s="270">
        <v>50186</v>
      </c>
      <c r="B66" s="270" t="s">
        <v>913</v>
      </c>
      <c r="C66" s="270">
        <v>50</v>
      </c>
      <c r="D66" s="170" t="s">
        <v>51</v>
      </c>
    </row>
    <row r="67" spans="1:11" x14ac:dyDescent="0.3">
      <c r="A67" s="270">
        <v>50476</v>
      </c>
      <c r="B67" s="270" t="s">
        <v>763</v>
      </c>
      <c r="C67" s="270">
        <v>50</v>
      </c>
      <c r="D67" s="170" t="s">
        <v>51</v>
      </c>
    </row>
    <row r="68" spans="1:11" x14ac:dyDescent="0.3">
      <c r="A68" s="270">
        <v>50192</v>
      </c>
      <c r="B68" s="270" t="s">
        <v>764</v>
      </c>
      <c r="C68" s="270">
        <v>50</v>
      </c>
      <c r="D68" s="170" t="s">
        <v>51</v>
      </c>
    </row>
    <row r="69" spans="1:11" x14ac:dyDescent="0.3">
      <c r="A69" s="270">
        <v>50518</v>
      </c>
      <c r="B69" s="270" t="s">
        <v>765</v>
      </c>
      <c r="C69" s="270">
        <v>50</v>
      </c>
      <c r="D69" s="170" t="s">
        <v>51</v>
      </c>
    </row>
    <row r="70" spans="1:11" x14ac:dyDescent="0.3">
      <c r="A70" s="270">
        <v>50231</v>
      </c>
      <c r="B70" s="270" t="s">
        <v>766</v>
      </c>
      <c r="C70" s="270">
        <v>50</v>
      </c>
      <c r="D70" s="170" t="s">
        <v>51</v>
      </c>
    </row>
    <row r="71" spans="1:11" x14ac:dyDescent="0.3">
      <c r="A71" s="270">
        <v>50235</v>
      </c>
      <c r="B71" s="270" t="s">
        <v>769</v>
      </c>
      <c r="C71" s="270">
        <v>50</v>
      </c>
      <c r="D71" s="170" t="s">
        <v>51</v>
      </c>
    </row>
    <row r="72" spans="1:11" x14ac:dyDescent="0.3">
      <c r="A72" s="270">
        <v>50233</v>
      </c>
      <c r="B72" s="270" t="s">
        <v>767</v>
      </c>
      <c r="C72" s="270">
        <v>50</v>
      </c>
      <c r="D72" s="170" t="s">
        <v>51</v>
      </c>
    </row>
    <row r="73" spans="1:11" x14ac:dyDescent="0.3">
      <c r="A73" s="270">
        <v>50236</v>
      </c>
      <c r="B73" s="270" t="s">
        <v>770</v>
      </c>
      <c r="C73" s="270">
        <v>50</v>
      </c>
      <c r="D73" s="170" t="s">
        <v>51</v>
      </c>
    </row>
    <row r="74" spans="1:11" x14ac:dyDescent="0.3">
      <c r="A74" s="270">
        <v>50239</v>
      </c>
      <c r="B74" s="270" t="s">
        <v>773</v>
      </c>
      <c r="C74" s="270">
        <v>50</v>
      </c>
      <c r="D74" s="170" t="s">
        <v>51</v>
      </c>
    </row>
    <row r="75" spans="1:11" x14ac:dyDescent="0.3">
      <c r="A75" s="270">
        <v>50249</v>
      </c>
      <c r="B75" s="270" t="s">
        <v>785</v>
      </c>
      <c r="C75" s="270">
        <v>50</v>
      </c>
      <c r="D75" s="170" t="s">
        <v>51</v>
      </c>
    </row>
    <row r="76" spans="1:11" x14ac:dyDescent="0.3">
      <c r="A76" s="270">
        <v>50254</v>
      </c>
      <c r="B76" s="270" t="s">
        <v>1527</v>
      </c>
      <c r="C76" s="270">
        <v>50</v>
      </c>
      <c r="D76" s="170" t="s">
        <v>51</v>
      </c>
    </row>
    <row r="77" spans="1:11" x14ac:dyDescent="0.3">
      <c r="A77" s="270">
        <v>50255</v>
      </c>
      <c r="B77" s="928" t="s">
        <v>1528</v>
      </c>
      <c r="C77" s="270">
        <v>50</v>
      </c>
      <c r="D77" s="170" t="s">
        <v>51</v>
      </c>
      <c r="K77" s="928"/>
    </row>
    <row r="78" spans="1:11" x14ac:dyDescent="0.3">
      <c r="A78" s="270">
        <v>50257</v>
      </c>
      <c r="B78" s="270" t="s">
        <v>916</v>
      </c>
      <c r="C78" s="270">
        <v>50</v>
      </c>
      <c r="D78" s="170" t="s">
        <v>51</v>
      </c>
    </row>
    <row r="79" spans="1:11" x14ac:dyDescent="0.3">
      <c r="A79" s="270">
        <v>50452</v>
      </c>
      <c r="B79" s="928" t="s">
        <v>1529</v>
      </c>
      <c r="C79" s="270">
        <v>50</v>
      </c>
      <c r="D79" s="170" t="s">
        <v>51</v>
      </c>
      <c r="K79" s="928"/>
    </row>
    <row r="80" spans="1:11" x14ac:dyDescent="0.3">
      <c r="A80" s="270">
        <v>50260</v>
      </c>
      <c r="B80" s="270" t="s">
        <v>917</v>
      </c>
      <c r="C80" s="270">
        <v>50</v>
      </c>
      <c r="D80" s="170" t="s">
        <v>51</v>
      </c>
    </row>
    <row r="81" spans="1:11" x14ac:dyDescent="0.3">
      <c r="A81" s="270">
        <v>50268</v>
      </c>
      <c r="B81" s="928" t="s">
        <v>1530</v>
      </c>
      <c r="C81" s="270">
        <v>50</v>
      </c>
      <c r="D81" s="170" t="s">
        <v>51</v>
      </c>
      <c r="K81" s="928"/>
    </row>
    <row r="82" spans="1:11" x14ac:dyDescent="0.3">
      <c r="A82" s="270">
        <v>50269</v>
      </c>
      <c r="B82" s="270" t="s">
        <v>918</v>
      </c>
      <c r="C82" s="270">
        <v>50</v>
      </c>
      <c r="D82" s="170" t="s">
        <v>51</v>
      </c>
    </row>
    <row r="83" spans="1:11" x14ac:dyDescent="0.3">
      <c r="A83" s="270">
        <v>50480</v>
      </c>
      <c r="B83" s="270" t="s">
        <v>919</v>
      </c>
      <c r="C83" s="270">
        <v>50</v>
      </c>
      <c r="D83" s="170" t="s">
        <v>51</v>
      </c>
    </row>
    <row r="84" spans="1:11" x14ac:dyDescent="0.3">
      <c r="A84" s="270">
        <v>50278</v>
      </c>
      <c r="B84" s="270" t="s">
        <v>920</v>
      </c>
      <c r="C84" s="270">
        <v>50</v>
      </c>
      <c r="D84" s="170" t="s">
        <v>51</v>
      </c>
    </row>
    <row r="85" spans="1:11" x14ac:dyDescent="0.3">
      <c r="A85" s="270">
        <v>50280</v>
      </c>
      <c r="B85" s="270" t="s">
        <v>921</v>
      </c>
      <c r="C85" s="270">
        <v>50</v>
      </c>
      <c r="D85" s="170" t="s">
        <v>51</v>
      </c>
    </row>
    <row r="86" spans="1:11" x14ac:dyDescent="0.3">
      <c r="A86" s="270">
        <v>50281</v>
      </c>
      <c r="B86" s="270" t="s">
        <v>922</v>
      </c>
      <c r="C86" s="270">
        <v>50</v>
      </c>
      <c r="D86" s="170" t="s">
        <v>51</v>
      </c>
    </row>
    <row r="87" spans="1:11" x14ac:dyDescent="0.3">
      <c r="A87" s="270">
        <v>50478</v>
      </c>
      <c r="B87" s="270" t="s">
        <v>923</v>
      </c>
      <c r="C87" s="270">
        <v>50</v>
      </c>
      <c r="D87" s="170" t="s">
        <v>51</v>
      </c>
    </row>
    <row r="88" spans="1:11" x14ac:dyDescent="0.3">
      <c r="A88" s="270">
        <v>50283</v>
      </c>
      <c r="B88" s="270" t="s">
        <v>925</v>
      </c>
      <c r="C88" s="270">
        <v>50</v>
      </c>
      <c r="D88" s="170" t="s">
        <v>51</v>
      </c>
    </row>
    <row r="89" spans="1:11" x14ac:dyDescent="0.3">
      <c r="A89" s="270">
        <v>50285</v>
      </c>
      <c r="B89" s="270" t="s">
        <v>926</v>
      </c>
      <c r="C89" s="270">
        <v>50</v>
      </c>
      <c r="D89" s="170" t="s">
        <v>51</v>
      </c>
    </row>
    <row r="90" spans="1:11" x14ac:dyDescent="0.3">
      <c r="A90" s="270">
        <v>50296</v>
      </c>
      <c r="B90" s="270" t="s">
        <v>929</v>
      </c>
      <c r="C90" s="270">
        <v>50</v>
      </c>
      <c r="D90" s="170" t="s">
        <v>51</v>
      </c>
    </row>
    <row r="91" spans="1:11" x14ac:dyDescent="0.3">
      <c r="A91" s="270">
        <v>50297</v>
      </c>
      <c r="B91" s="270" t="s">
        <v>930</v>
      </c>
      <c r="C91" s="270">
        <v>50</v>
      </c>
      <c r="D91" s="170" t="s">
        <v>51</v>
      </c>
    </row>
    <row r="92" spans="1:11" x14ac:dyDescent="0.3">
      <c r="A92" s="270">
        <v>50305</v>
      </c>
      <c r="B92" s="928" t="s">
        <v>1531</v>
      </c>
      <c r="C92" s="270">
        <v>50</v>
      </c>
      <c r="D92" s="170" t="s">
        <v>51</v>
      </c>
      <c r="K92" s="928"/>
    </row>
    <row r="93" spans="1:11" x14ac:dyDescent="0.3">
      <c r="A93" s="270">
        <v>50479</v>
      </c>
      <c r="B93" s="270" t="s">
        <v>931</v>
      </c>
      <c r="C93" s="270">
        <v>50</v>
      </c>
      <c r="D93" s="170" t="s">
        <v>51</v>
      </c>
    </row>
    <row r="94" spans="1:11" x14ac:dyDescent="0.3">
      <c r="A94" s="270">
        <v>50307</v>
      </c>
      <c r="B94" s="270" t="s">
        <v>932</v>
      </c>
      <c r="C94" s="270">
        <v>50</v>
      </c>
      <c r="D94" s="170" t="s">
        <v>51</v>
      </c>
    </row>
    <row r="95" spans="1:11" x14ac:dyDescent="0.3">
      <c r="A95" s="270">
        <v>50310</v>
      </c>
      <c r="B95" s="270" t="s">
        <v>933</v>
      </c>
      <c r="C95" s="270">
        <v>50</v>
      </c>
      <c r="D95" s="170" t="s">
        <v>51</v>
      </c>
    </row>
    <row r="96" spans="1:11" x14ac:dyDescent="0.3">
      <c r="A96" s="270">
        <v>50311</v>
      </c>
      <c r="B96" s="270" t="s">
        <v>934</v>
      </c>
      <c r="C96" s="270">
        <v>50</v>
      </c>
      <c r="D96" s="170" t="s">
        <v>51</v>
      </c>
    </row>
    <row r="97" spans="1:11" x14ac:dyDescent="0.3">
      <c r="A97" s="270">
        <v>50314</v>
      </c>
      <c r="B97" s="270" t="s">
        <v>935</v>
      </c>
      <c r="C97" s="270">
        <v>50</v>
      </c>
      <c r="D97" s="170" t="s">
        <v>51</v>
      </c>
    </row>
    <row r="98" spans="1:11" x14ac:dyDescent="0.3">
      <c r="A98" s="270">
        <v>50316</v>
      </c>
      <c r="B98" s="270" t="s">
        <v>936</v>
      </c>
      <c r="C98" s="270">
        <v>50</v>
      </c>
      <c r="D98" s="170" t="s">
        <v>51</v>
      </c>
    </row>
    <row r="99" spans="1:11" x14ac:dyDescent="0.3">
      <c r="A99" s="270">
        <v>50318</v>
      </c>
      <c r="B99" s="270" t="s">
        <v>937</v>
      </c>
      <c r="C99" s="270">
        <v>50</v>
      </c>
      <c r="D99" s="170" t="s">
        <v>51</v>
      </c>
    </row>
    <row r="100" spans="1:11" x14ac:dyDescent="0.3">
      <c r="A100" s="270">
        <v>50323</v>
      </c>
      <c r="B100" s="270" t="s">
        <v>938</v>
      </c>
      <c r="C100" s="270">
        <v>50</v>
      </c>
      <c r="D100" s="170" t="s">
        <v>51</v>
      </c>
    </row>
    <row r="101" spans="1:11" x14ac:dyDescent="0.3">
      <c r="A101" s="270">
        <v>50321</v>
      </c>
      <c r="B101" s="270" t="s">
        <v>1532</v>
      </c>
      <c r="C101" s="270">
        <v>50</v>
      </c>
      <c r="D101" s="170" t="s">
        <v>51</v>
      </c>
    </row>
    <row r="102" spans="1:11" x14ac:dyDescent="0.3">
      <c r="A102" s="270">
        <v>50325</v>
      </c>
      <c r="B102" s="270" t="s">
        <v>939</v>
      </c>
      <c r="C102" s="270">
        <v>50</v>
      </c>
      <c r="D102" s="170" t="s">
        <v>51</v>
      </c>
    </row>
    <row r="103" spans="1:11" x14ac:dyDescent="0.3">
      <c r="A103" s="270">
        <v>50327</v>
      </c>
      <c r="B103" s="270" t="s">
        <v>940</v>
      </c>
      <c r="C103" s="270">
        <v>50</v>
      </c>
      <c r="D103" s="170" t="s">
        <v>51</v>
      </c>
    </row>
    <row r="104" spans="1:11" x14ac:dyDescent="0.3">
      <c r="A104" s="270">
        <v>50328</v>
      </c>
      <c r="B104" s="270" t="s">
        <v>697</v>
      </c>
      <c r="C104" s="270">
        <v>50</v>
      </c>
      <c r="D104" s="170" t="s">
        <v>51</v>
      </c>
    </row>
    <row r="105" spans="1:11" x14ac:dyDescent="0.3">
      <c r="A105" s="270">
        <v>50332</v>
      </c>
      <c r="B105" s="270" t="s">
        <v>941</v>
      </c>
      <c r="C105" s="270">
        <v>50</v>
      </c>
      <c r="D105" s="170" t="s">
        <v>51</v>
      </c>
    </row>
    <row r="106" spans="1:11" x14ac:dyDescent="0.3">
      <c r="A106" s="270">
        <v>50334</v>
      </c>
      <c r="B106" s="928" t="s">
        <v>1533</v>
      </c>
      <c r="C106" s="270">
        <v>50</v>
      </c>
      <c r="D106" s="170" t="s">
        <v>51</v>
      </c>
      <c r="K106" s="928"/>
    </row>
    <row r="107" spans="1:11" x14ac:dyDescent="0.3">
      <c r="A107" s="270">
        <v>50336</v>
      </c>
      <c r="B107" s="270" t="s">
        <v>1534</v>
      </c>
      <c r="C107" s="270">
        <v>50</v>
      </c>
      <c r="D107" s="170" t="s">
        <v>51</v>
      </c>
    </row>
    <row r="108" spans="1:11" x14ac:dyDescent="0.3">
      <c r="A108" s="270">
        <v>50337</v>
      </c>
      <c r="B108" s="928" t="s">
        <v>1535</v>
      </c>
      <c r="C108" s="270">
        <v>50</v>
      </c>
      <c r="D108" s="170" t="s">
        <v>51</v>
      </c>
      <c r="K108" s="928"/>
    </row>
    <row r="109" spans="1:11" x14ac:dyDescent="0.3">
      <c r="A109" s="270">
        <v>50338</v>
      </c>
      <c r="B109" s="928" t="s">
        <v>1536</v>
      </c>
      <c r="C109" s="270">
        <v>50</v>
      </c>
      <c r="D109" s="170" t="s">
        <v>51</v>
      </c>
      <c r="K109" s="928"/>
    </row>
    <row r="110" spans="1:11" x14ac:dyDescent="0.3">
      <c r="A110" s="270">
        <v>50340</v>
      </c>
      <c r="B110" s="270" t="s">
        <v>1537</v>
      </c>
      <c r="C110" s="270">
        <v>50</v>
      </c>
      <c r="D110" s="170" t="s">
        <v>51</v>
      </c>
    </row>
    <row r="111" spans="1:11" x14ac:dyDescent="0.3">
      <c r="A111" s="270">
        <v>50343</v>
      </c>
      <c r="B111" s="270" t="s">
        <v>942</v>
      </c>
      <c r="C111" s="270">
        <v>50</v>
      </c>
      <c r="D111" s="170" t="s">
        <v>51</v>
      </c>
    </row>
    <row r="112" spans="1:11" x14ac:dyDescent="0.3">
      <c r="A112" s="270">
        <v>50348</v>
      </c>
      <c r="B112" s="270" t="s">
        <v>944</v>
      </c>
      <c r="C112" s="270">
        <v>50</v>
      </c>
      <c r="D112" s="170" t="s">
        <v>51</v>
      </c>
    </row>
    <row r="113" spans="1:11" x14ac:dyDescent="0.3">
      <c r="A113" s="270">
        <v>50541</v>
      </c>
      <c r="B113" s="270" t="s">
        <v>945</v>
      </c>
      <c r="C113" s="270">
        <v>50</v>
      </c>
      <c r="D113" s="170" t="s">
        <v>51</v>
      </c>
    </row>
    <row r="114" spans="1:11" x14ac:dyDescent="0.3">
      <c r="A114" s="270">
        <v>50355</v>
      </c>
      <c r="B114" s="270" t="s">
        <v>946</v>
      </c>
      <c r="C114" s="270">
        <v>50</v>
      </c>
      <c r="D114" s="170" t="s">
        <v>51</v>
      </c>
    </row>
    <row r="115" spans="1:11" x14ac:dyDescent="0.3">
      <c r="A115" s="270">
        <v>50357</v>
      </c>
      <c r="B115" s="928" t="s">
        <v>1538</v>
      </c>
      <c r="C115" s="270">
        <v>50</v>
      </c>
      <c r="D115" s="170" t="s">
        <v>51</v>
      </c>
      <c r="K115" s="928"/>
    </row>
    <row r="116" spans="1:11" x14ac:dyDescent="0.3">
      <c r="A116" s="270">
        <v>50360</v>
      </c>
      <c r="B116" s="270" t="s">
        <v>947</v>
      </c>
      <c r="C116" s="270">
        <v>50</v>
      </c>
      <c r="D116" s="170" t="s">
        <v>51</v>
      </c>
    </row>
    <row r="117" spans="1:11" x14ac:dyDescent="0.3">
      <c r="A117" s="270">
        <v>50370</v>
      </c>
      <c r="B117" s="270" t="s">
        <v>948</v>
      </c>
      <c r="C117" s="270">
        <v>50</v>
      </c>
      <c r="D117" s="170" t="s">
        <v>51</v>
      </c>
    </row>
    <row r="118" spans="1:11" x14ac:dyDescent="0.3">
      <c r="A118" s="270">
        <v>50374</v>
      </c>
      <c r="B118" s="270" t="s">
        <v>1539</v>
      </c>
      <c r="C118" s="270">
        <v>50</v>
      </c>
      <c r="D118" s="170" t="s">
        <v>51</v>
      </c>
    </row>
    <row r="119" spans="1:11" x14ac:dyDescent="0.3">
      <c r="A119" s="270">
        <v>50483</v>
      </c>
      <c r="B119" s="270" t="s">
        <v>1540</v>
      </c>
      <c r="C119" s="270">
        <v>50</v>
      </c>
      <c r="D119" s="170" t="s">
        <v>51</v>
      </c>
    </row>
    <row r="120" spans="1:11" x14ac:dyDescent="0.3">
      <c r="A120" s="270">
        <v>50386</v>
      </c>
      <c r="B120" s="270" t="s">
        <v>1541</v>
      </c>
      <c r="C120" s="270">
        <v>50</v>
      </c>
      <c r="D120" s="170" t="s">
        <v>51</v>
      </c>
    </row>
    <row r="121" spans="1:11" x14ac:dyDescent="0.3">
      <c r="A121" s="270">
        <v>50389</v>
      </c>
      <c r="B121" s="270" t="s">
        <v>950</v>
      </c>
      <c r="C121" s="270">
        <v>50</v>
      </c>
      <c r="D121" s="170" t="s">
        <v>51</v>
      </c>
    </row>
    <row r="122" spans="1:11" x14ac:dyDescent="0.3">
      <c r="A122" s="270">
        <v>50500</v>
      </c>
      <c r="B122" s="270" t="s">
        <v>951</v>
      </c>
      <c r="C122" s="270">
        <v>50</v>
      </c>
      <c r="D122" s="170" t="s">
        <v>51</v>
      </c>
    </row>
    <row r="123" spans="1:11" x14ac:dyDescent="0.3">
      <c r="A123" s="270">
        <v>50390</v>
      </c>
      <c r="B123" s="928" t="s">
        <v>1542</v>
      </c>
      <c r="C123" s="270">
        <v>50</v>
      </c>
      <c r="D123" s="170" t="s">
        <v>51</v>
      </c>
      <c r="K123" s="928"/>
    </row>
    <row r="124" spans="1:11" x14ac:dyDescent="0.3">
      <c r="A124" s="270">
        <v>50396</v>
      </c>
      <c r="B124" s="270" t="s">
        <v>952</v>
      </c>
      <c r="C124" s="270">
        <v>50</v>
      </c>
      <c r="D124" s="170" t="s">
        <v>51</v>
      </c>
    </row>
    <row r="125" spans="1:11" x14ac:dyDescent="0.3">
      <c r="A125" s="270">
        <v>50399</v>
      </c>
      <c r="B125" s="270" t="s">
        <v>954</v>
      </c>
      <c r="C125" s="270">
        <v>50</v>
      </c>
      <c r="D125" s="170" t="s">
        <v>51</v>
      </c>
    </row>
    <row r="126" spans="1:11" x14ac:dyDescent="0.3">
      <c r="A126" s="270">
        <v>50401</v>
      </c>
      <c r="B126" s="270" t="s">
        <v>955</v>
      </c>
      <c r="C126" s="270">
        <v>50</v>
      </c>
      <c r="D126" s="170" t="s">
        <v>51</v>
      </c>
    </row>
    <row r="127" spans="1:11" x14ac:dyDescent="0.3">
      <c r="A127" s="270">
        <v>50402</v>
      </c>
      <c r="B127" s="928" t="s">
        <v>1543</v>
      </c>
      <c r="C127" s="270">
        <v>50</v>
      </c>
      <c r="D127" s="170" t="s">
        <v>51</v>
      </c>
      <c r="K127" s="928"/>
    </row>
    <row r="128" spans="1:11" x14ac:dyDescent="0.3">
      <c r="A128" s="270">
        <v>50486</v>
      </c>
      <c r="B128" s="270" t="s">
        <v>1544</v>
      </c>
      <c r="C128" s="270">
        <v>50</v>
      </c>
      <c r="D128" s="170" t="s">
        <v>51</v>
      </c>
    </row>
    <row r="129" spans="1:11" x14ac:dyDescent="0.3">
      <c r="A129" s="270">
        <v>50409</v>
      </c>
      <c r="B129" s="270" t="s">
        <v>1545</v>
      </c>
      <c r="C129" s="270">
        <v>50</v>
      </c>
      <c r="D129" s="170" t="s">
        <v>51</v>
      </c>
    </row>
    <row r="130" spans="1:11" x14ac:dyDescent="0.3">
      <c r="A130" s="270">
        <v>50420</v>
      </c>
      <c r="B130" s="270" t="s">
        <v>956</v>
      </c>
      <c r="C130" s="270">
        <v>50</v>
      </c>
      <c r="D130" s="170" t="s">
        <v>51</v>
      </c>
    </row>
    <row r="131" spans="1:11" x14ac:dyDescent="0.3">
      <c r="A131" s="270">
        <v>50421</v>
      </c>
      <c r="B131" s="928" t="s">
        <v>1546</v>
      </c>
      <c r="C131" s="270">
        <v>50</v>
      </c>
      <c r="D131" s="170" t="s">
        <v>51</v>
      </c>
      <c r="K131" s="928"/>
    </row>
    <row r="132" spans="1:11" x14ac:dyDescent="0.3">
      <c r="A132" s="270">
        <v>50423</v>
      </c>
      <c r="B132" s="270" t="s">
        <v>957</v>
      </c>
      <c r="C132" s="270">
        <v>50</v>
      </c>
      <c r="D132" s="170" t="s">
        <v>51</v>
      </c>
    </row>
    <row r="133" spans="1:11" x14ac:dyDescent="0.3">
      <c r="A133" s="270">
        <v>50432</v>
      </c>
      <c r="B133" s="928" t="s">
        <v>1547</v>
      </c>
      <c r="C133" s="270">
        <v>50</v>
      </c>
      <c r="D133" s="170" t="s">
        <v>51</v>
      </c>
      <c r="K133" s="928"/>
    </row>
    <row r="134" spans="1:11" x14ac:dyDescent="0.3">
      <c r="A134" s="270">
        <v>50499</v>
      </c>
      <c r="B134" s="928" t="s">
        <v>1548</v>
      </c>
      <c r="C134" s="270">
        <v>50</v>
      </c>
      <c r="D134" s="170" t="s">
        <v>51</v>
      </c>
      <c r="K134" s="928"/>
    </row>
    <row r="135" spans="1:11" x14ac:dyDescent="0.3">
      <c r="A135" s="270">
        <v>5103</v>
      </c>
      <c r="B135" s="270" t="s">
        <v>868</v>
      </c>
      <c r="C135" s="270">
        <v>51</v>
      </c>
      <c r="D135" s="170" t="s">
        <v>51</v>
      </c>
    </row>
    <row r="136" spans="1:11" x14ac:dyDescent="0.3">
      <c r="A136" s="270">
        <v>5107</v>
      </c>
      <c r="B136" s="270" t="s">
        <v>874</v>
      </c>
      <c r="C136" s="270">
        <v>51</v>
      </c>
      <c r="D136" s="170" t="s">
        <v>51</v>
      </c>
    </row>
    <row r="137" spans="1:11" x14ac:dyDescent="0.3">
      <c r="A137" s="270">
        <v>5116</v>
      </c>
      <c r="B137" s="928" t="s">
        <v>1549</v>
      </c>
      <c r="C137" s="270">
        <v>51</v>
      </c>
      <c r="D137" s="170" t="s">
        <v>51</v>
      </c>
      <c r="K137" s="928"/>
    </row>
    <row r="138" spans="1:11" x14ac:dyDescent="0.3">
      <c r="A138" s="270">
        <v>5119</v>
      </c>
      <c r="B138" s="928" t="s">
        <v>1550</v>
      </c>
      <c r="C138" s="270">
        <v>51</v>
      </c>
      <c r="D138" s="170" t="s">
        <v>51</v>
      </c>
      <c r="K138" s="928"/>
    </row>
    <row r="139" spans="1:11" x14ac:dyDescent="0.3">
      <c r="A139" s="270">
        <v>5123</v>
      </c>
      <c r="B139" s="270" t="s">
        <v>1551</v>
      </c>
      <c r="C139" s="270">
        <v>51</v>
      </c>
      <c r="D139" s="170" t="s">
        <v>51</v>
      </c>
    </row>
    <row r="140" spans="1:11" x14ac:dyDescent="0.3">
      <c r="A140" s="270">
        <v>5129</v>
      </c>
      <c r="B140" s="928" t="s">
        <v>1552</v>
      </c>
      <c r="C140" s="270">
        <v>51</v>
      </c>
      <c r="D140" s="170" t="s">
        <v>51</v>
      </c>
      <c r="K140" s="928"/>
    </row>
    <row r="141" spans="1:11" x14ac:dyDescent="0.3">
      <c r="A141" s="270">
        <v>5132</v>
      </c>
      <c r="B141" s="270" t="s">
        <v>891</v>
      </c>
      <c r="C141" s="270">
        <v>51</v>
      </c>
      <c r="D141" s="170" t="s">
        <v>51</v>
      </c>
    </row>
    <row r="142" spans="1:11" x14ac:dyDescent="0.3">
      <c r="A142" s="270">
        <v>5137</v>
      </c>
      <c r="B142" s="270" t="s">
        <v>1553</v>
      </c>
      <c r="C142" s="270">
        <v>51</v>
      </c>
      <c r="D142" s="170" t="s">
        <v>51</v>
      </c>
    </row>
    <row r="143" spans="1:11" x14ac:dyDescent="0.3">
      <c r="A143" s="270">
        <v>5147</v>
      </c>
      <c r="B143" s="270" t="s">
        <v>914</v>
      </c>
      <c r="C143" s="270">
        <v>51</v>
      </c>
      <c r="D143" s="170" t="s">
        <v>51</v>
      </c>
    </row>
    <row r="144" spans="1:11" x14ac:dyDescent="0.3">
      <c r="A144" s="270">
        <v>5156</v>
      </c>
      <c r="B144" s="270" t="s">
        <v>915</v>
      </c>
      <c r="C144" s="270">
        <v>51</v>
      </c>
      <c r="D144" s="170" t="s">
        <v>51</v>
      </c>
    </row>
    <row r="145" spans="1:11" x14ac:dyDescent="0.3">
      <c r="A145" s="270">
        <v>5157</v>
      </c>
      <c r="B145" s="270" t="s">
        <v>1554</v>
      </c>
      <c r="C145" s="270">
        <v>51</v>
      </c>
      <c r="D145" s="170" t="s">
        <v>51</v>
      </c>
    </row>
    <row r="146" spans="1:11" x14ac:dyDescent="0.3">
      <c r="A146" s="270">
        <v>5165</v>
      </c>
      <c r="B146" s="270" t="s">
        <v>924</v>
      </c>
      <c r="C146" s="270">
        <v>51</v>
      </c>
      <c r="D146" s="170" t="s">
        <v>51</v>
      </c>
    </row>
    <row r="147" spans="1:11" x14ac:dyDescent="0.3">
      <c r="A147" s="270">
        <v>5167</v>
      </c>
      <c r="B147" s="270" t="s">
        <v>927</v>
      </c>
      <c r="C147" s="270">
        <v>51</v>
      </c>
      <c r="D147" s="170" t="s">
        <v>51</v>
      </c>
    </row>
    <row r="148" spans="1:11" x14ac:dyDescent="0.3">
      <c r="A148" s="270">
        <v>5170</v>
      </c>
      <c r="B148" s="270" t="s">
        <v>928</v>
      </c>
      <c r="C148" s="270">
        <v>51</v>
      </c>
      <c r="D148" s="170" t="s">
        <v>51</v>
      </c>
    </row>
    <row r="149" spans="1:11" x14ac:dyDescent="0.3">
      <c r="A149" s="270">
        <v>5172</v>
      </c>
      <c r="B149" s="270" t="s">
        <v>1555</v>
      </c>
      <c r="C149" s="270">
        <v>51</v>
      </c>
      <c r="D149" s="170" t="s">
        <v>51</v>
      </c>
    </row>
    <row r="150" spans="1:11" x14ac:dyDescent="0.3">
      <c r="A150" s="270">
        <v>5182</v>
      </c>
      <c r="B150" s="270" t="s">
        <v>943</v>
      </c>
      <c r="C150" s="270">
        <v>51</v>
      </c>
      <c r="D150" s="170" t="s">
        <v>51</v>
      </c>
    </row>
    <row r="151" spans="1:11" x14ac:dyDescent="0.3">
      <c r="A151" s="270">
        <v>5188</v>
      </c>
      <c r="B151" s="270" t="s">
        <v>953</v>
      </c>
      <c r="C151" s="270">
        <v>51</v>
      </c>
      <c r="D151" s="170" t="s">
        <v>51</v>
      </c>
    </row>
    <row r="152" spans="1:11" x14ac:dyDescent="0.3">
      <c r="A152" s="270">
        <v>591706</v>
      </c>
      <c r="B152" s="929" t="s">
        <v>1556</v>
      </c>
      <c r="C152" s="270">
        <v>59</v>
      </c>
      <c r="D152" s="170" t="s">
        <v>51</v>
      </c>
      <c r="K152" s="929"/>
    </row>
    <row r="153" spans="1:11" x14ac:dyDescent="0.3">
      <c r="A153" s="270">
        <v>591612</v>
      </c>
      <c r="B153" s="929" t="s">
        <v>1557</v>
      </c>
      <c r="C153" s="270">
        <v>59</v>
      </c>
      <c r="D153" s="170" t="s">
        <v>51</v>
      </c>
      <c r="K153" s="929"/>
    </row>
    <row r="154" spans="1:11" x14ac:dyDescent="0.3">
      <c r="A154" s="270">
        <v>591604</v>
      </c>
      <c r="B154" s="270" t="s">
        <v>883</v>
      </c>
      <c r="C154" s="270">
        <v>59</v>
      </c>
      <c r="D154" s="170" t="s">
        <v>51</v>
      </c>
    </row>
    <row r="155" spans="1:11" x14ac:dyDescent="0.3">
      <c r="A155" s="270">
        <v>591632</v>
      </c>
      <c r="B155" s="928" t="s">
        <v>895</v>
      </c>
      <c r="C155" s="270">
        <v>59</v>
      </c>
      <c r="D155" s="170" t="s">
        <v>51</v>
      </c>
      <c r="K155" s="928"/>
    </row>
    <row r="156" spans="1:11" x14ac:dyDescent="0.3">
      <c r="A156" s="270">
        <v>591607</v>
      </c>
      <c r="B156" s="270" t="s">
        <v>900</v>
      </c>
      <c r="C156" s="270">
        <v>59</v>
      </c>
      <c r="D156" s="170" t="s">
        <v>51</v>
      </c>
    </row>
    <row r="157" spans="1:11" x14ac:dyDescent="0.3">
      <c r="A157" s="270">
        <v>591613</v>
      </c>
      <c r="B157" s="270" t="s">
        <v>1558</v>
      </c>
      <c r="C157" s="270">
        <v>59</v>
      </c>
      <c r="D157" s="170" t="s">
        <v>51</v>
      </c>
    </row>
    <row r="158" spans="1:11" x14ac:dyDescent="0.3">
      <c r="A158" s="270">
        <v>591616</v>
      </c>
      <c r="B158" s="928" t="s">
        <v>1559</v>
      </c>
      <c r="C158" s="270">
        <v>59</v>
      </c>
      <c r="D158" s="170" t="s">
        <v>51</v>
      </c>
      <c r="K158" s="928"/>
    </row>
    <row r="159" spans="1:11" x14ac:dyDescent="0.3">
      <c r="A159" s="270">
        <v>592368</v>
      </c>
      <c r="B159" s="270" t="s">
        <v>949</v>
      </c>
      <c r="C159" s="270">
        <v>59</v>
      </c>
      <c r="D159" s="170" t="s">
        <v>51</v>
      </c>
    </row>
    <row r="160" spans="1:11" x14ac:dyDescent="0.3">
      <c r="A160" s="270">
        <v>591633</v>
      </c>
      <c r="B160" s="928" t="s">
        <v>1560</v>
      </c>
      <c r="C160" s="270">
        <v>59</v>
      </c>
      <c r="D160" s="170" t="s">
        <v>51</v>
      </c>
      <c r="K160" s="928"/>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2021-08-02T19:05:23Z</cp:lastPrinted>
  <dcterms:created xsi:type="dcterms:W3CDTF">2011-03-11T21:05:05Z</dcterms:created>
  <dcterms:modified xsi:type="dcterms:W3CDTF">2022-09-16T16:48:41Z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