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mc:AlternateContent xmlns:mc="http://schemas.openxmlformats.org/markup-compatibility/2006">
    <mc:Choice Requires="x15">
      <x15ac:absPath xmlns:x15ac="http://schemas.microsoft.com/office/spreadsheetml/2010/11/ac" url="N:\FMS\Illustrative Financials\2025 Illustrated Financial Statements\City of Dogwood\Final for Website\"/>
    </mc:Choice>
  </mc:AlternateContent>
  <xr:revisionPtr revIDLastSave="0" documentId="13_ncr:1_{04790039-5207-4EC6-86B6-25349A2C4A85}" xr6:coauthVersionLast="47" xr6:coauthVersionMax="47" xr10:uidLastSave="{00000000-0000-0000-0000-000000000000}"/>
  <bookViews>
    <workbookView xWindow="-120" yWindow="-120" windowWidth="29040" windowHeight="17520" tabRatio="862" firstSheet="6" activeTab="14" xr2:uid="{F0CCA77B-FAA8-4023-9940-70BE64140258}"/>
  </bookViews>
  <sheets>
    <sheet name="1-GWNetPos" sheetId="48" r:id="rId1"/>
    <sheet name="2-GWStmtAct" sheetId="49" r:id="rId2"/>
    <sheet name="3-GASB34GovtFundsBS" sheetId="50" r:id="rId3"/>
    <sheet name="4-GASB34GovtFundsIS" sheetId="51" r:id="rId4"/>
    <sheet name="4-Recon Change Net Pos" sheetId="52" r:id="rId5"/>
    <sheet name="5-GASB34GovtFundsBudget" sheetId="6" r:id="rId6"/>
    <sheet name="6-Net Pos-Prop" sheetId="53" r:id="rId7"/>
    <sheet name="7-Rev, Exp-Prop" sheetId="54" r:id="rId8"/>
    <sheet name="8-Cash Flow-Prop" sheetId="55" r:id="rId9"/>
    <sheet name="RSI-SSA2" sheetId="11" state="hidden" r:id="rId10"/>
    <sheet name="RSI - LGERS1" sheetId="39" r:id="rId11"/>
    <sheet name="RSI - LGERS2" sheetId="41" r:id="rId12"/>
    <sheet name="RSI - SF1" sheetId="34" r:id="rId13"/>
    <sheet name="RSI - LEO 1" sheetId="56" r:id="rId14"/>
    <sheet name="RSI - LEO 2" sheetId="57" r:id="rId15"/>
    <sheet name="RSI - OPEB 1" sheetId="59" r:id="rId16"/>
    <sheet name="GFBud-Act" sheetId="13" r:id="rId17"/>
    <sheet name="Bud-Act Econ Dev in GF" sheetId="14" r:id="rId18"/>
    <sheet name="911-Fund" sheetId="30" r:id="rId19"/>
    <sheet name="CPBud-Act" sheetId="18" r:id="rId20"/>
    <sheet name="Comb BS-Nonmajor Govt" sheetId="15" r:id="rId21"/>
    <sheet name="Comb IS-Nonmajor Govt" sheetId="16" r:id="rId22"/>
    <sheet name="Bud-ActNon-MajorGovt" sheetId="17" r:id="rId23"/>
    <sheet name="SRFNon-Major Fines &amp; Forfeiture" sheetId="60" r:id="rId24"/>
    <sheet name="ElecFd-Bud-Act" sheetId="19" r:id="rId25"/>
    <sheet name="ElecStabFdBud-Act" sheetId="20" r:id="rId26"/>
    <sheet name="W&amp;SBud-Act" sheetId="21" r:id="rId27"/>
    <sheet name="W&amp;SCPBud-Act" sheetId="22" r:id="rId28"/>
    <sheet name="ISB-A" sheetId="23" r:id="rId29"/>
    <sheet name="AnalysisTaxLevy" sheetId="44" r:id="rId30"/>
    <sheet name="TaxesRec" sheetId="43" r:id="rId31"/>
    <sheet name="USDA-WSF SNP" sheetId="27" r:id="rId32"/>
    <sheet name="USDA-WSF SOA" sheetId="28" r:id="rId33"/>
    <sheet name="USDA-WSF SCF" sheetId="29" r:id="rId34"/>
    <sheet name="Major Fund Det" sheetId="31" r:id="rId35"/>
  </sheets>
  <externalReferences>
    <externalReference r:id="rId36"/>
    <externalReference r:id="rId37"/>
  </externalReferences>
  <definedNames>
    <definedName name="_Fill" localSheetId="15" hidden="1">#REF!</definedName>
    <definedName name="_Fill" hidden="1">#REF!</definedName>
    <definedName name="_xlnm.Print_Area" localSheetId="0">'1-GWNetPos'!$A$1:$H$80</definedName>
    <definedName name="_xlnm.Print_Area" localSheetId="1">'2-GWStmtAct'!$A$1:$P$48</definedName>
    <definedName name="_xlnm.Print_Area" localSheetId="2">'3-GASB34GovtFundsBS'!$A$1:$J$105</definedName>
    <definedName name="_xlnm.Print_Area" localSheetId="3">'4-GASB34GovtFundsIS'!$A$1:$J$55</definedName>
    <definedName name="_xlnm.Print_Area" localSheetId="4">'4-Recon Change Net Pos'!$A$1:$F$45</definedName>
    <definedName name="_xlnm.Print_Area" localSheetId="5">'5-GASB34GovtFundsBudget'!$A$1:$S$61</definedName>
    <definedName name="_xlnm.Print_Area" localSheetId="6">'6-Net Pos-Prop'!$A$1:$H$81</definedName>
    <definedName name="_xlnm.Print_Area" localSheetId="7">'7-Rev, Exp-Prop'!$A$1:$H$53</definedName>
    <definedName name="_xlnm.Print_Area" localSheetId="8">'8-Cash Flow-Prop'!$A$1:$H$84</definedName>
    <definedName name="_xlnm.Print_Area" localSheetId="18">'911-Fund'!$A$1:$J$52</definedName>
    <definedName name="_xlnm.Print_Area" localSheetId="29">AnalysisTaxLevy!$A$1:$L$41</definedName>
    <definedName name="_xlnm.Print_Area" localSheetId="17">'Bud-Act Econ Dev in GF'!$A$1:$F$39</definedName>
    <definedName name="_xlnm.Print_Area" localSheetId="22">'Bud-ActNon-MajorGovt'!$A$1:$M$43</definedName>
    <definedName name="_xlnm.Print_Area" localSheetId="20">'Comb BS-Nonmajor Govt'!$A$1:$H$34</definedName>
    <definedName name="_xlnm.Print_Area" localSheetId="21">'Comb IS-Nonmajor Govt'!$A$1:$H$45</definedName>
    <definedName name="_xlnm.Print_Area" localSheetId="19">'CPBud-Act'!$A$1:$M$45</definedName>
    <definedName name="_xlnm.Print_Area" localSheetId="24">'ElecFd-Bud-Act'!$A$1:$I$94</definedName>
    <definedName name="_xlnm.Print_Area" localSheetId="25">'ElecStabFdBud-Act'!$A$1:$L$31</definedName>
    <definedName name="_xlnm.Print_Area" localSheetId="16">'GFBud-Act'!$A$1:$I$221</definedName>
    <definedName name="_xlnm.Print_Area" localSheetId="28">'ISB-A'!$A$1:$I$47</definedName>
    <definedName name="_xlnm.Print_Area" localSheetId="34">'Major Fund Det'!$A$1:$O$36</definedName>
    <definedName name="_xlnm.Print_Area" localSheetId="13">'RSI - LEO 1'!$A$1:$J$29</definedName>
    <definedName name="_xlnm.Print_Area" localSheetId="14">'RSI - LEO 2'!$A$1:$K$24</definedName>
    <definedName name="_xlnm.Print_Area" localSheetId="10">'RSI - LGERS1'!$A$1:$AK$27</definedName>
    <definedName name="_xlnm.Print_Area" localSheetId="11">'RSI - LGERS2'!$A$1:$AK$38</definedName>
    <definedName name="_xlnm.Print_Area" localSheetId="15">'RSI - OPEB 1'!$A$1:$H$36</definedName>
    <definedName name="_xlnm.Print_Area" localSheetId="12">'RSI - SF1'!$A$1:$T$29</definedName>
    <definedName name="_xlnm.Print_Area" localSheetId="9">'RSI-SSA2'!$A$1:$N$47</definedName>
    <definedName name="_xlnm.Print_Area" localSheetId="30">TaxesRec!$A$1:$K$43</definedName>
    <definedName name="_xlnm.Print_Area" localSheetId="33">'USDA-WSF SCF'!$A$1:$F$73</definedName>
    <definedName name="_xlnm.Print_Area" localSheetId="31">'USDA-WSF SNP'!$A$1:$F$73</definedName>
    <definedName name="_xlnm.Print_Area" localSheetId="32">'USDA-WSF SOA'!$A$1:$F$43</definedName>
    <definedName name="_xlnm.Print_Area" localSheetId="26">'W&amp;SBud-Act'!$A$1:$I$174</definedName>
    <definedName name="_xlnm.Print_Area" localSheetId="27">'W&amp;SCPBud-Act'!$A$1:$M$53</definedName>
    <definedName name="_xlnm.Print_Titles" localSheetId="24">'ElecFd-Bud-Act'!$1:$7</definedName>
    <definedName name="_xlnm.Print_Titles" localSheetId="16">'GFBud-Act'!$1:$6</definedName>
    <definedName name="_xlnm.Print_Titles" localSheetId="26">'W&amp;SBud-Act'!$1:$6</definedName>
    <definedName name="Z_AB48C5D7_99F4_4378_A0F9_05018B348977_.wvu.PrintArea" localSheetId="18" hidden="1">'911-Fund'!$A$1:$J$43</definedName>
    <definedName name="Z_AB48C5D7_99F4_4378_A0F9_05018B348977_.wvu.PrintArea" localSheetId="29" hidden="1">AnalysisTaxLevy!$A$1:$L$49</definedName>
    <definedName name="Z_AB48C5D7_99F4_4378_A0F9_05018B348977_.wvu.PrintArea" localSheetId="20" hidden="1">'Comb BS-Nonmajor Govt'!$A$1:$J$45</definedName>
    <definedName name="Z_AB48C5D7_99F4_4378_A0F9_05018B348977_.wvu.PrintArea" localSheetId="21" hidden="1">'Comb IS-Nonmajor Govt'!$A$1:$K$46</definedName>
    <definedName name="Z_AB48C5D7_99F4_4378_A0F9_05018B348977_.wvu.PrintArea" localSheetId="16" hidden="1">'GFBud-Act'!$A$1:$I$221</definedName>
    <definedName name="Z_AB48C5D7_99F4_4378_A0F9_05018B348977_.wvu.PrintArea" localSheetId="34" hidden="1">'Major Fund Det'!$A$1:$O$36</definedName>
    <definedName name="Z_AB48C5D7_99F4_4378_A0F9_05018B348977_.wvu.PrintArea" localSheetId="9" hidden="1">'RSI-SSA2'!$A$1:$O$47</definedName>
    <definedName name="Z_AB48C5D7_99F4_4378_A0F9_05018B348977_.wvu.PrintArea" localSheetId="30" hidden="1">TaxesRec!$B$1:$L$56</definedName>
    <definedName name="Z_AB48C5D7_99F4_4378_A0F9_05018B348977_.wvu.PrintArea" localSheetId="33" hidden="1">'USDA-WSF SCF'!$A$1:$F$82</definedName>
    <definedName name="Z_AB48C5D7_99F4_4378_A0F9_05018B348977_.wvu.PrintArea" localSheetId="31" hidden="1">'USDA-WSF SNP'!$A$1:$F$82</definedName>
    <definedName name="Z_AB48C5D7_99F4_4378_A0F9_05018B348977_.wvu.PrintArea" localSheetId="32" hidden="1">'USDA-WSF SOA'!$A$1:$G$51</definedName>
    <definedName name="Z_AB48C5D7_99F4_4378_A0F9_05018B348977_.wvu.PrintArea" localSheetId="27" hidden="1">'W&amp;SCPBud-Act'!$A$1:$M$67</definedName>
    <definedName name="Z_AB48C5D7_99F4_4378_A0F9_05018B348977_.wvu.PrintTitles" localSheetId="5" hidden="1">'5-GASB34GovtFundsBudget'!$1:$6</definedName>
    <definedName name="Z_AB48C5D7_99F4_4378_A0F9_05018B348977_.wvu.PrintTitles" localSheetId="24" hidden="1">'ElecFd-Bud-Act'!$1:$5</definedName>
    <definedName name="Z_AB48C5D7_99F4_4378_A0F9_05018B348977_.wvu.PrintTitles" localSheetId="16" hidden="1">'GFBud-Act'!$1:$5</definedName>
    <definedName name="Z_AB48C5D7_99F4_4378_A0F9_05018B348977_.wvu.PrintTitles" localSheetId="33" hidden="1">'USDA-WSF SCF'!$1:$8</definedName>
    <definedName name="Z_AB48C5D7_99F4_4378_A0F9_05018B348977_.wvu.PrintTitles" localSheetId="26" hidden="1">'W&amp;SBud-Act'!$1:$5</definedName>
  </definedNames>
  <calcPr calcId="191029"/>
  <customWorkbookViews>
    <customWorkbookView name="Preeta Nayak - Personal View" guid="{AB48C5D7-99F4-4378-A0F9-05018B348977}" mergeInterval="0" personalView="1" maximized="1" windowWidth="1280" windowHeight="755" tabRatio="863" activeSheetId="2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4" l="1"/>
  <c r="D44" i="54"/>
  <c r="B44" i="54"/>
  <c r="F43" i="54" l="1"/>
  <c r="F42" i="54"/>
  <c r="F44" i="54" s="1"/>
  <c r="J45" i="49"/>
  <c r="L44" i="49"/>
  <c r="J44" i="49"/>
  <c r="N43" i="49"/>
  <c r="J20" i="43"/>
  <c r="H25" i="16" l="1"/>
  <c r="I210" i="13" l="1"/>
  <c r="J87" i="50" l="1"/>
  <c r="J81" i="50"/>
  <c r="D35" i="48"/>
  <c r="AK11" i="39" l="1"/>
  <c r="T12" i="34"/>
  <c r="T16" i="34" s="1"/>
  <c r="R12" i="34"/>
  <c r="R16" i="34" s="1"/>
  <c r="AK13" i="41"/>
  <c r="B12" i="49"/>
  <c r="B23" i="51"/>
  <c r="J34" i="50"/>
  <c r="B35" i="50"/>
  <c r="B73" i="48" l="1"/>
  <c r="B72" i="48"/>
  <c r="B71" i="48"/>
  <c r="B70" i="48"/>
  <c r="B47" i="48"/>
  <c r="B46" i="48"/>
  <c r="B43" i="48"/>
  <c r="B42" i="48"/>
  <c r="H16" i="49" l="1"/>
  <c r="F16" i="49"/>
  <c r="H15" i="49"/>
  <c r="F15" i="49"/>
  <c r="H14" i="49"/>
  <c r="F14" i="49"/>
  <c r="H13" i="49"/>
  <c r="F13" i="49"/>
  <c r="H12" i="49"/>
  <c r="F12" i="49"/>
  <c r="H11" i="49"/>
  <c r="F11" i="49"/>
  <c r="D16" i="49"/>
  <c r="D15" i="49"/>
  <c r="D14" i="49"/>
  <c r="D13" i="49"/>
  <c r="D12" i="49"/>
  <c r="D11" i="49"/>
  <c r="B17" i="49"/>
  <c r="J17" i="49" s="1"/>
  <c r="N17" i="49" s="1"/>
  <c r="B16" i="49"/>
  <c r="B15" i="49"/>
  <c r="B14" i="49"/>
  <c r="B13" i="49"/>
  <c r="B11" i="49"/>
  <c r="J16" i="49" l="1"/>
  <c r="N16" i="49" s="1"/>
  <c r="J13" i="49"/>
  <c r="N13" i="49" s="1"/>
  <c r="J14" i="49"/>
  <c r="N14" i="49" s="1"/>
  <c r="J15" i="49"/>
  <c r="N15" i="49" s="1"/>
  <c r="J11" i="49"/>
  <c r="N11" i="49" s="1"/>
  <c r="J12" i="49"/>
  <c r="N12" i="49" s="1"/>
  <c r="D36" i="48"/>
  <c r="B34" i="53" s="1"/>
  <c r="D71" i="53" l="1"/>
  <c r="B62" i="29" l="1"/>
  <c r="B38" i="29"/>
  <c r="F31" i="29"/>
  <c r="F40" i="27"/>
  <c r="F38" i="27"/>
  <c r="B37" i="27"/>
  <c r="B23" i="27"/>
  <c r="B25" i="27" s="1"/>
  <c r="D25" i="27"/>
  <c r="F24" i="27"/>
  <c r="G159" i="21"/>
  <c r="D39" i="28"/>
  <c r="B39" i="28"/>
  <c r="G14" i="21"/>
  <c r="G20" i="21"/>
  <c r="B22" i="51"/>
  <c r="H44" i="54" l="1"/>
  <c r="H23" i="54"/>
  <c r="F22" i="54"/>
  <c r="D31" i="54"/>
  <c r="E33" i="52"/>
  <c r="E14" i="52"/>
  <c r="E28" i="52"/>
  <c r="E34" i="52"/>
  <c r="E35" i="52"/>
  <c r="E30" i="52"/>
  <c r="E18" i="52"/>
  <c r="E17" i="52"/>
  <c r="J82" i="50"/>
  <c r="H90" i="50"/>
  <c r="B37" i="51" l="1"/>
  <c r="B16" i="51"/>
  <c r="H37" i="6"/>
  <c r="B10" i="51"/>
  <c r="G107" i="13"/>
  <c r="G13" i="13" l="1"/>
  <c r="D22" i="6"/>
  <c r="D15" i="44"/>
  <c r="H15" i="44" s="1"/>
  <c r="B41" i="51"/>
  <c r="J15" i="44" l="1"/>
  <c r="L15" i="44" s="1"/>
  <c r="B55" i="48"/>
  <c r="F41" i="53" l="1"/>
  <c r="D40" i="53"/>
  <c r="F44" i="48"/>
  <c r="F43" i="53"/>
  <c r="F23" i="6"/>
  <c r="E192" i="13"/>
  <c r="D28" i="6"/>
  <c r="D29" i="6"/>
  <c r="F28" i="6"/>
  <c r="F34" i="55"/>
  <c r="D72" i="55"/>
  <c r="D30" i="54"/>
  <c r="D41" i="55"/>
  <c r="B29" i="48" l="1"/>
  <c r="D21" i="49" l="1"/>
  <c r="F27" i="53"/>
  <c r="D26" i="53"/>
  <c r="B36" i="48" l="1"/>
  <c r="J83" i="50" s="1"/>
  <c r="B13" i="48" l="1"/>
  <c r="F29" i="48" l="1"/>
  <c r="B16" i="48" l="1"/>
  <c r="B17" i="48"/>
  <c r="B19" i="48" l="1"/>
  <c r="B21" i="48"/>
  <c r="B10" i="48"/>
  <c r="B12" i="48" l="1"/>
  <c r="B28" i="48" l="1"/>
  <c r="B27" i="48" l="1"/>
  <c r="B30" i="48" s="1"/>
  <c r="B18" i="48"/>
  <c r="F29" i="6" l="1"/>
  <c r="E191" i="13"/>
  <c r="B30" i="51"/>
  <c r="B29" i="51"/>
  <c r="B17" i="51" l="1"/>
  <c r="B27" i="31" l="1"/>
  <c r="D62" i="29"/>
  <c r="B54" i="29"/>
  <c r="B40" i="29"/>
  <c r="B30" i="29"/>
  <c r="B28" i="29"/>
  <c r="B27" i="28"/>
  <c r="B26" i="28"/>
  <c r="B29" i="28" s="1"/>
  <c r="F25" i="28"/>
  <c r="B19" i="28"/>
  <c r="B68" i="27"/>
  <c r="F64" i="27"/>
  <c r="F55" i="27"/>
  <c r="F42" i="27"/>
  <c r="F20" i="27"/>
  <c r="F12" i="27"/>
  <c r="F13" i="27"/>
  <c r="G160" i="21"/>
  <c r="G121" i="21"/>
  <c r="G31" i="21"/>
  <c r="G32" i="21" s="1"/>
  <c r="G154" i="21" l="1"/>
  <c r="G167" i="21" l="1"/>
  <c r="E31" i="13"/>
  <c r="G209" i="13"/>
  <c r="I209" i="13" s="1"/>
  <c r="G76" i="13"/>
  <c r="G90" i="13"/>
  <c r="G52" i="13"/>
  <c r="J40" i="6"/>
  <c r="J41" i="51"/>
  <c r="D31" i="55" l="1"/>
  <c r="D30" i="55"/>
  <c r="D62" i="55"/>
  <c r="D43" i="55"/>
  <c r="D33" i="55"/>
  <c r="AI11" i="39" l="1"/>
  <c r="P12" i="34"/>
  <c r="P16" i="34" s="1"/>
  <c r="AI13" i="41"/>
  <c r="R13" i="41"/>
  <c r="D25" i="53"/>
  <c r="D28" i="53" s="1"/>
  <c r="D11" i="53"/>
  <c r="D23" i="54"/>
  <c r="G122" i="21"/>
  <c r="G123" i="21" s="1"/>
  <c r="E122" i="21"/>
  <c r="E121" i="21"/>
  <c r="I121" i="21" s="1"/>
  <c r="J73" i="53"/>
  <c r="I31" i="21" l="1"/>
  <c r="D16" i="54" l="1"/>
  <c r="F15" i="53"/>
  <c r="D13" i="48" s="1"/>
  <c r="F67" i="53" l="1"/>
  <c r="D61" i="48" s="1"/>
  <c r="D33" i="54" l="1"/>
  <c r="F56" i="53"/>
  <c r="F45" i="53"/>
  <c r="F23" i="53"/>
  <c r="D25" i="48" s="1"/>
  <c r="F14" i="53"/>
  <c r="D15" i="48" s="1"/>
  <c r="F15" i="48" s="1"/>
  <c r="B20" i="50"/>
  <c r="J20" i="50" s="1"/>
  <c r="J15" i="50"/>
  <c r="F13" i="48"/>
  <c r="B25" i="48"/>
  <c r="B31" i="48" s="1"/>
  <c r="B25" i="50"/>
  <c r="B28" i="50" s="1"/>
  <c r="G117" i="13"/>
  <c r="G217" i="13"/>
  <c r="G219" i="13" s="1"/>
  <c r="G57" i="13"/>
  <c r="I211" i="13"/>
  <c r="G50" i="13"/>
  <c r="I50" i="13" s="1"/>
  <c r="H16" i="6"/>
  <c r="H49" i="6"/>
  <c r="B46" i="51"/>
  <c r="J46" i="51" s="1"/>
  <c r="J17" i="51"/>
  <c r="B46" i="50"/>
  <c r="J36" i="49"/>
  <c r="N36" i="49" s="1"/>
  <c r="B15" i="51"/>
  <c r="J15" i="51" s="1"/>
  <c r="E13" i="52"/>
  <c r="F16" i="52" s="1"/>
  <c r="B49" i="51"/>
  <c r="F19" i="52"/>
  <c r="H73" i="50"/>
  <c r="J76" i="50" s="1"/>
  <c r="J10" i="50"/>
  <c r="J40" i="50"/>
  <c r="J32" i="50"/>
  <c r="F61" i="48"/>
  <c r="F73" i="48"/>
  <c r="P44" i="49"/>
  <c r="J47" i="50"/>
  <c r="K15" i="31"/>
  <c r="E15" i="31"/>
  <c r="H15" i="15"/>
  <c r="H16" i="15" s="1"/>
  <c r="H14" i="15"/>
  <c r="H13" i="15"/>
  <c r="D21" i="15"/>
  <c r="F21" i="15"/>
  <c r="B21" i="15"/>
  <c r="H20" i="15"/>
  <c r="D26" i="15"/>
  <c r="F26" i="15"/>
  <c r="B26" i="15"/>
  <c r="H25" i="15"/>
  <c r="D16" i="15"/>
  <c r="B15" i="31" s="1"/>
  <c r="H15" i="16"/>
  <c r="H14" i="16"/>
  <c r="H13" i="16"/>
  <c r="D21" i="16"/>
  <c r="F21" i="16"/>
  <c r="B21" i="16"/>
  <c r="H19" i="16"/>
  <c r="H21" i="16" s="1"/>
  <c r="D16" i="16"/>
  <c r="H15" i="31" s="1"/>
  <c r="G21" i="60"/>
  <c r="E21" i="60"/>
  <c r="I20" i="60"/>
  <c r="I21" i="60" s="1"/>
  <c r="G15" i="60"/>
  <c r="E15" i="60"/>
  <c r="I14" i="60"/>
  <c r="I15" i="60" s="1"/>
  <c r="H16" i="59"/>
  <c r="H18" i="59" s="1"/>
  <c r="H21" i="59" s="1"/>
  <c r="J9" i="56"/>
  <c r="J16" i="56" s="1"/>
  <c r="J9" i="57" s="1"/>
  <c r="J11" i="57" s="1"/>
  <c r="N12" i="34"/>
  <c r="N16" i="34" s="1"/>
  <c r="P13" i="41"/>
  <c r="P11" i="39"/>
  <c r="D16" i="59"/>
  <c r="D18" i="59" s="1"/>
  <c r="D21" i="59" s="1"/>
  <c r="D10" i="57"/>
  <c r="B10" i="57" s="1"/>
  <c r="F8" i="56"/>
  <c r="F14" i="56"/>
  <c r="F13" i="56"/>
  <c r="F12" i="56"/>
  <c r="F10" i="56"/>
  <c r="F9" i="56"/>
  <c r="J12" i="34"/>
  <c r="J16" i="34" s="1"/>
  <c r="L10" i="39"/>
  <c r="L11" i="39" s="1"/>
  <c r="J10" i="39"/>
  <c r="J11" i="39" s="1"/>
  <c r="H10" i="39"/>
  <c r="H11" i="39" s="1"/>
  <c r="J9" i="41"/>
  <c r="J10" i="41" s="1"/>
  <c r="G114" i="13"/>
  <c r="B14" i="56"/>
  <c r="B13" i="56"/>
  <c r="B12" i="56"/>
  <c r="B11" i="56"/>
  <c r="B10" i="56"/>
  <c r="B9" i="56"/>
  <c r="B62" i="48"/>
  <c r="B53" i="48"/>
  <c r="B35" i="48"/>
  <c r="G22" i="23"/>
  <c r="I22" i="23" s="1"/>
  <c r="G20" i="23"/>
  <c r="G25" i="23" s="1"/>
  <c r="E108" i="21"/>
  <c r="E85" i="21"/>
  <c r="E17" i="21"/>
  <c r="E22" i="21"/>
  <c r="I26" i="21"/>
  <c r="I24" i="21"/>
  <c r="E45" i="21"/>
  <c r="G37" i="21"/>
  <c r="E17" i="19"/>
  <c r="E20" i="19" s="1"/>
  <c r="E24" i="19" s="1"/>
  <c r="E51" i="19"/>
  <c r="I51" i="19" s="1"/>
  <c r="E41" i="19"/>
  <c r="E33" i="19"/>
  <c r="G28" i="19"/>
  <c r="G72" i="13"/>
  <c r="B16" i="59"/>
  <c r="B18" i="59" s="1"/>
  <c r="B21" i="59" s="1"/>
  <c r="B12" i="34"/>
  <c r="B16" i="34" s="1"/>
  <c r="F10" i="39"/>
  <c r="F11" i="39" s="1"/>
  <c r="D10" i="39"/>
  <c r="D11" i="39" s="1"/>
  <c r="B12" i="41"/>
  <c r="B10" i="41"/>
  <c r="B72" i="55"/>
  <c r="F72" i="55" s="1"/>
  <c r="H71" i="55"/>
  <c r="G37" i="23" s="1"/>
  <c r="D71" i="55"/>
  <c r="D61" i="29" s="1"/>
  <c r="H70" i="55"/>
  <c r="G36" i="23" s="1"/>
  <c r="D70" i="55"/>
  <c r="G161" i="21" s="1"/>
  <c r="B68" i="55"/>
  <c r="G83" i="19"/>
  <c r="B71" i="55"/>
  <c r="G85" i="19" s="1"/>
  <c r="B70" i="55"/>
  <c r="H68" i="55"/>
  <c r="G35" i="23" s="1"/>
  <c r="D68" i="55"/>
  <c r="D59" i="29" s="1"/>
  <c r="H15" i="55"/>
  <c r="D15" i="55"/>
  <c r="B15" i="55"/>
  <c r="B19" i="55" s="1"/>
  <c r="B16" i="54"/>
  <c r="F16" i="54" s="1"/>
  <c r="H22" i="54"/>
  <c r="H33" i="53"/>
  <c r="B52" i="48"/>
  <c r="B11" i="53"/>
  <c r="H11" i="53"/>
  <c r="H20" i="53" s="1"/>
  <c r="D62" i="48"/>
  <c r="B65" i="53" s="1"/>
  <c r="D52" i="48"/>
  <c r="B57" i="53" s="1"/>
  <c r="G82" i="19"/>
  <c r="G89" i="19"/>
  <c r="G34" i="23"/>
  <c r="G13" i="23"/>
  <c r="G17" i="23" s="1"/>
  <c r="G27" i="23" s="1"/>
  <c r="K13" i="31"/>
  <c r="E14" i="31"/>
  <c r="K14" i="31"/>
  <c r="A4" i="29"/>
  <c r="A47" i="29" s="1"/>
  <c r="F11" i="29"/>
  <c r="F13" i="29"/>
  <c r="F14" i="29"/>
  <c r="F15" i="29"/>
  <c r="F19" i="29"/>
  <c r="B20" i="29"/>
  <c r="B23" i="29" s="1"/>
  <c r="D20" i="29"/>
  <c r="D23" i="29" s="1"/>
  <c r="F21" i="29"/>
  <c r="F22" i="29"/>
  <c r="F26" i="29"/>
  <c r="F27" i="29"/>
  <c r="F28" i="29"/>
  <c r="F29" i="29"/>
  <c r="F30" i="29"/>
  <c r="F32" i="29"/>
  <c r="F33" i="29"/>
  <c r="F34" i="29"/>
  <c r="B35" i="29"/>
  <c r="D35" i="29"/>
  <c r="F38" i="29"/>
  <c r="D40" i="29"/>
  <c r="F40" i="29" s="1"/>
  <c r="F54" i="29"/>
  <c r="F55" i="29"/>
  <c r="B56" i="29"/>
  <c r="D56" i="29"/>
  <c r="F57" i="29"/>
  <c r="B58" i="29"/>
  <c r="F58" i="29" s="1"/>
  <c r="F62" i="29"/>
  <c r="F63" i="29"/>
  <c r="B64" i="29"/>
  <c r="D64" i="29"/>
  <c r="A4" i="28"/>
  <c r="F10" i="28"/>
  <c r="F11" i="28"/>
  <c r="B17" i="28"/>
  <c r="F17" i="28" s="1"/>
  <c r="D18" i="28"/>
  <c r="F18" i="28" s="1"/>
  <c r="F19" i="28"/>
  <c r="F26" i="28"/>
  <c r="F27" i="28"/>
  <c r="F28" i="28"/>
  <c r="D29" i="28"/>
  <c r="F32" i="28"/>
  <c r="F33" i="28"/>
  <c r="F34" i="28"/>
  <c r="F35" i="28"/>
  <c r="F10" i="27"/>
  <c r="F11" i="27"/>
  <c r="F14" i="27"/>
  <c r="F15" i="27"/>
  <c r="B16" i="27"/>
  <c r="D16" i="27"/>
  <c r="F22" i="27"/>
  <c r="F23" i="27"/>
  <c r="F25" i="27" s="1"/>
  <c r="B26" i="27"/>
  <c r="D26" i="27"/>
  <c r="B32" i="27"/>
  <c r="D32" i="27" s="1"/>
  <c r="F32" i="27" s="1"/>
  <c r="F37" i="27"/>
  <c r="F41" i="27"/>
  <c r="B43" i="27"/>
  <c r="D43" i="27"/>
  <c r="F44" i="27"/>
  <c r="F46" i="27"/>
  <c r="F47" i="27"/>
  <c r="B52" i="27"/>
  <c r="D52" i="27"/>
  <c r="F54" i="27"/>
  <c r="B57" i="27"/>
  <c r="D57" i="27"/>
  <c r="F58" i="27"/>
  <c r="D68" i="27"/>
  <c r="B69" i="27"/>
  <c r="D69" i="27"/>
  <c r="L22" i="44"/>
  <c r="H17" i="44"/>
  <c r="J17" i="44"/>
  <c r="J22" i="44" s="1"/>
  <c r="J28" i="44" s="1"/>
  <c r="D20" i="44"/>
  <c r="H24" i="44"/>
  <c r="J11" i="43" s="1"/>
  <c r="A4" i="27"/>
  <c r="D12" i="43"/>
  <c r="J12" i="43" s="1"/>
  <c r="D13" i="43"/>
  <c r="J13" i="43" s="1"/>
  <c r="D14" i="43"/>
  <c r="H14" i="43"/>
  <c r="D15" i="43"/>
  <c r="H15" i="43"/>
  <c r="J15" i="43" s="1"/>
  <c r="D16" i="43"/>
  <c r="J16" i="43" s="1"/>
  <c r="D17" i="43"/>
  <c r="J17" i="43" s="1"/>
  <c r="J18" i="43"/>
  <c r="J19" i="43"/>
  <c r="J25" i="43"/>
  <c r="J36" i="43"/>
  <c r="J37" i="43" s="1"/>
  <c r="A4" i="23"/>
  <c r="E13" i="23"/>
  <c r="I13" i="23" s="1"/>
  <c r="I16" i="23"/>
  <c r="E20" i="23"/>
  <c r="I20" i="23" s="1"/>
  <c r="I21" i="23"/>
  <c r="E24" i="23"/>
  <c r="I24" i="23" s="1"/>
  <c r="K15" i="22"/>
  <c r="M15" i="22" s="1"/>
  <c r="K16" i="22"/>
  <c r="M16" i="22" s="1"/>
  <c r="K17" i="22"/>
  <c r="M17" i="22" s="1"/>
  <c r="E18" i="22"/>
  <c r="G18" i="22"/>
  <c r="I18" i="22"/>
  <c r="K22" i="22"/>
  <c r="K23" i="22"/>
  <c r="M23" i="22" s="1"/>
  <c r="K24" i="22"/>
  <c r="K25" i="22"/>
  <c r="M25" i="22" s="1"/>
  <c r="E26" i="22"/>
  <c r="G26" i="22"/>
  <c r="I26" i="22"/>
  <c r="K30" i="22"/>
  <c r="M30" i="22" s="1"/>
  <c r="K31" i="22"/>
  <c r="K32" i="22" s="1"/>
  <c r="M31" i="22"/>
  <c r="E32" i="22"/>
  <c r="E39" i="22" s="1"/>
  <c r="G32" i="22"/>
  <c r="I32" i="22"/>
  <c r="I39" i="22" s="1"/>
  <c r="K35" i="22"/>
  <c r="K36" i="22"/>
  <c r="K37" i="22"/>
  <c r="E38" i="22"/>
  <c r="G38" i="22"/>
  <c r="I38" i="22"/>
  <c r="M38" i="22"/>
  <c r="E45" i="22"/>
  <c r="E48" i="22" s="1"/>
  <c r="K45" i="22"/>
  <c r="K48" i="22" s="1"/>
  <c r="M46" i="22"/>
  <c r="G48" i="22"/>
  <c r="I48" i="22"/>
  <c r="J48" i="22"/>
  <c r="L48" i="22"/>
  <c r="A5" i="21"/>
  <c r="G15" i="21"/>
  <c r="G21" i="21"/>
  <c r="G42" i="21"/>
  <c r="G48" i="21"/>
  <c r="G54" i="21" s="1"/>
  <c r="E54" i="21"/>
  <c r="G63" i="21"/>
  <c r="G69" i="21" s="1"/>
  <c r="E69" i="21"/>
  <c r="G72" i="21"/>
  <c r="G77" i="21" s="1"/>
  <c r="E77" i="21"/>
  <c r="G80" i="21"/>
  <c r="G85" i="21" s="1"/>
  <c r="G91" i="21"/>
  <c r="G95" i="21" s="1"/>
  <c r="E95" i="21"/>
  <c r="G103" i="21"/>
  <c r="G108" i="21" s="1"/>
  <c r="G111" i="21"/>
  <c r="G115" i="21" s="1"/>
  <c r="E115" i="21"/>
  <c r="E133" i="21"/>
  <c r="G133" i="21"/>
  <c r="F136" i="21"/>
  <c r="H136" i="21"/>
  <c r="E143" i="21"/>
  <c r="G143" i="21"/>
  <c r="I143" i="21"/>
  <c r="G155" i="21"/>
  <c r="A4" i="20"/>
  <c r="J12" i="20"/>
  <c r="L12" i="20" s="1"/>
  <c r="J16" i="20"/>
  <c r="J20" i="20" s="1"/>
  <c r="L18" i="20"/>
  <c r="D20" i="20"/>
  <c r="D23" i="20" s="1"/>
  <c r="F20" i="20"/>
  <c r="F23" i="20" s="1"/>
  <c r="H20" i="20"/>
  <c r="A5" i="19"/>
  <c r="G14" i="19"/>
  <c r="G17" i="19" s="1"/>
  <c r="G20" i="19" s="1"/>
  <c r="G24" i="19" s="1"/>
  <c r="G31" i="19"/>
  <c r="G41" i="19"/>
  <c r="F49" i="19"/>
  <c r="G49" i="19"/>
  <c r="I49" i="19" s="1"/>
  <c r="H49" i="19"/>
  <c r="I61" i="19"/>
  <c r="I68" i="19"/>
  <c r="I69" i="19"/>
  <c r="E70" i="19"/>
  <c r="G70" i="19"/>
  <c r="A5" i="18"/>
  <c r="A4" i="22" s="1"/>
  <c r="M15" i="18"/>
  <c r="M16" i="18"/>
  <c r="E17" i="18"/>
  <c r="G17" i="18"/>
  <c r="I17" i="18"/>
  <c r="K17" i="18"/>
  <c r="M21" i="18"/>
  <c r="M25" i="18"/>
  <c r="E26" i="18"/>
  <c r="G26" i="18"/>
  <c r="I26" i="18"/>
  <c r="K26" i="18"/>
  <c r="M33" i="18"/>
  <c r="M35" i="18"/>
  <c r="E36" i="18"/>
  <c r="E38" i="18" s="1"/>
  <c r="G36" i="18"/>
  <c r="G38" i="18" s="1"/>
  <c r="I36" i="18"/>
  <c r="I38" i="18" s="1"/>
  <c r="K36" i="18"/>
  <c r="K38" i="18" s="1"/>
  <c r="K15" i="17"/>
  <c r="M15" i="17" s="1"/>
  <c r="K20" i="17"/>
  <c r="M20" i="17" s="1"/>
  <c r="K21" i="17"/>
  <c r="M21" i="17" s="1"/>
  <c r="G22" i="17"/>
  <c r="G25" i="17" s="1"/>
  <c r="G27" i="17" s="1"/>
  <c r="I22" i="17"/>
  <c r="I25" i="17" s="1"/>
  <c r="I27" i="17" s="1"/>
  <c r="I30" i="17" s="1"/>
  <c r="K23" i="17"/>
  <c r="M23" i="17" s="1"/>
  <c r="K24" i="17"/>
  <c r="M24" i="17" s="1"/>
  <c r="E25" i="17"/>
  <c r="E27" i="17" s="1"/>
  <c r="A4" i="16"/>
  <c r="B16" i="16"/>
  <c r="H14" i="31" s="1"/>
  <c r="F16" i="16"/>
  <c r="H16" i="31" s="1"/>
  <c r="B16" i="15"/>
  <c r="B14" i="31" s="1"/>
  <c r="F16" i="15"/>
  <c r="B16" i="31" s="1"/>
  <c r="H19" i="15"/>
  <c r="H21" i="15" s="1"/>
  <c r="H24" i="15"/>
  <c r="A5" i="30"/>
  <c r="H13" i="30"/>
  <c r="H14" i="30"/>
  <c r="D15" i="30"/>
  <c r="F15" i="30"/>
  <c r="H19" i="30"/>
  <c r="H20" i="30"/>
  <c r="H21" i="30"/>
  <c r="H22" i="30"/>
  <c r="F23" i="30"/>
  <c r="H23" i="30" s="1"/>
  <c r="H24" i="30"/>
  <c r="H25" i="30"/>
  <c r="H26" i="30"/>
  <c r="D27" i="30"/>
  <c r="H32" i="30"/>
  <c r="H34" i="30"/>
  <c r="B5" i="14"/>
  <c r="F13" i="14"/>
  <c r="B15" i="14"/>
  <c r="B20" i="14" s="1"/>
  <c r="B25" i="14" s="1"/>
  <c r="D15" i="14"/>
  <c r="F18" i="14"/>
  <c r="F23" i="14"/>
  <c r="D27" i="14"/>
  <c r="A5" i="13"/>
  <c r="G14" i="13"/>
  <c r="G15" i="13" s="1"/>
  <c r="I15" i="13" s="1"/>
  <c r="G18" i="13"/>
  <c r="G20" i="13" s="1"/>
  <c r="E20" i="13"/>
  <c r="G23" i="13"/>
  <c r="G24" i="13"/>
  <c r="G25" i="13"/>
  <c r="G26" i="13"/>
  <c r="G27" i="13"/>
  <c r="G28" i="13"/>
  <c r="G34" i="13"/>
  <c r="G35" i="13"/>
  <c r="G37" i="13"/>
  <c r="G38" i="13"/>
  <c r="E39" i="13"/>
  <c r="G42" i="13"/>
  <c r="G43" i="13"/>
  <c r="G44" i="13"/>
  <c r="E45" i="13"/>
  <c r="I52" i="13"/>
  <c r="G75" i="13"/>
  <c r="G81" i="13"/>
  <c r="G85" i="13" s="1"/>
  <c r="G88" i="13"/>
  <c r="G92" i="13" s="1"/>
  <c r="G95" i="13"/>
  <c r="G98" i="13" s="1"/>
  <c r="G104" i="13"/>
  <c r="G106" i="13"/>
  <c r="G116" i="13"/>
  <c r="G132" i="13"/>
  <c r="G139" i="13"/>
  <c r="E143" i="13"/>
  <c r="G147" i="13"/>
  <c r="G150" i="13"/>
  <c r="G152" i="13"/>
  <c r="G164" i="13"/>
  <c r="G169" i="13" s="1"/>
  <c r="I169" i="13" s="1"/>
  <c r="G173" i="13"/>
  <c r="G175" i="13"/>
  <c r="G176" i="13"/>
  <c r="I195" i="13"/>
  <c r="F198" i="13"/>
  <c r="E212" i="13"/>
  <c r="G202" i="13"/>
  <c r="I204" i="13"/>
  <c r="I205" i="13"/>
  <c r="I206" i="13"/>
  <c r="I207" i="13"/>
  <c r="F16" i="59"/>
  <c r="F18" i="59" s="1"/>
  <c r="F21" i="59" s="1"/>
  <c r="D9" i="56"/>
  <c r="D10" i="56"/>
  <c r="D11" i="56"/>
  <c r="D12" i="56"/>
  <c r="D13" i="56"/>
  <c r="H13" i="56"/>
  <c r="H16" i="56" s="1"/>
  <c r="H9" i="57" s="1"/>
  <c r="H11" i="57" s="1"/>
  <c r="D14" i="56"/>
  <c r="H11" i="34"/>
  <c r="H12" i="34" s="1"/>
  <c r="H16" i="34" s="1"/>
  <c r="D12" i="34"/>
  <c r="D16" i="34" s="1"/>
  <c r="F12" i="34"/>
  <c r="F16" i="34" s="1"/>
  <c r="L12" i="34"/>
  <c r="L16" i="34" s="1"/>
  <c r="H9" i="41"/>
  <c r="H10" i="41" s="1"/>
  <c r="D10" i="41"/>
  <c r="F10" i="41"/>
  <c r="L10" i="41"/>
  <c r="T10" i="41"/>
  <c r="V10" i="41"/>
  <c r="X10" i="41"/>
  <c r="Z10" i="41"/>
  <c r="AB10" i="41"/>
  <c r="AD10" i="41"/>
  <c r="AF10" i="41"/>
  <c r="D12" i="41"/>
  <c r="B10" i="39" s="1"/>
  <c r="B11" i="39" s="1"/>
  <c r="F13" i="41"/>
  <c r="L13" i="41"/>
  <c r="T13" i="41"/>
  <c r="V13" i="41"/>
  <c r="X13" i="41"/>
  <c r="Z13" i="41"/>
  <c r="AB13" i="41"/>
  <c r="AD13" i="41"/>
  <c r="AF13" i="41"/>
  <c r="N11" i="39"/>
  <c r="A53" i="55"/>
  <c r="D13" i="55"/>
  <c r="H13" i="55"/>
  <c r="F14" i="55"/>
  <c r="F16" i="55"/>
  <c r="F17" i="55"/>
  <c r="F18" i="55"/>
  <c r="F22" i="55"/>
  <c r="F23" i="55"/>
  <c r="F24" i="55"/>
  <c r="F25" i="55"/>
  <c r="B26" i="55"/>
  <c r="D26" i="55"/>
  <c r="H26" i="55"/>
  <c r="F29" i="55"/>
  <c r="F30" i="55"/>
  <c r="F31" i="55"/>
  <c r="F32" i="55"/>
  <c r="F33" i="55"/>
  <c r="F35" i="55"/>
  <c r="F36" i="55"/>
  <c r="F37" i="55"/>
  <c r="B38" i="55"/>
  <c r="H38" i="55"/>
  <c r="F41" i="55"/>
  <c r="B43" i="55"/>
  <c r="F43" i="55" s="1"/>
  <c r="F62" i="55"/>
  <c r="F64" i="55"/>
  <c r="F65" i="55"/>
  <c r="D66" i="55"/>
  <c r="F66" i="55" s="1"/>
  <c r="H66" i="55"/>
  <c r="F67" i="55"/>
  <c r="B69" i="55"/>
  <c r="G86" i="19" s="1"/>
  <c r="D69" i="55"/>
  <c r="B65" i="29" s="1"/>
  <c r="H69" i="55"/>
  <c r="G38" i="23" s="1"/>
  <c r="B73" i="55"/>
  <c r="D73" i="55"/>
  <c r="F74" i="55"/>
  <c r="H74" i="55"/>
  <c r="B75" i="55"/>
  <c r="G87" i="19" s="1"/>
  <c r="D75" i="55"/>
  <c r="G165" i="21" s="1"/>
  <c r="H75" i="55"/>
  <c r="G39" i="23" s="1"/>
  <c r="B76" i="55"/>
  <c r="G88" i="19" s="1"/>
  <c r="D76" i="55"/>
  <c r="B67" i="29" s="1"/>
  <c r="H76" i="55"/>
  <c r="G40" i="23" s="1"/>
  <c r="F77" i="55"/>
  <c r="D10" i="54"/>
  <c r="H10" i="54"/>
  <c r="H13" i="54" s="1"/>
  <c r="F11" i="54"/>
  <c r="F12" i="54"/>
  <c r="B13" i="54"/>
  <c r="B15" i="28"/>
  <c r="D17" i="54"/>
  <c r="B16" i="28" s="1"/>
  <c r="B18" i="54"/>
  <c r="F18" i="54" s="1"/>
  <c r="F19" i="54"/>
  <c r="D20" i="54"/>
  <c r="F20" i="54" s="1"/>
  <c r="D21" i="54"/>
  <c r="F23" i="54"/>
  <c r="F29" i="54"/>
  <c r="F31" i="54"/>
  <c r="F32" i="54"/>
  <c r="B33" i="54"/>
  <c r="H33" i="54"/>
  <c r="D37" i="54"/>
  <c r="F37" i="54"/>
  <c r="F38" i="54"/>
  <c r="F39" i="54"/>
  <c r="F40" i="54"/>
  <c r="A1" i="53"/>
  <c r="B12" i="53"/>
  <c r="D12" i="53"/>
  <c r="F13" i="53"/>
  <c r="D17" i="53"/>
  <c r="F17" i="53" s="1"/>
  <c r="D19" i="48" s="1"/>
  <c r="F19" i="48" s="1"/>
  <c r="F18" i="53"/>
  <c r="D19" i="53"/>
  <c r="F19" i="53" s="1"/>
  <c r="B26" i="53"/>
  <c r="B28" i="53" s="1"/>
  <c r="B29" i="53" s="1"/>
  <c r="H26" i="53"/>
  <c r="H28" i="53" s="1"/>
  <c r="H29" i="53" s="1"/>
  <c r="A33" i="53"/>
  <c r="H34" i="53"/>
  <c r="F35" i="53"/>
  <c r="F40" i="53"/>
  <c r="D42" i="53"/>
  <c r="D39" i="27" s="1"/>
  <c r="F44" i="53"/>
  <c r="D46" i="53"/>
  <c r="F46" i="53" s="1"/>
  <c r="F47" i="53"/>
  <c r="F49" i="53"/>
  <c r="F50" i="53"/>
  <c r="B51" i="53"/>
  <c r="H51" i="53"/>
  <c r="F54" i="53"/>
  <c r="B55" i="53"/>
  <c r="D55" i="53"/>
  <c r="H58" i="53"/>
  <c r="D59" i="53"/>
  <c r="F59" i="53" s="1"/>
  <c r="F60" i="53"/>
  <c r="H66" i="53"/>
  <c r="F71" i="53"/>
  <c r="D68" i="48" s="1"/>
  <c r="F72" i="53"/>
  <c r="J10" i="6"/>
  <c r="R10" i="6"/>
  <c r="D11" i="6"/>
  <c r="F11" i="6"/>
  <c r="H11" i="6"/>
  <c r="R11" i="6"/>
  <c r="D12" i="6"/>
  <c r="F12" i="6"/>
  <c r="H12" i="6"/>
  <c r="R12" i="6"/>
  <c r="D13" i="6"/>
  <c r="F13" i="6"/>
  <c r="H13" i="6"/>
  <c r="J13" i="6" s="1"/>
  <c r="R13" i="6"/>
  <c r="D14" i="6"/>
  <c r="F14" i="6"/>
  <c r="H14" i="6"/>
  <c r="R14" i="6"/>
  <c r="J15" i="6"/>
  <c r="R15" i="6"/>
  <c r="J16" i="6"/>
  <c r="R16" i="6"/>
  <c r="J17" i="6"/>
  <c r="R17" i="6"/>
  <c r="L18" i="6"/>
  <c r="L33" i="6" s="1"/>
  <c r="L46" i="6" s="1"/>
  <c r="N18" i="6"/>
  <c r="N33" i="6" s="1"/>
  <c r="P18" i="6"/>
  <c r="D31" i="6"/>
  <c r="R22" i="6"/>
  <c r="D23" i="6"/>
  <c r="H23" i="6"/>
  <c r="R23" i="6"/>
  <c r="D24" i="6"/>
  <c r="F24" i="6"/>
  <c r="F31" i="6" s="1"/>
  <c r="R24" i="6"/>
  <c r="H25" i="6"/>
  <c r="J25" i="6" s="1"/>
  <c r="R25" i="6"/>
  <c r="R26" i="6"/>
  <c r="H28" i="6"/>
  <c r="G191" i="13" s="1"/>
  <c r="R28" i="6"/>
  <c r="H29" i="6"/>
  <c r="G192" i="13" s="1"/>
  <c r="I192" i="13" s="1"/>
  <c r="R29" i="6"/>
  <c r="H30" i="6"/>
  <c r="J30" i="6" s="1"/>
  <c r="R30" i="6"/>
  <c r="L31" i="6"/>
  <c r="N31" i="6"/>
  <c r="P31" i="6"/>
  <c r="J36" i="6"/>
  <c r="F42" i="6"/>
  <c r="R37" i="6"/>
  <c r="J38" i="6"/>
  <c r="R38" i="6"/>
  <c r="J39" i="6"/>
  <c r="R39" i="6"/>
  <c r="J41" i="6"/>
  <c r="R41" i="6"/>
  <c r="D42" i="6"/>
  <c r="L42" i="6"/>
  <c r="N42" i="6"/>
  <c r="P42" i="6"/>
  <c r="H51" i="6"/>
  <c r="P51" i="6"/>
  <c r="H58" i="6"/>
  <c r="F22" i="52"/>
  <c r="E25" i="52"/>
  <c r="F26" i="52" s="1"/>
  <c r="F31" i="52"/>
  <c r="F36" i="52"/>
  <c r="J10" i="51"/>
  <c r="B11" i="51"/>
  <c r="D11" i="51"/>
  <c r="B12" i="51"/>
  <c r="J12" i="51" s="1"/>
  <c r="B13" i="51"/>
  <c r="D13" i="51"/>
  <c r="B14" i="51"/>
  <c r="J14" i="51" s="1"/>
  <c r="J16" i="51"/>
  <c r="F18" i="51"/>
  <c r="H19" i="31" s="1"/>
  <c r="H18" i="51"/>
  <c r="H33" i="51" s="1"/>
  <c r="H22" i="6"/>
  <c r="J22" i="6" s="1"/>
  <c r="J23" i="51"/>
  <c r="B24" i="51"/>
  <c r="H24" i="6" s="1"/>
  <c r="J25" i="51"/>
  <c r="J26" i="51"/>
  <c r="B27" i="51"/>
  <c r="J29" i="51"/>
  <c r="J30" i="51"/>
  <c r="J31" i="51"/>
  <c r="F32" i="51"/>
  <c r="H32" i="51"/>
  <c r="B36" i="51"/>
  <c r="B43" i="51" s="1"/>
  <c r="J38" i="51"/>
  <c r="J39" i="51"/>
  <c r="J40" i="51"/>
  <c r="J42" i="51"/>
  <c r="D43" i="51"/>
  <c r="F43" i="51"/>
  <c r="H43" i="51"/>
  <c r="J47" i="51"/>
  <c r="D49" i="51"/>
  <c r="F49" i="51"/>
  <c r="H49" i="51"/>
  <c r="J50" i="51"/>
  <c r="F10" i="52" s="1"/>
  <c r="D66" i="50"/>
  <c r="B11" i="50"/>
  <c r="J11" i="50" s="1"/>
  <c r="J13" i="50"/>
  <c r="J14" i="50"/>
  <c r="B16" i="50"/>
  <c r="J16" i="50" s="1"/>
  <c r="J17" i="50"/>
  <c r="J18" i="50"/>
  <c r="J19" i="50"/>
  <c r="J21" i="50"/>
  <c r="D22" i="50"/>
  <c r="B13" i="31" s="1"/>
  <c r="F22" i="50"/>
  <c r="B19" i="31" s="1"/>
  <c r="H22" i="50"/>
  <c r="J26" i="50"/>
  <c r="J27" i="50"/>
  <c r="D28" i="50"/>
  <c r="F28" i="50"/>
  <c r="H28" i="50"/>
  <c r="J31" i="50"/>
  <c r="J33" i="50"/>
  <c r="D35" i="50"/>
  <c r="F35" i="50"/>
  <c r="H35" i="50"/>
  <c r="J39" i="50"/>
  <c r="J41" i="50"/>
  <c r="J43" i="50"/>
  <c r="J44" i="50"/>
  <c r="J45" i="50"/>
  <c r="J49" i="50"/>
  <c r="J50" i="50"/>
  <c r="D52" i="50"/>
  <c r="F52" i="50"/>
  <c r="H52" i="50"/>
  <c r="J84" i="50"/>
  <c r="J88" i="50"/>
  <c r="H18" i="49"/>
  <c r="D23" i="49"/>
  <c r="F21" i="49"/>
  <c r="H23" i="49"/>
  <c r="J23" i="49"/>
  <c r="B27" i="49"/>
  <c r="D28" i="49"/>
  <c r="F28" i="49"/>
  <c r="H28" i="49"/>
  <c r="J28" i="49"/>
  <c r="L28" i="49"/>
  <c r="N28" i="49"/>
  <c r="N32" i="49"/>
  <c r="J33" i="49"/>
  <c r="J34" i="49"/>
  <c r="N34" i="49" s="1"/>
  <c r="J35" i="49"/>
  <c r="N37" i="49"/>
  <c r="P38" i="49"/>
  <c r="J39" i="49"/>
  <c r="N39" i="49"/>
  <c r="P40" i="49"/>
  <c r="N42" i="49"/>
  <c r="F11" i="48"/>
  <c r="F12" i="48"/>
  <c r="F16" i="48"/>
  <c r="F17" i="48"/>
  <c r="D20" i="48"/>
  <c r="F20" i="48" s="1"/>
  <c r="D21" i="48"/>
  <c r="H30" i="48"/>
  <c r="H31" i="48" s="1"/>
  <c r="H35" i="48"/>
  <c r="H10" i="48" s="1"/>
  <c r="H22" i="48" s="1"/>
  <c r="F37" i="48"/>
  <c r="B49" i="48"/>
  <c r="F43" i="48"/>
  <c r="F45" i="48"/>
  <c r="H49" i="48"/>
  <c r="H52" i="48"/>
  <c r="B54" i="48"/>
  <c r="F60" i="48"/>
  <c r="H62" i="48"/>
  <c r="H65" i="48" s="1"/>
  <c r="B63" i="48"/>
  <c r="F70" i="48"/>
  <c r="F71" i="48"/>
  <c r="F72" i="48"/>
  <c r="F74" i="48"/>
  <c r="D57" i="53"/>
  <c r="D56" i="27" s="1"/>
  <c r="H42" i="6"/>
  <c r="B9" i="27"/>
  <c r="D9" i="27"/>
  <c r="F27" i="30"/>
  <c r="F39" i="30" s="1"/>
  <c r="D15" i="28"/>
  <c r="J22" i="51"/>
  <c r="N33" i="49"/>
  <c r="M24" i="22"/>
  <c r="F18" i="49"/>
  <c r="D38" i="55"/>
  <c r="F13" i="55"/>
  <c r="L16" i="20"/>
  <c r="F46" i="48"/>
  <c r="B18" i="49"/>
  <c r="D18" i="49"/>
  <c r="N44" i="49"/>
  <c r="I57" i="13"/>
  <c r="J13" i="41" l="1"/>
  <c r="J13" i="51"/>
  <c r="F70" i="55"/>
  <c r="F64" i="29"/>
  <c r="I17" i="23"/>
  <c r="E17" i="23"/>
  <c r="E62" i="19"/>
  <c r="I17" i="19"/>
  <c r="H19" i="55"/>
  <c r="H42" i="55" s="1"/>
  <c r="H44" i="55" s="1"/>
  <c r="B60" i="29"/>
  <c r="F15" i="55"/>
  <c r="F19" i="55" s="1"/>
  <c r="H24" i="49"/>
  <c r="J40" i="49"/>
  <c r="D48" i="27"/>
  <c r="D17" i="27"/>
  <c r="D27" i="27" s="1"/>
  <c r="J14" i="43"/>
  <c r="J22" i="43" s="1"/>
  <c r="J27" i="43" s="1"/>
  <c r="D22" i="43"/>
  <c r="I25" i="23"/>
  <c r="I27" i="23" s="1"/>
  <c r="E25" i="23"/>
  <c r="K26" i="22"/>
  <c r="I27" i="22"/>
  <c r="I41" i="22" s="1"/>
  <c r="I51" i="22" s="1"/>
  <c r="K38" i="22"/>
  <c r="K39" i="22"/>
  <c r="M22" i="22"/>
  <c r="M26" i="22" s="1"/>
  <c r="M32" i="22"/>
  <c r="M39" i="22" s="1"/>
  <c r="E27" i="22"/>
  <c r="E41" i="22" s="1"/>
  <c r="E51" i="22" s="1"/>
  <c r="G39" i="22"/>
  <c r="K18" i="22"/>
  <c r="M18" i="22" s="1"/>
  <c r="M45" i="22"/>
  <c r="M48" i="22" s="1"/>
  <c r="G27" i="22"/>
  <c r="G41" i="22" s="1"/>
  <c r="G51" i="22" s="1"/>
  <c r="L20" i="20"/>
  <c r="L23" i="20"/>
  <c r="J23" i="20"/>
  <c r="I41" i="19"/>
  <c r="G33" i="19"/>
  <c r="G62" i="19" s="1"/>
  <c r="I62" i="19" s="1"/>
  <c r="I70" i="19"/>
  <c r="I20" i="19"/>
  <c r="M17" i="18"/>
  <c r="M26" i="18"/>
  <c r="M28" i="18" s="1"/>
  <c r="M36" i="18"/>
  <c r="G23" i="60"/>
  <c r="G26" i="60" s="1"/>
  <c r="E23" i="60"/>
  <c r="I23" i="60" s="1"/>
  <c r="K22" i="17"/>
  <c r="M22" i="17" s="1"/>
  <c r="M25" i="17" s="1"/>
  <c r="M27" i="17" s="1"/>
  <c r="H16" i="16"/>
  <c r="H23" i="16" s="1"/>
  <c r="H26" i="16" s="1"/>
  <c r="F23" i="16"/>
  <c r="F26" i="16" s="1"/>
  <c r="B23" i="16"/>
  <c r="B26" i="16" s="1"/>
  <c r="B28" i="15"/>
  <c r="H26" i="15"/>
  <c r="H28" i="15" s="1"/>
  <c r="D28" i="15"/>
  <c r="F28" i="15"/>
  <c r="H15" i="30"/>
  <c r="F29" i="30"/>
  <c r="F36" i="30" s="1"/>
  <c r="D29" i="30"/>
  <c r="D36" i="30" s="1"/>
  <c r="H27" i="30"/>
  <c r="H29" i="30" s="1"/>
  <c r="H36" i="30" s="1"/>
  <c r="F15" i="14"/>
  <c r="F20" i="14" s="1"/>
  <c r="G118" i="13"/>
  <c r="G143" i="13" s="1"/>
  <c r="I143" i="13" s="1"/>
  <c r="G109" i="13"/>
  <c r="G78" i="13"/>
  <c r="I20" i="13"/>
  <c r="G39" i="13"/>
  <c r="I39" i="13" s="1"/>
  <c r="G45" i="13"/>
  <c r="I45" i="13" s="1"/>
  <c r="G154" i="13"/>
  <c r="G157" i="13" s="1"/>
  <c r="I157" i="13" s="1"/>
  <c r="E59" i="13"/>
  <c r="F16" i="56"/>
  <c r="F9" i="57" s="1"/>
  <c r="F11" i="57" s="1"/>
  <c r="D60" i="29"/>
  <c r="G84" i="19"/>
  <c r="G90" i="19" s="1"/>
  <c r="D12" i="29"/>
  <c r="B12" i="29"/>
  <c r="F12" i="29" s="1"/>
  <c r="D65" i="29"/>
  <c r="F65" i="29" s="1"/>
  <c r="D10" i="29"/>
  <c r="B10" i="29"/>
  <c r="D66" i="29"/>
  <c r="D16" i="28"/>
  <c r="F16" i="28" s="1"/>
  <c r="D13" i="54"/>
  <c r="H27" i="31" s="1"/>
  <c r="B9" i="28"/>
  <c r="B12" i="28" s="1"/>
  <c r="D9" i="28"/>
  <c r="D12" i="28" s="1"/>
  <c r="F17" i="54"/>
  <c r="B24" i="54"/>
  <c r="B22" i="49" s="1"/>
  <c r="L22" i="49" s="1"/>
  <c r="H36" i="53"/>
  <c r="D42" i="48"/>
  <c r="F42" i="48" s="1"/>
  <c r="G212" i="13"/>
  <c r="I212" i="13" s="1"/>
  <c r="D18" i="6"/>
  <c r="R42" i="6"/>
  <c r="R31" i="6"/>
  <c r="J11" i="6"/>
  <c r="J14" i="6"/>
  <c r="P33" i="6"/>
  <c r="P46" i="6" s="1"/>
  <c r="P53" i="6" s="1"/>
  <c r="J24" i="6"/>
  <c r="J24" i="51"/>
  <c r="B32" i="51"/>
  <c r="K11" i="31" s="1"/>
  <c r="K21" i="31" s="1"/>
  <c r="K23" i="31" s="1"/>
  <c r="F33" i="51"/>
  <c r="F44" i="51" s="1"/>
  <c r="F51" i="51" s="1"/>
  <c r="F59" i="51" s="1"/>
  <c r="J36" i="51"/>
  <c r="J27" i="51"/>
  <c r="F53" i="50"/>
  <c r="E19" i="31"/>
  <c r="J46" i="50"/>
  <c r="J22" i="50"/>
  <c r="J25" i="50"/>
  <c r="J28" i="50" s="1"/>
  <c r="J38" i="49"/>
  <c r="F23" i="49"/>
  <c r="F24" i="49" s="1"/>
  <c r="D65" i="53"/>
  <c r="B62" i="27" s="1"/>
  <c r="J95" i="50"/>
  <c r="B65" i="48"/>
  <c r="H13" i="41"/>
  <c r="B22" i="50"/>
  <c r="B11" i="31" s="1"/>
  <c r="B21" i="31" s="1"/>
  <c r="B23" i="31" s="1"/>
  <c r="C19" i="31" s="1"/>
  <c r="H65" i="53"/>
  <c r="H68" i="53" s="1"/>
  <c r="F53" i="48"/>
  <c r="H92" i="50"/>
  <c r="D63" i="48"/>
  <c r="D66" i="53" s="1"/>
  <c r="D63" i="27" s="1"/>
  <c r="J96" i="50"/>
  <c r="D54" i="48"/>
  <c r="B58" i="53" s="1"/>
  <c r="B61" i="53" s="1"/>
  <c r="B62" i="53" s="1"/>
  <c r="H93" i="50"/>
  <c r="F25" i="48"/>
  <c r="F57" i="27"/>
  <c r="F43" i="27"/>
  <c r="H53" i="50"/>
  <c r="E13" i="31"/>
  <c r="E11" i="31"/>
  <c r="N22" i="49"/>
  <c r="L26" i="44"/>
  <c r="H22" i="44"/>
  <c r="F11" i="43" s="1"/>
  <c r="F22" i="43" s="1"/>
  <c r="F52" i="48"/>
  <c r="H91" i="50" s="1"/>
  <c r="D48" i="48"/>
  <c r="F48" i="48" s="1"/>
  <c r="F68" i="55"/>
  <c r="G166" i="21"/>
  <c r="D67" i="29"/>
  <c r="F67" i="29" s="1"/>
  <c r="B59" i="29"/>
  <c r="F59" i="29" s="1"/>
  <c r="B61" i="29"/>
  <c r="F61" i="29" s="1"/>
  <c r="D24" i="49"/>
  <c r="H26" i="31"/>
  <c r="F12" i="53"/>
  <c r="D14" i="48" s="1"/>
  <c r="F14" i="48" s="1"/>
  <c r="D47" i="48"/>
  <c r="F47" i="48" s="1"/>
  <c r="B20" i="53"/>
  <c r="B30" i="53" s="1"/>
  <c r="H38" i="48"/>
  <c r="F62" i="48"/>
  <c r="B56" i="48"/>
  <c r="B57" i="48" s="1"/>
  <c r="H57" i="48"/>
  <c r="F68" i="48"/>
  <c r="B22" i="48"/>
  <c r="B32" i="48" s="1"/>
  <c r="F36" i="48"/>
  <c r="F21" i="48"/>
  <c r="H32" i="48"/>
  <c r="F56" i="29"/>
  <c r="F35" i="29"/>
  <c r="F29" i="28"/>
  <c r="F26" i="27"/>
  <c r="F16" i="27"/>
  <c r="F68" i="27"/>
  <c r="G17" i="21"/>
  <c r="I17" i="21" s="1"/>
  <c r="I95" i="21"/>
  <c r="G22" i="21"/>
  <c r="I22" i="21" s="1"/>
  <c r="E117" i="21"/>
  <c r="I69" i="21"/>
  <c r="I108" i="21"/>
  <c r="G45" i="21"/>
  <c r="I45" i="21" s="1"/>
  <c r="G177" i="13"/>
  <c r="G188" i="13" s="1"/>
  <c r="I188" i="13" s="1"/>
  <c r="G31" i="13"/>
  <c r="R18" i="6"/>
  <c r="J23" i="6"/>
  <c r="J12" i="6"/>
  <c r="N46" i="6"/>
  <c r="H18" i="6"/>
  <c r="J37" i="6"/>
  <c r="J42" i="6" s="1"/>
  <c r="F18" i="6"/>
  <c r="F33" i="6" s="1"/>
  <c r="F46" i="6" s="1"/>
  <c r="D18" i="51"/>
  <c r="D33" i="51" s="1"/>
  <c r="D44" i="51" s="1"/>
  <c r="D51" i="51" s="1"/>
  <c r="D59" i="51" s="1"/>
  <c r="J11" i="51"/>
  <c r="J18" i="51" s="1"/>
  <c r="H44" i="51"/>
  <c r="H51" i="51" s="1"/>
  <c r="H59" i="51" s="1"/>
  <c r="J49" i="51"/>
  <c r="J29" i="6"/>
  <c r="J28" i="6"/>
  <c r="F71" i="55"/>
  <c r="F76" i="55"/>
  <c r="B78" i="55"/>
  <c r="F20" i="29"/>
  <c r="F23" i="29" s="1"/>
  <c r="D78" i="55"/>
  <c r="F69" i="55"/>
  <c r="G41" i="23"/>
  <c r="G43" i="23" s="1"/>
  <c r="B42" i="55"/>
  <c r="B44" i="55" s="1"/>
  <c r="F75" i="55"/>
  <c r="F38" i="55"/>
  <c r="F73" i="55"/>
  <c r="F26" i="55"/>
  <c r="H78" i="55"/>
  <c r="D19" i="55"/>
  <c r="D42" i="55" s="1"/>
  <c r="D44" i="55" s="1"/>
  <c r="G87" i="21"/>
  <c r="I85" i="21"/>
  <c r="I115" i="21"/>
  <c r="E87" i="21"/>
  <c r="I77" i="21"/>
  <c r="G117" i="21"/>
  <c r="E27" i="21"/>
  <c r="E33" i="21" s="1"/>
  <c r="D24" i="54"/>
  <c r="F30" i="54"/>
  <c r="F10" i="54"/>
  <c r="F13" i="54" s="1"/>
  <c r="B20" i="28"/>
  <c r="D29" i="53"/>
  <c r="H24" i="54"/>
  <c r="H26" i="54" s="1"/>
  <c r="F52" i="27"/>
  <c r="F11" i="53"/>
  <c r="B39" i="27"/>
  <c r="B48" i="27" s="1"/>
  <c r="F57" i="53"/>
  <c r="F69" i="27"/>
  <c r="D20" i="53"/>
  <c r="B56" i="27"/>
  <c r="F56" i="27" s="1"/>
  <c r="F55" i="53"/>
  <c r="D55" i="48" s="1"/>
  <c r="F55" i="48" s="1"/>
  <c r="F26" i="53"/>
  <c r="D28" i="48" s="1"/>
  <c r="F28" i="48" s="1"/>
  <c r="F25" i="53"/>
  <c r="D51" i="53"/>
  <c r="F42" i="53"/>
  <c r="H30" i="53"/>
  <c r="J18" i="49"/>
  <c r="B17" i="27"/>
  <c r="B27" i="27" s="1"/>
  <c r="F9" i="27"/>
  <c r="D34" i="53"/>
  <c r="F34" i="53" s="1"/>
  <c r="E64" i="19"/>
  <c r="E73" i="19" s="1"/>
  <c r="J35" i="50"/>
  <c r="E27" i="23"/>
  <c r="G193" i="13"/>
  <c r="I191" i="13"/>
  <c r="I24" i="19"/>
  <c r="D53" i="50"/>
  <c r="B18" i="51"/>
  <c r="P27" i="49"/>
  <c r="P28" i="49" s="1"/>
  <c r="P41" i="49" s="1"/>
  <c r="P45" i="49" s="1"/>
  <c r="B28" i="49"/>
  <c r="B38" i="48"/>
  <c r="D33" i="6"/>
  <c r="D46" i="6" s="1"/>
  <c r="F15" i="28"/>
  <c r="H26" i="6"/>
  <c r="D20" i="14"/>
  <c r="D25" i="14" s="1"/>
  <c r="J37" i="51"/>
  <c r="F21" i="54"/>
  <c r="B66" i="29"/>
  <c r="D23" i="16"/>
  <c r="D26" i="16" s="1"/>
  <c r="E196" i="13"/>
  <c r="I133" i="21"/>
  <c r="B75" i="48" l="1"/>
  <c r="B76" i="48" s="1"/>
  <c r="F60" i="29"/>
  <c r="G110" i="13"/>
  <c r="I110" i="13" s="1"/>
  <c r="B16" i="29"/>
  <c r="B39" i="29" s="1"/>
  <c r="B41" i="29" s="1"/>
  <c r="D16" i="29"/>
  <c r="D39" i="29" s="1"/>
  <c r="D41" i="29" s="1"/>
  <c r="F17" i="27"/>
  <c r="F27" i="27" s="1"/>
  <c r="M27" i="22"/>
  <c r="M41" i="22" s="1"/>
  <c r="M51" i="22" s="1"/>
  <c r="K27" i="22"/>
  <c r="K41" i="22" s="1"/>
  <c r="K51" i="22" s="1"/>
  <c r="I33" i="19"/>
  <c r="M38" i="18"/>
  <c r="K25" i="17"/>
  <c r="K27" i="17" s="1"/>
  <c r="E198" i="13"/>
  <c r="E214" i="13" s="1"/>
  <c r="D8" i="56"/>
  <c r="D16" i="56" s="1"/>
  <c r="B8" i="56" s="1"/>
  <c r="B16" i="56" s="1"/>
  <c r="B9" i="57" s="1"/>
  <c r="B11" i="57" s="1"/>
  <c r="F10" i="29"/>
  <c r="F16" i="29" s="1"/>
  <c r="F39" i="29" s="1"/>
  <c r="F41" i="29" s="1"/>
  <c r="D68" i="29"/>
  <c r="H29" i="31"/>
  <c r="H31" i="31" s="1"/>
  <c r="I26" i="31" s="1"/>
  <c r="D20" i="28"/>
  <c r="D22" i="28" s="1"/>
  <c r="D31" i="28" s="1"/>
  <c r="D37" i="28" s="1"/>
  <c r="D40" i="28" s="1"/>
  <c r="B22" i="28"/>
  <c r="B52" i="29" s="1"/>
  <c r="F9" i="28"/>
  <c r="F12" i="28" s="1"/>
  <c r="F24" i="54"/>
  <c r="F26" i="54" s="1"/>
  <c r="K27" i="31"/>
  <c r="B21" i="49"/>
  <c r="K26" i="31"/>
  <c r="B26" i="54"/>
  <c r="F28" i="53"/>
  <c r="J18" i="6"/>
  <c r="R33" i="6"/>
  <c r="J43" i="51"/>
  <c r="J32" i="51"/>
  <c r="J33" i="51" s="1"/>
  <c r="H13" i="31"/>
  <c r="J94" i="50"/>
  <c r="F65" i="53"/>
  <c r="F49" i="48"/>
  <c r="D62" i="27"/>
  <c r="F62" i="27" s="1"/>
  <c r="B63" i="27"/>
  <c r="B65" i="27" s="1"/>
  <c r="D68" i="53"/>
  <c r="B66" i="53"/>
  <c r="F66" i="53" s="1"/>
  <c r="F54" i="48"/>
  <c r="F56" i="48" s="1"/>
  <c r="D58" i="53"/>
  <c r="D53" i="27" s="1"/>
  <c r="D59" i="27" s="1"/>
  <c r="D65" i="48"/>
  <c r="F63" i="48"/>
  <c r="F65" i="48" s="1"/>
  <c r="E21" i="31"/>
  <c r="E23" i="31" s="1"/>
  <c r="B51" i="50"/>
  <c r="B52" i="50" s="1"/>
  <c r="G27" i="21"/>
  <c r="G33" i="21" s="1"/>
  <c r="E134" i="21"/>
  <c r="E136" i="21" s="1"/>
  <c r="H57" i="53"/>
  <c r="H61" i="53" s="1"/>
  <c r="H62" i="53" s="1"/>
  <c r="H73" i="53" s="1"/>
  <c r="H74" i="53" s="1"/>
  <c r="C14" i="31"/>
  <c r="C13" i="31"/>
  <c r="C15" i="31"/>
  <c r="C16" i="31"/>
  <c r="L28" i="44"/>
  <c r="H26" i="44"/>
  <c r="D49" i="48"/>
  <c r="F33" i="54"/>
  <c r="L35" i="49"/>
  <c r="F78" i="55"/>
  <c r="D27" i="48"/>
  <c r="D30" i="48" s="1"/>
  <c r="D31" i="48" s="1"/>
  <c r="F20" i="53"/>
  <c r="D10" i="48"/>
  <c r="F51" i="53"/>
  <c r="D18" i="48"/>
  <c r="F18" i="48" s="1"/>
  <c r="D56" i="48"/>
  <c r="H76" i="48"/>
  <c r="F20" i="28"/>
  <c r="I117" i="21"/>
  <c r="G134" i="21"/>
  <c r="G172" i="21"/>
  <c r="I31" i="13"/>
  <c r="G59" i="13"/>
  <c r="I59" i="13" s="1"/>
  <c r="F42" i="55"/>
  <c r="F44" i="55" s="1"/>
  <c r="I87" i="21"/>
  <c r="D26" i="54"/>
  <c r="D60" i="55" s="1"/>
  <c r="D30" i="53"/>
  <c r="F39" i="27"/>
  <c r="F29" i="53"/>
  <c r="H35" i="54"/>
  <c r="H41" i="54" s="1"/>
  <c r="H60" i="55"/>
  <c r="D52" i="29"/>
  <c r="G64" i="19"/>
  <c r="B68" i="29"/>
  <c r="F66" i="29"/>
  <c r="I193" i="13"/>
  <c r="G196" i="13"/>
  <c r="J26" i="6"/>
  <c r="J31" i="6" s="1"/>
  <c r="H31" i="6"/>
  <c r="H33" i="6" s="1"/>
  <c r="H46" i="6" s="1"/>
  <c r="H53" i="6" s="1"/>
  <c r="H59" i="6" s="1"/>
  <c r="H11" i="31"/>
  <c r="B33" i="51"/>
  <c r="B44" i="51" s="1"/>
  <c r="L16" i="31"/>
  <c r="L13" i="31"/>
  <c r="L15" i="31"/>
  <c r="L19" i="31"/>
  <c r="L14" i="31"/>
  <c r="J24" i="49"/>
  <c r="J41" i="49" s="1"/>
  <c r="N18" i="49"/>
  <c r="F48" i="27"/>
  <c r="B31" i="27"/>
  <c r="D31" i="27"/>
  <c r="D28" i="14"/>
  <c r="F25" i="14"/>
  <c r="H79" i="55" l="1"/>
  <c r="H89" i="55" s="1"/>
  <c r="F68" i="29"/>
  <c r="E145" i="21"/>
  <c r="I134" i="21"/>
  <c r="D9" i="57"/>
  <c r="D11" i="57" s="1"/>
  <c r="B31" i="28"/>
  <c r="B37" i="28" s="1"/>
  <c r="B40" i="28" s="1"/>
  <c r="I27" i="31"/>
  <c r="K29" i="31"/>
  <c r="K31" i="31" s="1"/>
  <c r="F35" i="54"/>
  <c r="F41" i="54" s="1"/>
  <c r="F45" i="54" s="1"/>
  <c r="B35" i="54"/>
  <c r="B41" i="54" s="1"/>
  <c r="B45" i="54" s="1"/>
  <c r="B60" i="55"/>
  <c r="B79" i="55" s="1"/>
  <c r="B89" i="55" s="1"/>
  <c r="B23" i="49"/>
  <c r="B24" i="49" s="1"/>
  <c r="L21" i="49"/>
  <c r="B53" i="27"/>
  <c r="B59" i="27" s="1"/>
  <c r="F59" i="27" s="1"/>
  <c r="F57" i="48"/>
  <c r="D65" i="27"/>
  <c r="F65" i="27" s="1"/>
  <c r="H21" i="31"/>
  <c r="H23" i="31" s="1"/>
  <c r="F63" i="27"/>
  <c r="D61" i="53"/>
  <c r="D62" i="53" s="1"/>
  <c r="E27" i="31" s="1"/>
  <c r="B68" i="53"/>
  <c r="F68" i="53"/>
  <c r="E26" i="31"/>
  <c r="F58" i="53"/>
  <c r="F61" i="53" s="1"/>
  <c r="F62" i="53" s="1"/>
  <c r="D69" i="29"/>
  <c r="F52" i="29"/>
  <c r="I27" i="21"/>
  <c r="I33" i="21" s="1"/>
  <c r="G198" i="13"/>
  <c r="G214" i="13" s="1"/>
  <c r="G221" i="13" s="1"/>
  <c r="H11" i="43"/>
  <c r="H22" i="43" s="1"/>
  <c r="H28" i="44"/>
  <c r="F30" i="53"/>
  <c r="F30" i="48"/>
  <c r="F31" i="48" s="1"/>
  <c r="F27" i="48"/>
  <c r="L40" i="49"/>
  <c r="N35" i="49"/>
  <c r="L38" i="49"/>
  <c r="D79" i="55"/>
  <c r="D89" i="55" s="1"/>
  <c r="F10" i="48"/>
  <c r="F22" i="48" s="1"/>
  <c r="D22" i="48"/>
  <c r="D32" i="48" s="1"/>
  <c r="F22" i="28"/>
  <c r="F31" i="28" s="1"/>
  <c r="F37" i="28" s="1"/>
  <c r="F40" i="28" s="1"/>
  <c r="D35" i="54"/>
  <c r="D41" i="54" s="1"/>
  <c r="D45" i="54" s="1"/>
  <c r="B69" i="29"/>
  <c r="H45" i="54"/>
  <c r="J45" i="54" s="1"/>
  <c r="E38" i="52"/>
  <c r="F40" i="52" s="1"/>
  <c r="G145" i="21"/>
  <c r="G174" i="21" s="1"/>
  <c r="G136" i="21"/>
  <c r="I64" i="19"/>
  <c r="I73" i="19" s="1"/>
  <c r="G73" i="19"/>
  <c r="G91" i="19" s="1"/>
  <c r="J33" i="6"/>
  <c r="J46" i="6"/>
  <c r="F16" i="31"/>
  <c r="F15" i="31"/>
  <c r="F14" i="31"/>
  <c r="F13" i="31"/>
  <c r="F19" i="31"/>
  <c r="J44" i="51"/>
  <c r="B51" i="51"/>
  <c r="I196" i="13"/>
  <c r="I198" i="13" s="1"/>
  <c r="I214" i="13" s="1"/>
  <c r="F31" i="27"/>
  <c r="F69" i="29" l="1"/>
  <c r="F60" i="55"/>
  <c r="F79" i="55" s="1"/>
  <c r="F89" i="55" s="1"/>
  <c r="I136" i="21"/>
  <c r="K33" i="31"/>
  <c r="K35" i="31" s="1"/>
  <c r="M13" i="31" s="1"/>
  <c r="F49" i="54"/>
  <c r="N21" i="49"/>
  <c r="N23" i="49" s="1"/>
  <c r="N24" i="49" s="1"/>
  <c r="L23" i="49"/>
  <c r="L24" i="49" s="1"/>
  <c r="L41" i="49" s="1"/>
  <c r="L45" i="49" s="1"/>
  <c r="F53" i="27"/>
  <c r="H33" i="31"/>
  <c r="H35" i="31" s="1"/>
  <c r="J15" i="31" s="1"/>
  <c r="N38" i="49"/>
  <c r="N40" i="49"/>
  <c r="F32" i="48"/>
  <c r="E29" i="31"/>
  <c r="I16" i="31"/>
  <c r="I15" i="31"/>
  <c r="I14" i="31"/>
  <c r="I19" i="31"/>
  <c r="I13" i="31"/>
  <c r="L27" i="31"/>
  <c r="L26" i="31"/>
  <c r="I145" i="21"/>
  <c r="F9" i="52"/>
  <c r="F41" i="52" s="1"/>
  <c r="J51" i="51"/>
  <c r="J19" i="31" l="1"/>
  <c r="M26" i="31"/>
  <c r="M15" i="31"/>
  <c r="M27" i="31"/>
  <c r="M14" i="31"/>
  <c r="M19" i="31"/>
  <c r="M16" i="31"/>
  <c r="N41" i="49"/>
  <c r="N45" i="49" s="1"/>
  <c r="J13" i="31"/>
  <c r="F55" i="54"/>
  <c r="J16" i="31"/>
  <c r="J14" i="31"/>
  <c r="J26" i="31"/>
  <c r="J27" i="31"/>
  <c r="E31" i="31"/>
  <c r="E33" i="31"/>
  <c r="E35" i="31" s="1"/>
  <c r="J174" i="21"/>
  <c r="G27" i="31" l="1"/>
  <c r="G14" i="31"/>
  <c r="G16" i="31"/>
  <c r="G15" i="31"/>
  <c r="G26" i="31"/>
  <c r="G19" i="31"/>
  <c r="G13" i="31"/>
  <c r="F26" i="31"/>
  <c r="F27" i="31"/>
  <c r="D33" i="53"/>
  <c r="B30" i="27" s="1"/>
  <c r="F35" i="48"/>
  <c r="D38" i="48"/>
  <c r="B33" i="53"/>
  <c r="B36" i="53" s="1"/>
  <c r="B73" i="53" s="1"/>
  <c r="F38" i="48" l="1"/>
  <c r="B26" i="31"/>
  <c r="B33" i="27"/>
  <c r="D30" i="27"/>
  <c r="D33" i="27" s="1"/>
  <c r="F33" i="53"/>
  <c r="D36" i="53"/>
  <c r="D73" i="53" s="1"/>
  <c r="F73" i="53" s="1"/>
  <c r="F36" i="53" l="1"/>
  <c r="F84" i="53" s="1"/>
  <c r="F74" i="53"/>
  <c r="F77" i="53" s="1"/>
  <c r="F30" i="27"/>
  <c r="F33" i="27"/>
  <c r="B74" i="53"/>
  <c r="B29" i="31"/>
  <c r="D74" i="53"/>
  <c r="B70" i="27"/>
  <c r="D70" i="27"/>
  <c r="D71" i="27" s="1"/>
  <c r="D55" i="54" l="1"/>
  <c r="D84" i="53"/>
  <c r="B33" i="31"/>
  <c r="B35" i="31" s="1"/>
  <c r="B31" i="31"/>
  <c r="B86" i="53"/>
  <c r="B55" i="54"/>
  <c r="B84" i="53"/>
  <c r="B71" i="27"/>
  <c r="F70" i="27"/>
  <c r="F71" i="27" l="1"/>
  <c r="F50" i="28" s="1"/>
  <c r="C27" i="31"/>
  <c r="C26" i="31"/>
  <c r="D27" i="31"/>
  <c r="D14" i="31"/>
  <c r="O14" i="31" s="1"/>
  <c r="D13" i="31"/>
  <c r="O13" i="31" s="1"/>
  <c r="D15" i="31"/>
  <c r="O15" i="31" s="1"/>
  <c r="D19" i="31"/>
  <c r="O19" i="31" s="1"/>
  <c r="D16" i="31"/>
  <c r="O16" i="31" s="1"/>
  <c r="D26" i="31"/>
  <c r="O26" i="31" l="1"/>
  <c r="O27" i="31"/>
  <c r="D57" i="48"/>
  <c r="D75" i="48" s="1"/>
  <c r="F75" i="48" l="1"/>
  <c r="F76" i="48" s="1"/>
  <c r="D76" i="48" l="1"/>
  <c r="J51" i="50"/>
  <c r="J52" i="50" s="1"/>
  <c r="B59" i="51"/>
  <c r="B53" i="50"/>
  <c r="J59" i="51" l="1"/>
  <c r="J71" i="50"/>
  <c r="J98" i="50" s="1"/>
  <c r="L98" i="50" s="1"/>
  <c r="H41"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lgc0206</author>
  </authors>
  <commentList>
    <comment ref="K9" authorId="0" shapeId="0" xr:uid="{00000000-0006-0000-0400-000001000000}">
      <text>
        <r>
          <rPr>
            <b/>
            <sz val="8"/>
            <color indexed="81"/>
            <rFont val="Tahoma"/>
            <family val="2"/>
          </rPr>
          <t>lgc0206:</t>
        </r>
        <r>
          <rPr>
            <sz val="8"/>
            <color indexed="81"/>
            <rFont val="Tahoma"/>
            <family val="2"/>
          </rPr>
          <t xml:space="preserve">
Capital outlay which has been capitalized less depreciation expense plus depreciation for I/S fund.  Note that I/S deprec. Is included below in net rev. from I/S allocation.</t>
        </r>
      </text>
    </comment>
  </commentList>
</comments>
</file>

<file path=xl/sharedStrings.xml><?xml version="1.0" encoding="utf-8"?>
<sst xmlns="http://schemas.openxmlformats.org/spreadsheetml/2006/main" count="1742" uniqueCount="893">
  <si>
    <t>City of Dogwood</t>
  </si>
  <si>
    <t>Total</t>
  </si>
  <si>
    <t>ASSETS</t>
  </si>
  <si>
    <t>Cash and cash equivalents</t>
  </si>
  <si>
    <t>Inventories</t>
  </si>
  <si>
    <t>Total assets</t>
  </si>
  <si>
    <t>LIABILITIES</t>
  </si>
  <si>
    <t>Total liabilities</t>
  </si>
  <si>
    <t>The notes to the financial statements are an integral part of this statement.</t>
  </si>
  <si>
    <t>Expenses</t>
  </si>
  <si>
    <t>General government</t>
  </si>
  <si>
    <t>Public safety</t>
  </si>
  <si>
    <t>Culture and recreation</t>
  </si>
  <si>
    <t>Miscellaneous</t>
  </si>
  <si>
    <t>Balance Sheet</t>
  </si>
  <si>
    <t>Governmental Funds</t>
  </si>
  <si>
    <t>General</t>
  </si>
  <si>
    <t>Total Governmental Funds</t>
  </si>
  <si>
    <t>Accounts payable</t>
  </si>
  <si>
    <t>Due to other funds</t>
  </si>
  <si>
    <t>Total fund balances</t>
  </si>
  <si>
    <t>Total liabilities and fund balances</t>
  </si>
  <si>
    <t>Capital assets used in governmental activities are not financial resources and therefore are not reported in the funds.</t>
  </si>
  <si>
    <t>Exhibit 3</t>
  </si>
  <si>
    <t>Exhibit 4</t>
  </si>
  <si>
    <t>Statement of Revenues, Expenditures, and Changes in Fund Balance</t>
  </si>
  <si>
    <t>General Fund</t>
  </si>
  <si>
    <t>REVENUES</t>
  </si>
  <si>
    <t>Charges for services</t>
  </si>
  <si>
    <t>Investment earnings</t>
  </si>
  <si>
    <t>Total revenues</t>
  </si>
  <si>
    <t>EXPENDITURES</t>
  </si>
  <si>
    <t>Current:</t>
  </si>
  <si>
    <t>Debt service:</t>
  </si>
  <si>
    <t>Principal</t>
  </si>
  <si>
    <t>Interest and other charges</t>
  </si>
  <si>
    <t>Capital outlay</t>
  </si>
  <si>
    <t>Total expenditures</t>
  </si>
  <si>
    <t>Excess (deficiency) of revenues over expenditures</t>
  </si>
  <si>
    <t>OTHER FINANCING SOURCES (USES)</t>
  </si>
  <si>
    <t>Exhibit 6</t>
  </si>
  <si>
    <t>Proprietary Funds</t>
  </si>
  <si>
    <t>Current assets:</t>
  </si>
  <si>
    <t>Total current assets</t>
  </si>
  <si>
    <t>Noncurrent assets:</t>
  </si>
  <si>
    <t>Total noncurrent assets</t>
  </si>
  <si>
    <t>Current liabilities:</t>
  </si>
  <si>
    <t>Compensated absences</t>
  </si>
  <si>
    <t>Total current liabilities</t>
  </si>
  <si>
    <t>Noncurrent liabilities:</t>
  </si>
  <si>
    <t>Total noncurrent liabilities</t>
  </si>
  <si>
    <t>Unrestricted</t>
  </si>
  <si>
    <t>Exhibit 7</t>
  </si>
  <si>
    <t>OPERATING REVENUES</t>
  </si>
  <si>
    <t>Total operating revenues</t>
  </si>
  <si>
    <t>OPERATING EXPENSES</t>
  </si>
  <si>
    <t>Depreciation</t>
  </si>
  <si>
    <t>Operating income (loss)</t>
  </si>
  <si>
    <t>NONOPERATING REVENUES (EXPENSES)</t>
  </si>
  <si>
    <t>Total nonoperating revenue (expenses)</t>
  </si>
  <si>
    <t>Income (loss) before contributions and transfers</t>
  </si>
  <si>
    <t>Capital contributions</t>
  </si>
  <si>
    <t>Assets</t>
  </si>
  <si>
    <t>Taxes</t>
  </si>
  <si>
    <t>Economic and physical development</t>
  </si>
  <si>
    <t>Parking and Recreation</t>
  </si>
  <si>
    <t>Ad valorem taxes</t>
  </si>
  <si>
    <t>Other taxes and licenses</t>
  </si>
  <si>
    <t>Unrestricted intergovernmental</t>
  </si>
  <si>
    <t>Restricted intergovernmental</t>
  </si>
  <si>
    <t>Permits and fees</t>
  </si>
  <si>
    <t>Sales and services</t>
  </si>
  <si>
    <t>Transportation</t>
  </si>
  <si>
    <t>Environmental protection</t>
  </si>
  <si>
    <t>Total other financing sources  (uses)</t>
  </si>
  <si>
    <t>Net change in fund balance</t>
  </si>
  <si>
    <t>Grant Project Fund</t>
  </si>
  <si>
    <t>Enterprise Funds:</t>
  </si>
  <si>
    <t>Electric Fund</t>
  </si>
  <si>
    <t>Water and Sewer Fund</t>
  </si>
  <si>
    <t>Parking
and
Recreation</t>
  </si>
  <si>
    <t>Water and
Sewer Fund</t>
  </si>
  <si>
    <t>Internal Service Fund</t>
  </si>
  <si>
    <t>Water and sewer taps</t>
  </si>
  <si>
    <t>Other operating revenues</t>
  </si>
  <si>
    <t>Administration</t>
  </si>
  <si>
    <t>Finance</t>
  </si>
  <si>
    <t>Electric operations</t>
  </si>
  <si>
    <t>Electric power purchases</t>
  </si>
  <si>
    <t>Water treatment and distribution</t>
  </si>
  <si>
    <t>Waste collection and treatment</t>
  </si>
  <si>
    <t>Bond issuance costs</t>
  </si>
  <si>
    <t>Local option sales tax</t>
  </si>
  <si>
    <t>Garage operations</t>
  </si>
  <si>
    <t>GASB 34 CALCULATION OF MAJOR FUNDS</t>
  </si>
  <si>
    <t>Type of Fund</t>
  </si>
  <si>
    <t>10% Rule</t>
  </si>
  <si>
    <t>5% Rule</t>
  </si>
  <si>
    <t>Revenue</t>
  </si>
  <si>
    <t>Columns, Then Fund is a Major Fund</t>
  </si>
  <si>
    <t>N/A</t>
  </si>
  <si>
    <t>YES, ALWAYS MAJOR</t>
  </si>
  <si>
    <t>Capital Projects Funds:</t>
  </si>
  <si>
    <t>10 % of Total Governmental Funds</t>
  </si>
  <si>
    <t>Total Enterprise Funds</t>
  </si>
  <si>
    <t>10% of Total Enterprise Funds</t>
  </si>
  <si>
    <t>Total Governmental &amp; Enterprise Funds</t>
  </si>
  <si>
    <t>5% of Total Governmental &amp; Enterprise Funds</t>
  </si>
  <si>
    <t>Accounts receivable (net) - billed</t>
  </si>
  <si>
    <t>Accounts receivable (net) - unbilled</t>
  </si>
  <si>
    <t>Prepaid items</t>
  </si>
  <si>
    <t>Accounts payable and accrued
 liabilities</t>
  </si>
  <si>
    <t>Revenue bond payable - current</t>
  </si>
  <si>
    <t>Bond anticipation notes payable</t>
  </si>
  <si>
    <t>Revenue bond payable -
 noncurrent</t>
  </si>
  <si>
    <t>Compensated absences - 
current</t>
  </si>
  <si>
    <t>Receivables, net:</t>
  </si>
  <si>
    <t>Accounts</t>
  </si>
  <si>
    <t>Due from component unit</t>
  </si>
  <si>
    <t xml:space="preserve">    Emergency Telephone System Fund</t>
  </si>
  <si>
    <t>Emergency Telephone System</t>
  </si>
  <si>
    <t>Accounts payable and accrued liabilities</t>
  </si>
  <si>
    <t>Statement of Revenues, Expenditures, and Changes in Fund Balance - Budget and Actual</t>
  </si>
  <si>
    <t>Original</t>
  </si>
  <si>
    <t>Final</t>
  </si>
  <si>
    <t>Actual Amounts</t>
  </si>
  <si>
    <t>Emergency Telephone System Fund</t>
  </si>
  <si>
    <t>Revenues:</t>
  </si>
  <si>
    <t>Expenditures:</t>
  </si>
  <si>
    <t>Cultural and recreation</t>
  </si>
  <si>
    <t>Principal retirement</t>
  </si>
  <si>
    <t>Contingency</t>
  </si>
  <si>
    <t>Revenues over (under) expenditures</t>
  </si>
  <si>
    <t>Other financing sources (uses):</t>
  </si>
  <si>
    <t>Total other financing sources (uses)</t>
  </si>
  <si>
    <t>Exhibit 5</t>
  </si>
  <si>
    <t>City of Dogwood, North Carolina</t>
  </si>
  <si>
    <t>Law Enforcement Officers' Special Separation Allowance</t>
  </si>
  <si>
    <t>Required Supplementary Information</t>
  </si>
  <si>
    <t>Schedule of Funding Progress</t>
  </si>
  <si>
    <t>Actuarial Accrued</t>
  </si>
  <si>
    <t>Actuarial</t>
  </si>
  <si>
    <t>Liability (AAL)</t>
  </si>
  <si>
    <t>Unfunded</t>
  </si>
  <si>
    <t>UAAL as a</t>
  </si>
  <si>
    <t>Value of</t>
  </si>
  <si>
    <t>-Projected Unit</t>
  </si>
  <si>
    <t xml:space="preserve">AAL </t>
  </si>
  <si>
    <t>Funded</t>
  </si>
  <si>
    <t>Covered</t>
  </si>
  <si>
    <t>% of Covered</t>
  </si>
  <si>
    <t>Valuation</t>
  </si>
  <si>
    <t>Credit</t>
  </si>
  <si>
    <t>(UAAL)</t>
  </si>
  <si>
    <t>Ratio</t>
  </si>
  <si>
    <t>Payroll</t>
  </si>
  <si>
    <t>Date</t>
  </si>
  <si>
    <t>(a)</t>
  </si>
  <si>
    <t>(b)</t>
  </si>
  <si>
    <t>(b - a)</t>
  </si>
  <si>
    <t>(a/b)</t>
  </si>
  <si>
    <t>(c)</t>
  </si>
  <si>
    <t>((b - a)/c)</t>
  </si>
  <si>
    <t>Due from other governments</t>
  </si>
  <si>
    <t>Special Revenue Fund - Grant Project Fund</t>
  </si>
  <si>
    <t>Changes in Fund Balances - Budget and Actual</t>
  </si>
  <si>
    <t>Project</t>
  </si>
  <si>
    <t>Actual</t>
  </si>
  <si>
    <t>Variance</t>
  </si>
  <si>
    <t>Prior</t>
  </si>
  <si>
    <t xml:space="preserve">Current </t>
  </si>
  <si>
    <t>Total to</t>
  </si>
  <si>
    <t xml:space="preserve"> </t>
  </si>
  <si>
    <t>Years</t>
  </si>
  <si>
    <t>Year</t>
  </si>
  <si>
    <t xml:space="preserve">Community Development </t>
  </si>
  <si>
    <t xml:space="preserve">Economic and physical </t>
  </si>
  <si>
    <t xml:space="preserve">  development:</t>
  </si>
  <si>
    <t>Street improvements</t>
  </si>
  <si>
    <t>Construction</t>
  </si>
  <si>
    <t>Rehabilitation</t>
  </si>
  <si>
    <t>Demolition</t>
  </si>
  <si>
    <t>Revenues over expenditures</t>
  </si>
  <si>
    <t>-</t>
  </si>
  <si>
    <t>Budget</t>
  </si>
  <si>
    <t>Ad valorem taxes:</t>
  </si>
  <si>
    <t xml:space="preserve">Total </t>
  </si>
  <si>
    <t>Other taxes and licenses:</t>
  </si>
  <si>
    <t>Local option sales taxes</t>
  </si>
  <si>
    <t>Gross receipts tax on short-term
rental property</t>
  </si>
  <si>
    <t>Animal taxes</t>
  </si>
  <si>
    <t>Unrestricted intergovernmental:</t>
  </si>
  <si>
    <t>Telecommunications sales tax</t>
  </si>
  <si>
    <t>Beer and wine tax</t>
  </si>
  <si>
    <t>Restricted intergovernmental:</t>
  </si>
  <si>
    <t>Powell Bill allocation</t>
  </si>
  <si>
    <t>Controlled substance tax</t>
  </si>
  <si>
    <t>On-behalf of payments - Fire and Rescue</t>
  </si>
  <si>
    <t>Permits and fees:</t>
  </si>
  <si>
    <t>Inspection fees</t>
  </si>
  <si>
    <t>Sales and services:</t>
  </si>
  <si>
    <t>Recreation department fees</t>
  </si>
  <si>
    <t>Miscellaneous:</t>
  </si>
  <si>
    <t>Sale of materials</t>
  </si>
  <si>
    <t>General government:</t>
  </si>
  <si>
    <t>Salaries and employee benefits</t>
  </si>
  <si>
    <t>Professional services</t>
  </si>
  <si>
    <t>Membership dues</t>
  </si>
  <si>
    <t>Other operating expenditures</t>
  </si>
  <si>
    <t>Reimbursement - proprietary funds</t>
  </si>
  <si>
    <t>Administration:</t>
  </si>
  <si>
    <t>Finance:</t>
  </si>
  <si>
    <t>Taxes:</t>
  </si>
  <si>
    <t>Collection fees</t>
  </si>
  <si>
    <t>Legal:</t>
  </si>
  <si>
    <t>Contracted services</t>
  </si>
  <si>
    <t>Public buildings:</t>
  </si>
  <si>
    <t>Vehicle maintenance</t>
  </si>
  <si>
    <t>Total general government</t>
  </si>
  <si>
    <t>Public safety:</t>
  </si>
  <si>
    <t>Police:</t>
  </si>
  <si>
    <t>Fire:</t>
  </si>
  <si>
    <t>Inspections:</t>
  </si>
  <si>
    <t>Rescue units:</t>
  </si>
  <si>
    <t>Assistance to local rescue units</t>
  </si>
  <si>
    <t>Total public safety</t>
  </si>
  <si>
    <t>Transportation:</t>
  </si>
  <si>
    <t>Streets and highways:</t>
  </si>
  <si>
    <t>Sidewalk construction</t>
  </si>
  <si>
    <t>Street Lights</t>
  </si>
  <si>
    <t>Contribution to regional airport</t>
  </si>
  <si>
    <t>Total transportation</t>
  </si>
  <si>
    <t>Environmental protection:</t>
  </si>
  <si>
    <t>Solid waste:</t>
  </si>
  <si>
    <t>Tipping fees</t>
  </si>
  <si>
    <t>Total environmental protection</t>
  </si>
  <si>
    <t>Culture and recreation:</t>
  </si>
  <si>
    <t>Parks and  recreation:</t>
  </si>
  <si>
    <t>Libraries:</t>
  </si>
  <si>
    <t>Contribution to regional library</t>
  </si>
  <si>
    <t>Total culture and recreation</t>
  </si>
  <si>
    <t>Total debt service</t>
  </si>
  <si>
    <t>Capital Projects Fund</t>
  </si>
  <si>
    <t xml:space="preserve">     Total</t>
  </si>
  <si>
    <t>Capital Projects Fund - Parking and Recreation</t>
  </si>
  <si>
    <t>Recreation Project:</t>
  </si>
  <si>
    <t>State grant</t>
  </si>
  <si>
    <t>Capital outlay:</t>
  </si>
  <si>
    <t>Parking Facility Project:</t>
  </si>
  <si>
    <t>Revenues under expenditures</t>
  </si>
  <si>
    <t>Parking Facility Project :</t>
  </si>
  <si>
    <t>Total other financing sources</t>
  </si>
  <si>
    <t>Schedule of Revenues and Expenditures</t>
  </si>
  <si>
    <t>Budget and Actual (Non - GAAP)</t>
  </si>
  <si>
    <t xml:space="preserve">Variance </t>
  </si>
  <si>
    <t>Operating revenues:</t>
  </si>
  <si>
    <t xml:space="preserve">    Residential</t>
  </si>
  <si>
    <t xml:space="preserve">    Commercial and industrial</t>
  </si>
  <si>
    <t xml:space="preserve">    Municipal usage</t>
  </si>
  <si>
    <t>Nonoperating revenues:</t>
  </si>
  <si>
    <t>Interest earnings</t>
  </si>
  <si>
    <t>Supplies</t>
  </si>
  <si>
    <t>Insurance</t>
  </si>
  <si>
    <t>Utility service fee</t>
  </si>
  <si>
    <t>Electrical  operations:</t>
  </si>
  <si>
    <t>Contracted  maintenance</t>
  </si>
  <si>
    <t>Electrical power purchases</t>
  </si>
  <si>
    <t>Equipment</t>
  </si>
  <si>
    <t>Rate Stabilization Fund</t>
  </si>
  <si>
    <t xml:space="preserve">Reconciliation from budgetary basis </t>
  </si>
  <si>
    <t>(modified accrual) to full accrual:</t>
  </si>
  <si>
    <t>Reconciling items:</t>
  </si>
  <si>
    <t>Transfer to Rate Stabilization Fund</t>
  </si>
  <si>
    <t>Capital outlays</t>
  </si>
  <si>
    <t>Increase in accrued vacation pay</t>
  </si>
  <si>
    <t>Electric Rate Stabilization Fund</t>
  </si>
  <si>
    <t>Electric Operating Fund</t>
  </si>
  <si>
    <t xml:space="preserve">     Total other financing</t>
  </si>
  <si>
    <t xml:space="preserve">        sources (uses)</t>
  </si>
  <si>
    <t>Revenues over other financing</t>
  </si>
  <si>
    <t xml:space="preserve">    sources (uses)</t>
  </si>
  <si>
    <t xml:space="preserve">  </t>
  </si>
  <si>
    <t>Water sales:</t>
  </si>
  <si>
    <t xml:space="preserve">   Residential</t>
  </si>
  <si>
    <t xml:space="preserve">   Commercial and industrial</t>
  </si>
  <si>
    <t xml:space="preserve">     Municipal usage </t>
  </si>
  <si>
    <t>Sewer charges:</t>
  </si>
  <si>
    <t>Water and sewer administration:</t>
  </si>
  <si>
    <t>Travel</t>
  </si>
  <si>
    <t>Utility service fees</t>
  </si>
  <si>
    <t>Total water and sewer</t>
  </si>
  <si>
    <t xml:space="preserve">   administration</t>
  </si>
  <si>
    <t>Water treatment and distribution:</t>
  </si>
  <si>
    <t>Water treatment plant:</t>
  </si>
  <si>
    <t xml:space="preserve">   Salaries and employee benefits</t>
  </si>
  <si>
    <t xml:space="preserve">   Chemicals</t>
  </si>
  <si>
    <t xml:space="preserve">   Supplies</t>
  </si>
  <si>
    <t xml:space="preserve">   Other operating expenditures</t>
  </si>
  <si>
    <t xml:space="preserve">   Utility service fee</t>
  </si>
  <si>
    <t>Raw water pump station:</t>
  </si>
  <si>
    <t xml:space="preserve">   Electric power</t>
  </si>
  <si>
    <t>Water distribution:</t>
  </si>
  <si>
    <t xml:space="preserve">   Meter replacements</t>
  </si>
  <si>
    <t xml:space="preserve">Total water treatment and </t>
  </si>
  <si>
    <t xml:space="preserve">   distribution</t>
  </si>
  <si>
    <t>Waste collection and treatment:</t>
  </si>
  <si>
    <t>Sewage collection system:</t>
  </si>
  <si>
    <t>Primary waste treatment:</t>
  </si>
  <si>
    <t>Secondary waste treatment:</t>
  </si>
  <si>
    <t xml:space="preserve">Total waste collection and </t>
  </si>
  <si>
    <t xml:space="preserve">   treatment</t>
  </si>
  <si>
    <t>Water extensions</t>
  </si>
  <si>
    <t>Water taps</t>
  </si>
  <si>
    <t>Miscellaneous water</t>
  </si>
  <si>
    <t>Sewer extensions</t>
  </si>
  <si>
    <t>Sewer taps</t>
  </si>
  <si>
    <t>Miscellaneous sewer</t>
  </si>
  <si>
    <t>Total capital outlay</t>
  </si>
  <si>
    <t xml:space="preserve">  (uses)</t>
  </si>
  <si>
    <t xml:space="preserve">   expenditures and other uses</t>
  </si>
  <si>
    <t>Total reconciling items</t>
  </si>
  <si>
    <t>Water and Sewer Capital Projects Fund</t>
  </si>
  <si>
    <t>Schedule of Revenues and Expenditures - Budget and Actual (Non - GAAP)</t>
  </si>
  <si>
    <t>Revenues - Water Project :</t>
  </si>
  <si>
    <t>Federal grant</t>
  </si>
  <si>
    <t>Revenues - Sewer Project:</t>
  </si>
  <si>
    <t>Total  revenues</t>
  </si>
  <si>
    <t>Expenditures - Water Project:</t>
  </si>
  <si>
    <t>Engineering</t>
  </si>
  <si>
    <t>Expenditures - Sewer Project:</t>
  </si>
  <si>
    <t>Land</t>
  </si>
  <si>
    <t>Total other sources</t>
  </si>
  <si>
    <t>Revenues and other sources</t>
  </si>
  <si>
    <t xml:space="preserve">   over (under) expenditures</t>
  </si>
  <si>
    <t>Central Garage Internal Service Fund</t>
  </si>
  <si>
    <t>Schedule of Revenues and Expenditures - Financial Plan  and Actual (Non - GAAP)</t>
  </si>
  <si>
    <t xml:space="preserve">Financial </t>
  </si>
  <si>
    <t>Plan</t>
  </si>
  <si>
    <t>Reconciliation from financial plan</t>
  </si>
  <si>
    <t>basis (modified accrual) to full accrual:</t>
  </si>
  <si>
    <t>Schedule of Ad Valorem Taxes Receivable</t>
  </si>
  <si>
    <t>Uncollected</t>
  </si>
  <si>
    <t>Balance</t>
  </si>
  <si>
    <t>Collections</t>
  </si>
  <si>
    <t>Fiscal Year</t>
  </si>
  <si>
    <t>Additions</t>
  </si>
  <si>
    <t>And Credits</t>
  </si>
  <si>
    <t>--</t>
  </si>
  <si>
    <t>(d)</t>
  </si>
  <si>
    <t>Less:  allowance for uncollectible accounts:</t>
  </si>
  <si>
    <t xml:space="preserve">    General Fund</t>
  </si>
  <si>
    <t>Ad valorem taxes receivable - net</t>
  </si>
  <si>
    <t>Ad valorem taxes - General Fund</t>
  </si>
  <si>
    <t xml:space="preserve">  Reconciling items:</t>
  </si>
  <si>
    <t xml:space="preserve">     Interest collected</t>
  </si>
  <si>
    <t xml:space="preserve">     Discounts allowed</t>
  </si>
  <si>
    <t xml:space="preserve">     Taxes written off</t>
  </si>
  <si>
    <t xml:space="preserve">       Subtotal</t>
  </si>
  <si>
    <t xml:space="preserve">Total collections and credits </t>
  </si>
  <si>
    <t>Analysis of Current Tax Levy</t>
  </si>
  <si>
    <t>City - Wide Levy</t>
  </si>
  <si>
    <t>Total Levy</t>
  </si>
  <si>
    <t>Property</t>
  </si>
  <si>
    <t>excluding</t>
  </si>
  <si>
    <t>City - Wide</t>
  </si>
  <si>
    <t>Registered</t>
  </si>
  <si>
    <t>Motor</t>
  </si>
  <si>
    <t>Rate</t>
  </si>
  <si>
    <t>Levy</t>
  </si>
  <si>
    <t>Vehicles</t>
  </si>
  <si>
    <t>Original levy:</t>
  </si>
  <si>
    <t>.60</t>
  </si>
  <si>
    <t xml:space="preserve">   Total property valuation</t>
  </si>
  <si>
    <t>Net levy</t>
  </si>
  <si>
    <t>Current year's taxes collected</t>
  </si>
  <si>
    <t>Current levy collection percentage</t>
  </si>
  <si>
    <t>Transfers</t>
  </si>
  <si>
    <t>Enterprise Fund</t>
  </si>
  <si>
    <t>Exhibit 8</t>
  </si>
  <si>
    <t>Statement of Cash Flows</t>
  </si>
  <si>
    <t>Water and</t>
  </si>
  <si>
    <t>Internal</t>
  </si>
  <si>
    <t>Electric</t>
  </si>
  <si>
    <t>Sewer</t>
  </si>
  <si>
    <t>Service</t>
  </si>
  <si>
    <t>Fund</t>
  </si>
  <si>
    <t>CASH FLOWS FROM OPERATING ACTIVITIES</t>
  </si>
  <si>
    <t>Cash paid for goods and services</t>
  </si>
  <si>
    <t>Cash paid to or on behalf of employees for services</t>
  </si>
  <si>
    <t>Customer deposits received</t>
  </si>
  <si>
    <t>Customer deposits returned</t>
  </si>
  <si>
    <t>Net cash provided (used) by operating activities</t>
  </si>
  <si>
    <t>CASH FLOWS FROM NONCAPITAL FINANCING ACTIVITIES</t>
  </si>
  <si>
    <t>CASH FLOWS FROM CAPITAL AND RELATED FINANCING ACTIVITIES</t>
  </si>
  <si>
    <t>Acquisition and construction of capital assets</t>
  </si>
  <si>
    <t>Capital contributions-State grant</t>
  </si>
  <si>
    <t>Capital contributions-federal grant</t>
  </si>
  <si>
    <t>Net cash provided (used) by capital and related financing activities</t>
  </si>
  <si>
    <t>CASH FLOWS FROM INVESTING ACTIVITIES</t>
  </si>
  <si>
    <t>Interest and dividends</t>
  </si>
  <si>
    <t>Net increase (decrease) in cash and cash equivalents</t>
  </si>
  <si>
    <t>Reconciliation of operating income to net cash provided by operating activities</t>
  </si>
  <si>
    <t>Operating income</t>
  </si>
  <si>
    <t>Adjustments to reconcile operating income to net cash provided by operating activities:</t>
  </si>
  <si>
    <t>(Increase) decrease in accounts receivable</t>
  </si>
  <si>
    <t>Increase (decrease) in allowance for doubtful accounts</t>
  </si>
  <si>
    <t>Increase (decrease) in accounts payable and accrued liabilities</t>
  </si>
  <si>
    <t>Total adjustments</t>
  </si>
  <si>
    <t>Net cash provided by operating activities</t>
  </si>
  <si>
    <t>Total other financing (uses)</t>
  </si>
  <si>
    <t>Other financing (uses):</t>
  </si>
  <si>
    <t xml:space="preserve">    and other financing (uses)</t>
  </si>
  <si>
    <t>Transfer to other fund:</t>
  </si>
  <si>
    <t>ABC Revenue for law enforcement</t>
  </si>
  <si>
    <t>ABC profit distribution</t>
  </si>
  <si>
    <t>From General Fund</t>
  </si>
  <si>
    <t>Exhibit 2</t>
  </si>
  <si>
    <t>Statement of Activities</t>
  </si>
  <si>
    <t>Primary Government</t>
  </si>
  <si>
    <t>Functions/Programs</t>
  </si>
  <si>
    <t>Charges for Services</t>
  </si>
  <si>
    <t>Operating Grants and Contributions</t>
  </si>
  <si>
    <t>Capital Grants and Contributions</t>
  </si>
  <si>
    <t>Governmental Activities</t>
  </si>
  <si>
    <t>Business-type Activities</t>
  </si>
  <si>
    <t>Primary government:</t>
  </si>
  <si>
    <t>Governmental Activities:</t>
  </si>
  <si>
    <t>Interest on long-term debt</t>
  </si>
  <si>
    <t>Business-type activities:</t>
  </si>
  <si>
    <t>Total business-type activities</t>
  </si>
  <si>
    <t>Total primary government</t>
  </si>
  <si>
    <t>General revenues:</t>
  </si>
  <si>
    <t>Property taxes, levied for general purpose</t>
  </si>
  <si>
    <t>Grants and contributions not restricted to specific programs</t>
  </si>
  <si>
    <t>Unrestricted investment earnings</t>
  </si>
  <si>
    <t>Exhibit 1</t>
  </si>
  <si>
    <t>Internal balances</t>
  </si>
  <si>
    <t>Other capital assets, net of depreciation</t>
  </si>
  <si>
    <t>Total capital assets</t>
  </si>
  <si>
    <t>Due in more than one year</t>
  </si>
  <si>
    <t>Restricted for:</t>
  </si>
  <si>
    <t>Water and sewer</t>
  </si>
  <si>
    <t>ABC Board</t>
  </si>
  <si>
    <t>Due from other funds</t>
  </si>
  <si>
    <t>Cash received from customers</t>
  </si>
  <si>
    <t>Adjustment to reflect the consolidation of internal service fund activities related to enterprise funds.</t>
  </si>
  <si>
    <t>Capital outlays:</t>
  </si>
  <si>
    <t>Due from component units</t>
  </si>
  <si>
    <t>Payable from restricted assets</t>
  </si>
  <si>
    <t>Other taxes</t>
  </si>
  <si>
    <t>Taxes receivables (net)</t>
  </si>
  <si>
    <t>Accounts receivable (net)</t>
  </si>
  <si>
    <t>Accrued interest receivable on taxes</t>
  </si>
  <si>
    <t>Accrued interest payable</t>
  </si>
  <si>
    <t>Change in reserve for inventories</t>
  </si>
  <si>
    <t>Due to primary government</t>
  </si>
  <si>
    <t>Due to other governments</t>
  </si>
  <si>
    <t>Amounts reported for governmental activities in the statement of activities are</t>
  </si>
  <si>
    <t>different because:</t>
  </si>
  <si>
    <t>Some expenses reported in the statement of activities do not require the use of current financial resources and, therefore, are not reported as expenditures in governmental funds.</t>
  </si>
  <si>
    <t>Transfers from other funds</t>
  </si>
  <si>
    <t>Transfers to other funds</t>
  </si>
  <si>
    <t>Net changes in fund balances - total governmental funds</t>
  </si>
  <si>
    <t>Revenues in the statement of activities that do not provide current financial resources are not reported as revenues in the funds.</t>
  </si>
  <si>
    <t>Capital assets:</t>
  </si>
  <si>
    <t xml:space="preserve">Schedule of Revenues, Expenditures, and </t>
  </si>
  <si>
    <t>Schedule of Revenues, Expenditures, and Changes in Fund Balances - Budget and Actual</t>
  </si>
  <si>
    <t>Major Funds</t>
  </si>
  <si>
    <t>Other noncurrent liabilities:</t>
  </si>
  <si>
    <t>Transfers from other funds:</t>
  </si>
  <si>
    <t>Transfers to other funds:</t>
  </si>
  <si>
    <t>(continued)</t>
  </si>
  <si>
    <t xml:space="preserve">  Amount of donated assets</t>
  </si>
  <si>
    <t>Long-term liabilities:</t>
  </si>
  <si>
    <t>General Fund and Annually Budgeted Major Special Revenue Fund</t>
  </si>
  <si>
    <t>Bond anticipation notes issued</t>
  </si>
  <si>
    <t>Increase in customer deposits</t>
  </si>
  <si>
    <t>Installment purchase obligations</t>
  </si>
  <si>
    <t xml:space="preserve"> issued</t>
  </si>
  <si>
    <t>General obligation bonds issued</t>
  </si>
  <si>
    <t>Revenue bonds issued</t>
  </si>
  <si>
    <t xml:space="preserve">Note: Revenue includes operating and nonoperating but not other financing sources. Amounts should be taken from the fund statements instead of the government-wide. </t>
  </si>
  <si>
    <t>Installment purchase obligations issued</t>
  </si>
  <si>
    <t>Total operating expenses</t>
  </si>
  <si>
    <t>Combining Balance Sheet</t>
  </si>
  <si>
    <t>Nonmajor Governmental Funds</t>
  </si>
  <si>
    <t>Total Nonmajor</t>
  </si>
  <si>
    <t>Grant Project</t>
  </si>
  <si>
    <t>Governmental</t>
  </si>
  <si>
    <t>Funds</t>
  </si>
  <si>
    <t>Accounts receivable, net</t>
  </si>
  <si>
    <t>Combining Statement of Revenues, Expenditures, and Changes in Fund Balances</t>
  </si>
  <si>
    <t>Cemetery Care Fund</t>
  </si>
  <si>
    <t>Total Non-Major Funds</t>
  </si>
  <si>
    <t>Perpetual maintenance</t>
  </si>
  <si>
    <t>Change in fund balance due to change in reserve for inventory</t>
  </si>
  <si>
    <t>Interest</t>
  </si>
  <si>
    <t xml:space="preserve">State grant </t>
  </si>
  <si>
    <t>Sales of capital assets</t>
  </si>
  <si>
    <t>Fund balances, ending</t>
  </si>
  <si>
    <t>Prior period adjustment</t>
  </si>
  <si>
    <t>Fund balances, beginning as previously</t>
  </si>
  <si>
    <t>reported</t>
  </si>
  <si>
    <t>Major Enterprise Funds</t>
  </si>
  <si>
    <t>Total general revenues and transfers</t>
  </si>
  <si>
    <t>City of Dogwood ABC Board</t>
  </si>
  <si>
    <t>Component unit:</t>
  </si>
  <si>
    <t>Total component unit</t>
  </si>
  <si>
    <t>Enterprise Funds</t>
  </si>
  <si>
    <t xml:space="preserve">Fund balances, beginning as </t>
  </si>
  <si>
    <t>Prior period adjustment (Note III.D.)</t>
  </si>
  <si>
    <t>Extraordinary Item: Gain on insurance recovery</t>
  </si>
  <si>
    <t>Insurance recovery</t>
  </si>
  <si>
    <t>Extraordinary item: gain on insurance recovery</t>
  </si>
  <si>
    <t>Insurance Recovery</t>
  </si>
  <si>
    <t>Impairment loss on waste aerating facility</t>
  </si>
  <si>
    <t>Restoration of flood damage</t>
  </si>
  <si>
    <t>Current portion of long-term liabilities</t>
  </si>
  <si>
    <t>Non-current assets:</t>
  </si>
  <si>
    <t>Accumulated depreciation</t>
  </si>
  <si>
    <t>Gross capital assets at historical cost</t>
  </si>
  <si>
    <t>Depreciation expense for governmental assets</t>
  </si>
  <si>
    <t>Asset impairment loss</t>
  </si>
  <si>
    <t>Sale of capital assets</t>
  </si>
  <si>
    <t>Fund balance appropriated</t>
  </si>
  <si>
    <t>Capital outlay expenditures which were capitalized</t>
  </si>
  <si>
    <t>Liabilities payable from restricted assets:</t>
  </si>
  <si>
    <t>Capital assets (Note 4):</t>
  </si>
  <si>
    <r>
      <t xml:space="preserve">General Fund </t>
    </r>
    <r>
      <rPr>
        <sz val="9"/>
        <rFont val="Arial"/>
        <family val="2"/>
      </rPr>
      <t>(payment in lieu of taxes)</t>
    </r>
  </si>
  <si>
    <t>Building Grant</t>
  </si>
  <si>
    <t>Due to (from) other funds</t>
  </si>
  <si>
    <t>Consolidation adjustment for internal balances between the Internal Service Fund and the Governmental Funds</t>
  </si>
  <si>
    <t>General obligation bonds payable- current</t>
  </si>
  <si>
    <t>Cemetery</t>
  </si>
  <si>
    <t xml:space="preserve">   New long-term debt issued</t>
  </si>
  <si>
    <t xml:space="preserve">   Principal payments on long-term debt</t>
  </si>
  <si>
    <t xml:space="preserve">   Increase in accrued interest payable </t>
  </si>
  <si>
    <t>Video franchise fee</t>
  </si>
  <si>
    <t>Stormwater:</t>
  </si>
  <si>
    <t>Maps</t>
  </si>
  <si>
    <t>Land use study</t>
  </si>
  <si>
    <t>Land and construction in progress</t>
  </si>
  <si>
    <t xml:space="preserve">Capital assets </t>
  </si>
  <si>
    <t>Solid waste disposal tax</t>
  </si>
  <si>
    <t xml:space="preserve">Program Revenues     </t>
  </si>
  <si>
    <t>Restricted cash and cash equivalents</t>
  </si>
  <si>
    <t>(Increase) decrease in inventory</t>
  </si>
  <si>
    <t>Increase in prepaid items</t>
  </si>
  <si>
    <t>Water and Sewer Fund by Function</t>
  </si>
  <si>
    <t>Water</t>
  </si>
  <si>
    <t>Revenue bond payable - noncurrent</t>
  </si>
  <si>
    <t>Compensated absences -current</t>
  </si>
  <si>
    <t>Revenues over(under) expenditures</t>
  </si>
  <si>
    <t>Schedule of Cash Flows</t>
  </si>
  <si>
    <t xml:space="preserve">   Maintenance</t>
  </si>
  <si>
    <t>Increase in accrued OPEB liability</t>
  </si>
  <si>
    <t>Total general revenues not including transfers</t>
  </si>
  <si>
    <t>Building permits</t>
  </si>
  <si>
    <t xml:space="preserve">   (Increase) decrease in accounts receivable</t>
  </si>
  <si>
    <t>Interest Income</t>
  </si>
  <si>
    <t>Non Spendable</t>
  </si>
  <si>
    <t>Assigned</t>
  </si>
  <si>
    <t>Restricted</t>
  </si>
  <si>
    <t>Streets</t>
  </si>
  <si>
    <t>Public Safety</t>
  </si>
  <si>
    <t>Unassigned</t>
  </si>
  <si>
    <t>and Changes in Fund Balance - Budget and Actual</t>
  </si>
  <si>
    <t>Economic Development</t>
  </si>
  <si>
    <t>Transfer from the General Fund</t>
  </si>
  <si>
    <t>Economic Development Fund</t>
  </si>
  <si>
    <t>Other functions</t>
  </si>
  <si>
    <t>Subsequent year's expenditures</t>
  </si>
  <si>
    <t>consolidated into the General Fund for reporting purposes:</t>
  </si>
  <si>
    <t>A legally budgeted Economic Development Fund is</t>
  </si>
  <si>
    <t>Stabilization by State Statute</t>
  </si>
  <si>
    <t>Long-term liabilities used in governmental activities are not financial uses and therefore are not reported in the funds</t>
  </si>
  <si>
    <t>Consolidation adjustment for the Internal Service Fund and the Governmental Funds</t>
  </si>
  <si>
    <t>Net revenue of internal service fund</t>
  </si>
  <si>
    <t>Portion of revenue allocated to business-type activities</t>
  </si>
  <si>
    <t xml:space="preserve">   Customer deposits</t>
  </si>
  <si>
    <t>Interest earned</t>
  </si>
  <si>
    <t>Implemental functions</t>
  </si>
  <si>
    <t>Telephone</t>
  </si>
  <si>
    <t>Furniture</t>
  </si>
  <si>
    <t>Software maintenance</t>
  </si>
  <si>
    <t>Hardware maintenance</t>
  </si>
  <si>
    <t>Training</t>
  </si>
  <si>
    <t>S.L. 2010-158 Expenditures</t>
  </si>
  <si>
    <t>Other financing sources:</t>
  </si>
  <si>
    <t>Appropriated fund balance</t>
  </si>
  <si>
    <t>Cemetery Perpetual Care</t>
  </si>
  <si>
    <t xml:space="preserve">   previously reported</t>
  </si>
  <si>
    <t>Statement of Net Position</t>
  </si>
  <si>
    <t>Statement of Revenues, Expenses, and Changes in Fund Net Position</t>
  </si>
  <si>
    <t>DEFERRED INFLOWS OF RESOURCES</t>
  </si>
  <si>
    <t>Total deferred inflows of resources</t>
  </si>
  <si>
    <t>NET POSITION</t>
  </si>
  <si>
    <t>Total net position</t>
  </si>
  <si>
    <t>Total changes in net position of governmental activities</t>
  </si>
  <si>
    <t>Net position of business-type activities</t>
  </si>
  <si>
    <t>Change in net position</t>
  </si>
  <si>
    <t>Schedule of Net Position</t>
  </si>
  <si>
    <t>Prepaid taxes</t>
  </si>
  <si>
    <t>Total liabilities, deferred inflows of resources and fund balances</t>
  </si>
  <si>
    <t>Assets and Deferred Outflows of Resources</t>
  </si>
  <si>
    <t>Liabilities and Deferred Inflows of Resources</t>
  </si>
  <si>
    <t>Decrease in due to other funds</t>
  </si>
  <si>
    <t>Net investment in capital assets</t>
  </si>
  <si>
    <t>Total deferred outflows of resources</t>
  </si>
  <si>
    <t>DEFERRED OUTFLOWS OF RESOURCES</t>
  </si>
  <si>
    <t>Deferred charge on refunding</t>
  </si>
  <si>
    <t>General obligation bonds payable-noncurrent</t>
  </si>
  <si>
    <t>FUND BALANCES</t>
  </si>
  <si>
    <t>Amounts reported for governmental activities in the Statement of Net Position (Exhibit 1) are different because:</t>
  </si>
  <si>
    <t>Long-term debt included as net position below (includes the addition of long-term debt and principal payments during the year.)</t>
  </si>
  <si>
    <t>Net position of governmental activities</t>
  </si>
  <si>
    <t>Payments in lieu of taxes (external sources)</t>
  </si>
  <si>
    <t>Expenditures/Expenses</t>
  </si>
  <si>
    <t>The issuance of long-term debt provides current financial resources to governmental funds, while the repayment of the principal of long-term debt consumes the current financial resources of governmental funds.  Neither transaction has any effect on net position.  This amount is the net effect of these differences in the treatment of long-term debt and related items.</t>
  </si>
  <si>
    <t>Charge on refunding</t>
  </si>
  <si>
    <t>Net (Expense) Revenue and Changes in Net Position</t>
  </si>
  <si>
    <t xml:space="preserve">  Change in unavailable revenue for tax revenues</t>
  </si>
  <si>
    <t>Schedule of Revenues, Expenses, and Changes in Fund Net Position</t>
  </si>
  <si>
    <t>Statement of Fund Net Position</t>
  </si>
  <si>
    <t>Property taxes receivable</t>
  </si>
  <si>
    <t>Property taxed at current rate</t>
  </si>
  <si>
    <t>Reconciliation to revenues:</t>
  </si>
  <si>
    <t>Internal service funds are used by management to charge the costs of certain activities, such as insurance and telecommunications, to individual funds. The assets and liabilities of certain internal service funds are included in governmental activities in the statement of net position.</t>
  </si>
  <si>
    <r>
      <t>NOTE TO PREPARER:</t>
    </r>
    <r>
      <rPr>
        <sz val="10"/>
        <color indexed="8"/>
        <rFont val="Arial"/>
        <family val="2"/>
      </rPr>
      <t xml:space="preserve">  The consolidation of the internal service fund activities related to the enterprise fund is shown for illustrative purposes only.  The amount shown here is clearly immaterial and should be allocated back to the primary user of the internal service fund (in Dogwood, the General Fund)  instead of consolidated with the enterprise fund.  However, we chose to leave the allocation here for illustrative purposes so that the user could see how this consolidation, if material, should be treated.  </t>
    </r>
  </si>
  <si>
    <r>
      <t>Note to preparer</t>
    </r>
    <r>
      <rPr>
        <sz val="10"/>
        <color indexed="8"/>
        <rFont val="Arial"/>
        <family val="2"/>
      </rPr>
      <t xml:space="preserve">:  The City of Dogwood budgets a Economic Development Fund that does not meet the GASB Statement 54 definition of a Special Revenue Fund.  The primary revenue source of the Economic Development Fund is a General Fund transfer of unassigned revenues, which is not a restricted or committed revenue resource for a Special Revenue Fund as defined by GASB Statement 54.  This fund is consolidated in the General Fund for reporting purposes.  </t>
    </r>
  </si>
  <si>
    <r>
      <t>NOTE TO PREPARER:</t>
    </r>
    <r>
      <rPr>
        <sz val="10"/>
        <color indexed="8"/>
        <rFont val="Arial"/>
        <family val="2"/>
      </rPr>
      <t xml:space="preserve">  As requested by the USDA, those governments who have borrowed from the USDA must report for their water and sewer systems separately.  For the City of Dogwood, it is assumed that the budgeting and accounting for water and sewer services are performed for the Water and Sewer Fund as a whole.  To accommodate the USDA's request, the separation by function of the Water and Sewer Fund has been included as Supplementary Information.  This is for illustrative purposes only.</t>
    </r>
  </si>
  <si>
    <t>Plan fiduciary net position as a percentage of the total pension liability</t>
  </si>
  <si>
    <t>Contractually required contribution</t>
  </si>
  <si>
    <t>Contributions in relation to the contractually required contribution</t>
  </si>
  <si>
    <t>Contribution deficiency (excess)</t>
  </si>
  <si>
    <t>Pension deferrals</t>
  </si>
  <si>
    <t>Less Internal Service Fund's beginning net capital assets included as net position below (include the addition to accumulated depreciation less capital outlays during the year)</t>
  </si>
  <si>
    <t>Other long-term assets (accrued interest receivable from taxes) are not available to pay for current-period expenditures and therefore are inflows of resources in the funds.</t>
  </si>
  <si>
    <t>Earned revenues considered deferred inflows of resources in fund statements.</t>
  </si>
  <si>
    <t>Firefighters' and Rescue Squad Workers' Pension</t>
  </si>
  <si>
    <t>Business registration fee</t>
  </si>
  <si>
    <t>Utilities sales tax</t>
  </si>
  <si>
    <t>Piped natural gas sales tax</t>
  </si>
  <si>
    <t>Pension expense</t>
  </si>
  <si>
    <r>
      <t xml:space="preserve">Note to Preparer:  </t>
    </r>
    <r>
      <rPr>
        <sz val="10"/>
        <color indexed="8"/>
        <rFont val="Arial"/>
        <family val="2"/>
      </rPr>
      <t>The City adopted a fund balance spending policy after implementation of GASB Statement No. 54.  It requires the City to first use restricted revenues before unrestricted revenues.  In this example, fund balance would be classified as assigned fund balance, since the expenditures of $590,000 used first the long term debt issuance of $200,000 then $205,000 of restricted revenue, and the remainder was covered by the $208,400 unrestricted revenue. In other circumstances fund balance could be classified as Committed in Capital Project Funds.  Please review Memo #2010-35 which addresses components of Fund Balance.</t>
    </r>
  </si>
  <si>
    <t>Advance from other funds</t>
  </si>
  <si>
    <t>Advance to other funds</t>
  </si>
  <si>
    <t>Increase in advances from other funds</t>
  </si>
  <si>
    <r>
      <t xml:space="preserve">Note to preparer:  </t>
    </r>
    <r>
      <rPr>
        <sz val="10"/>
        <color indexed="8"/>
        <rFont val="Arial"/>
        <family val="2"/>
      </rPr>
      <t>The lower case letters next to certain amounts on the Analysis of Current Tax Levy and in the above schedule show the relationships of taxes levied, taxes collected, and uncollected taxes on both schedules.</t>
    </r>
  </si>
  <si>
    <t>Contributions to pension plan in fiscal year</t>
  </si>
  <si>
    <t>Advances from other funds</t>
  </si>
  <si>
    <t>Contributions to the pension plan in the current fiscal year are not included on the Statement of Activities</t>
  </si>
  <si>
    <r>
      <t>Note to preparer:</t>
    </r>
    <r>
      <rPr>
        <sz val="9"/>
        <rFont val="Arial"/>
        <family val="2"/>
      </rPr>
      <t xml:space="preserve">  A NC Supreme Court ruling and later interpretation of that ruling indicate that penalties assessed by local governments are in fact, property of the LEA.  It is our belief that this interpretation applies to fees including, but not limited to, late listing and failure to list penalties, NSF fees, and red light camera fees.  Under the State Constitution, units may withhold 10% of the funds to cover administrative costs.  Memorandum #1060 provides additional discussion on this subject. 
</t>
    </r>
  </si>
  <si>
    <r>
      <rPr>
        <b/>
        <sz val="10"/>
        <rFont val="Arial"/>
        <family val="2"/>
      </rPr>
      <t>Note to preparer</t>
    </r>
    <r>
      <rPr>
        <sz val="10"/>
        <rFont val="Arial"/>
        <family val="2"/>
      </rPr>
      <t xml:space="preserve">: Units that report to ORBIT under more than one ORBIT account number should present RSI as a total of their ORBIT accounts.  </t>
    </r>
  </si>
  <si>
    <r>
      <rPr>
        <b/>
        <sz val="10"/>
        <rFont val="Arial"/>
        <family val="2"/>
      </rPr>
      <t>Note to preparer</t>
    </r>
    <r>
      <rPr>
        <sz val="10"/>
        <rFont val="Arial"/>
        <family val="2"/>
      </rPr>
      <t xml:space="preserve">:  The amounts for contributions to the pension plan in the reconciliation differ from Exhibit 1 because a portion of these amounts have been allocated to the internal service fund on Exhibit 6.  The amounts on these two exhibits should be the same for units with no internal service fund.  </t>
    </r>
  </si>
  <si>
    <t xml:space="preserve">Schedule of Revenues, Expenditures, </t>
  </si>
  <si>
    <t>Changes in assets, deferred outflows of resources, and liabilities:</t>
  </si>
  <si>
    <t>Net pension liability</t>
  </si>
  <si>
    <r>
      <t>For budget purposes interest, discovery/"late listing" penalties, service fees, advertising fees and other costs are not principal tax and should be excluded form the collection percentage calculation.  Please refer to Budgets and Tax Collection Percentage (</t>
    </r>
    <r>
      <rPr>
        <u/>
        <sz val="10"/>
        <color indexed="8"/>
        <rFont val="Arial"/>
        <family val="2"/>
      </rPr>
      <t xml:space="preserve">http://canons.sog.unc.edu/?p=6483 </t>
    </r>
    <r>
      <rPr>
        <sz val="10"/>
        <color indexed="8"/>
        <rFont val="Arial"/>
        <family val="2"/>
      </rPr>
      <t xml:space="preserve">) by Chris McLaughlin from the School of Government at UNC Chapel-Hill for more information on tax collection percentages.  </t>
    </r>
  </si>
  <si>
    <t>Releases</t>
  </si>
  <si>
    <t>Increase in deferred outflows of resources  - pensions</t>
  </si>
  <si>
    <t>Increase in net pension liability</t>
  </si>
  <si>
    <t>Decrease in deferred inflows of resources - pensions</t>
  </si>
  <si>
    <t>Pursuant to loan requirements</t>
  </si>
  <si>
    <t>Restricted pursuant to loan requirements</t>
  </si>
  <si>
    <t>Discoveries - current and prior years</t>
  </si>
  <si>
    <t>Deferred outflows of resources related to pensions are not reported in the funds</t>
  </si>
  <si>
    <t>Deferred inflows of resources related to pensions are not reported in the funds</t>
  </si>
  <si>
    <r>
      <rPr>
        <b/>
        <sz val="10"/>
        <rFont val="Arial"/>
        <family val="2"/>
      </rPr>
      <t>Note to preparer</t>
    </r>
    <r>
      <rPr>
        <sz val="10"/>
        <rFont val="Arial"/>
        <family val="2"/>
      </rPr>
      <t xml:space="preserve">:  With the implementation of the asset provision of GASB Statement 73, employer contributions are no longer considered in the calculation of the net pension asset or pbligation for units who are not setting aside assets to fund the benefit in a trust fund.  The Schedule of Employer Contributions has been deleted. </t>
    </r>
  </si>
  <si>
    <r>
      <rPr>
        <b/>
        <sz val="10"/>
        <rFont val="Arial"/>
        <family val="2"/>
      </rPr>
      <t>Note to preparer</t>
    </r>
    <r>
      <rPr>
        <sz val="10"/>
        <rFont val="Arial"/>
        <family val="2"/>
      </rPr>
      <t>: Factors that would significantly affect the identification of trends in the amounts reported in the required schedules should be disclosed here (for example, in benefit provisions or the actuarial methods and assumptions used).</t>
    </r>
  </si>
  <si>
    <r>
      <t>NOTE TO PREPARER:</t>
    </r>
    <r>
      <rPr>
        <sz val="10"/>
        <color indexed="8"/>
        <rFont val="Arial"/>
        <family val="2"/>
      </rPr>
      <t xml:space="preserve">  The consolidation of the internal service fund activities related to the enterprise fund is shown for illustrative purposes only.  The amount shown here is clearly immaterial and should be allocated back the primary user of the internal service fund (in Dogwood, the General Fund)  instead of consolidated with the enterprise fund.  However, we chose to leave the allocation here for illustrative purposes so that the user could see how this consolidation, if material, should be treated.  </t>
    </r>
  </si>
  <si>
    <t>Total pension liability</t>
  </si>
  <si>
    <t>Benefit payments paid and administrative expense for the LEOSSA are not included on the Statement of Activities</t>
  </si>
  <si>
    <t>Contributions as a percentage of covered payroll</t>
  </si>
  <si>
    <t>Schedule of Changes in Total Pension Liability</t>
  </si>
  <si>
    <t xml:space="preserve">Law Enforcement Officers' Special Separation Allowance </t>
  </si>
  <si>
    <t>Beginning balance</t>
  </si>
  <si>
    <t>Interest on the total pension liability</t>
  </si>
  <si>
    <t>Changes of benefit terms</t>
  </si>
  <si>
    <t>Changes of assumptions or other inputs</t>
  </si>
  <si>
    <t>Benefit payments</t>
  </si>
  <si>
    <t>Other changes</t>
  </si>
  <si>
    <t>Ending balance of the total pension liability</t>
  </si>
  <si>
    <t>Schedule of Total Pension Liability as a Percentage of Covered Payroll</t>
  </si>
  <si>
    <t>Covered payroll</t>
  </si>
  <si>
    <t>Total pension liability as a percentage of covered payroll</t>
  </si>
  <si>
    <t>Notes to the schedules:</t>
  </si>
  <si>
    <t xml:space="preserve">  Variance   </t>
  </si>
  <si>
    <t xml:space="preserve">     </t>
  </si>
  <si>
    <t xml:space="preserve">  Budget  </t>
  </si>
  <si>
    <t xml:space="preserve">  Actual  </t>
  </si>
  <si>
    <t>Public Safety:</t>
  </si>
  <si>
    <t>(Increase) in prepaid items</t>
  </si>
  <si>
    <t>Increase in deferred inflows of resources - pensions</t>
  </si>
  <si>
    <t>Differences between expected and actual experience in the measurement of the total pension liability</t>
  </si>
  <si>
    <t>Total OPEB liability</t>
  </si>
  <si>
    <t>OPEB deferrals</t>
  </si>
  <si>
    <t>Deferred outflows of resources related to OPEB are not reported in the funds</t>
  </si>
  <si>
    <t>Deferred inflows of resources related to OPEB are not reported in the funds</t>
  </si>
  <si>
    <t>OPEB plan expense</t>
  </si>
  <si>
    <t>Total OPEB Liability</t>
  </si>
  <si>
    <t>Service cost</t>
  </si>
  <si>
    <t>Differences between expected and actual experience</t>
  </si>
  <si>
    <t>Changes of assumptions</t>
  </si>
  <si>
    <t>Net change in total OPEB liability</t>
  </si>
  <si>
    <t>Total OPEB liability - beginning</t>
  </si>
  <si>
    <t xml:space="preserve">Total OPEB liability - ending </t>
  </si>
  <si>
    <t>Increase in OPEB liability</t>
  </si>
  <si>
    <t>(Increase) in deferred outflows of resources - OPEB</t>
  </si>
  <si>
    <t>Increase in deferred inflows of resources - OPEB</t>
  </si>
  <si>
    <t>OPEB benefit payments and administrative costs made in the current fiscal year are not included on the Statement of Activities</t>
  </si>
  <si>
    <t>OPEB liability</t>
  </si>
  <si>
    <t>Total OPEB liability as a percentage of covered payroll</t>
  </si>
  <si>
    <t>General Fund (de facto payment for property taxes - PILOT)</t>
  </si>
  <si>
    <t>Schedule of Changes in the Total OPEB Liability and Related Ratios</t>
  </si>
  <si>
    <t>Decrease in deferred outflows of resources - OPEB</t>
  </si>
  <si>
    <t>Decrease in accrued OPEB liability</t>
  </si>
  <si>
    <t>(Increase) decrease in deferred outflows of resources  - pensions</t>
  </si>
  <si>
    <t>Increase (decrease) in net pension liability</t>
  </si>
  <si>
    <r>
      <t xml:space="preserve">The property valuations, tax rate, and levy amounts above </t>
    </r>
    <r>
      <rPr>
        <b/>
        <sz val="10"/>
        <color indexed="8"/>
        <rFont val="ARIAL"/>
        <family val="2"/>
      </rPr>
      <t xml:space="preserve">should be Unit-Wide; </t>
    </r>
    <r>
      <rPr>
        <sz val="10"/>
        <color indexed="8"/>
        <rFont val="Arial"/>
        <family val="2"/>
      </rPr>
      <t xml:space="preserve">additional taxes  levied for fire protection districts or special service districts </t>
    </r>
    <r>
      <rPr>
        <b/>
        <sz val="10"/>
        <color indexed="8"/>
        <rFont val="ARIAL"/>
        <family val="2"/>
      </rPr>
      <t xml:space="preserve">should not be included. </t>
    </r>
  </si>
  <si>
    <r>
      <t>Note to preparer</t>
    </r>
    <r>
      <rPr>
        <sz val="10"/>
        <color indexed="8"/>
        <rFont val="Arial"/>
        <family val="2"/>
      </rPr>
      <t xml:space="preserve">: In order for the Department of Commerce to be able to track where the funding  for each Community Development Block Grant ("CDBG") is spent, multiple grants should be distinguished.  If a  CDBG is primarily for a project that will benefit an enterprise fund, the grant should be shown as a capital project of the respective enterprise fund.  For purposes of GASB  Statement No. 54 the grants fund example was determined to be a special revenue fund since it did have a specific special revenue source with restricted uses; the revenue source allows for uses other than capital and debt and  any capital expenditures are normally for assets for which the unit does not have title.  </t>
    </r>
  </si>
  <si>
    <t xml:space="preserve">   Net cash provided (used) by noncapital financing
   activities</t>
  </si>
  <si>
    <r>
      <t xml:space="preserve">For budget purposes interest, discovery/"late listing" penalties, service fees, advertising fees and other costs are not principal tax and should be excluded from the collection percentage calculation. </t>
    </r>
    <r>
      <rPr>
        <sz val="10"/>
        <color indexed="8"/>
        <rFont val="Arial"/>
        <family val="2"/>
      </rPr>
      <t xml:space="preserve">  </t>
    </r>
  </si>
  <si>
    <r>
      <rPr>
        <b/>
        <sz val="10"/>
        <rFont val="Arial"/>
        <family val="2"/>
      </rPr>
      <t>Note to preparer:</t>
    </r>
    <r>
      <rPr>
        <sz val="10"/>
        <rFont val="Arial"/>
        <family val="2"/>
      </rPr>
      <t xml:space="preserve">  All years for which information is available should be presented up to 10 years.  If your valuation report provides information from the prior year(s), present all prior years for which information has been provided to you.  </t>
    </r>
  </si>
  <si>
    <t>.</t>
  </si>
  <si>
    <t>Fines and Forfeitures Fund</t>
  </si>
  <si>
    <t>Penalties, fines and forfeitures</t>
  </si>
  <si>
    <t>Special Revenue Fund - Fines and Forfeitures Fund</t>
  </si>
  <si>
    <t xml:space="preserve">Fines and </t>
  </si>
  <si>
    <t>Payments of penalties, fines and forfeitures to the Carolina County Board of Education</t>
  </si>
  <si>
    <t>Forfeitures</t>
  </si>
  <si>
    <r>
      <t xml:space="preserve">Note to Preparer:  </t>
    </r>
    <r>
      <rPr>
        <sz val="10"/>
        <color indexed="8"/>
        <rFont val="Arial"/>
        <family val="2"/>
      </rPr>
      <t>Please refer to Memorandum #1060 for a discussion on the trends of courts judging in favor of the remittance of penalties on delinquent ad valorem taxes to local educational agencies.</t>
    </r>
  </si>
  <si>
    <t>Penalties collected on ad valorem taxes - Fines and Forfeitures Special Revenue Fund</t>
  </si>
  <si>
    <t>Education</t>
  </si>
  <si>
    <r>
      <rPr>
        <b/>
        <sz val="10"/>
        <rFont val="Arial"/>
        <family val="2"/>
      </rPr>
      <t xml:space="preserve">Note to preparer:  </t>
    </r>
    <r>
      <rPr>
        <sz val="10"/>
        <rFont val="Arial"/>
        <family val="2"/>
      </rPr>
      <t>The transfer amounts presented in this exhibit should not be considered to be a recommendation by the State and Local Government Finance Division of the amounts which a local government should transfer from its Electric Operating Fund to the Rate Stabilization Fund.  The amounts presented here are to be used for illustrative purposes only.</t>
    </r>
  </si>
  <si>
    <t>Lease receivable</t>
  </si>
  <si>
    <t>Total non-current assets</t>
  </si>
  <si>
    <t>Lease Receivable</t>
  </si>
  <si>
    <t>Accumulated amortization</t>
  </si>
  <si>
    <t>Lease liabilities issued</t>
  </si>
  <si>
    <t>Amortization expense for intangible assets</t>
  </si>
  <si>
    <t>Fund balances, beginning</t>
  </si>
  <si>
    <t>Leases</t>
  </si>
  <si>
    <t>Right to use assets at historical cost</t>
  </si>
  <si>
    <t>Lease revenue</t>
  </si>
  <si>
    <t>Interest on lease receivable</t>
  </si>
  <si>
    <t>Right to use leased assets used in governmental activities are not financial resources and therefore are not reported in the funds.</t>
  </si>
  <si>
    <t>Right to used leased asset capital outlay expenditures which were capitalized</t>
  </si>
  <si>
    <t>Accrued interest receivable on leases</t>
  </si>
  <si>
    <r>
      <rPr>
        <b/>
        <sz val="10"/>
        <rFont val="Arial"/>
        <family val="2"/>
      </rPr>
      <t>Note to Preparer</t>
    </r>
    <r>
      <rPr>
        <sz val="10"/>
        <rFont val="Arial"/>
        <family val="2"/>
      </rPr>
      <t>:  The amounts above should agree with the amounts reported on the PSAP Revenue-Expenditure Report submitted to the State 911 Board.  If the amounts do not agree please provide a reconciliation explaining expenditures not reported.  Please see Carolina County for a sample reconciliation page.</t>
    </r>
  </si>
  <si>
    <t>Lease liabilities</t>
  </si>
  <si>
    <t>Accrued interest receivable - lease</t>
  </si>
  <si>
    <t>Depreciation and amortization</t>
  </si>
  <si>
    <t>Cash received from a cell tower and license agreement</t>
  </si>
  <si>
    <t>Principal paid on bond, lease and equipment contracts</t>
  </si>
  <si>
    <t>Interest paid on bond, lease and equipment contracts</t>
  </si>
  <si>
    <t>IT subscription agreement</t>
  </si>
  <si>
    <t>Final Budget</t>
  </si>
  <si>
    <t>Decrease in lease accrued interest payable</t>
  </si>
  <si>
    <t>Decrease in lease accrued interest receivable</t>
  </si>
  <si>
    <t xml:space="preserve"> Decrease in deferred outflows of resources - OPEB</t>
  </si>
  <si>
    <t xml:space="preserve"> Increase in deferred inflows of resources - OPEB</t>
  </si>
  <si>
    <t xml:space="preserve"> Increase in OPEB liability</t>
  </si>
  <si>
    <t>Decrease in deferred inflows of resources - leases</t>
  </si>
  <si>
    <t>Revenues and other sources under</t>
  </si>
  <si>
    <t>Water and sewer capital projects fund:</t>
  </si>
  <si>
    <t>Revenues and other sources (under) expenditures</t>
  </si>
  <si>
    <t>Customer deposits</t>
  </si>
  <si>
    <t xml:space="preserve">   Depreciation and amortization</t>
  </si>
  <si>
    <t xml:space="preserve">      Right to use assets, net of amortization</t>
  </si>
  <si>
    <t>Leases receivable</t>
  </si>
  <si>
    <t xml:space="preserve"> Leases receivable, non-current </t>
  </si>
  <si>
    <t>Lease liabilities - current</t>
  </si>
  <si>
    <r>
      <t xml:space="preserve">Note to the Preparer: </t>
    </r>
    <r>
      <rPr>
        <sz val="10"/>
        <color indexed="8"/>
        <rFont val="Arial"/>
        <family val="2"/>
      </rPr>
      <t xml:space="preserve">See the note at the bottom of the Schedule of Ad Valorem Taxes Receivable.   The lower case letters (a) (b) and (c) next to certain amounts on both schedules show the relationships of the taxes levied, taxes collected and uncollected taxes on both schedules.  </t>
    </r>
  </si>
  <si>
    <t>Total nonoperating revenues</t>
  </si>
  <si>
    <t>Right to use leased assets, net of amortization</t>
  </si>
  <si>
    <t xml:space="preserve">Total Capital assets </t>
  </si>
  <si>
    <t>Cash received from a cell tower license agreement</t>
  </si>
  <si>
    <t>Authorization</t>
  </si>
  <si>
    <r>
      <t>Computes "</t>
    </r>
    <r>
      <rPr>
        <b/>
        <sz val="10"/>
        <rFont val="Arial"/>
        <family val="2"/>
      </rPr>
      <t>X</t>
    </r>
    <r>
      <rPr>
        <sz val="10"/>
        <rFont val="Arial"/>
        <family val="2"/>
      </rPr>
      <t>" if Meets</t>
    </r>
  </si>
  <si>
    <r>
      <t>Computes "</t>
    </r>
    <r>
      <rPr>
        <b/>
        <sz val="10"/>
        <rFont val="Arial"/>
        <family val="2"/>
      </rPr>
      <t>MAJOR</t>
    </r>
    <r>
      <rPr>
        <sz val="10"/>
        <rFont val="Arial"/>
        <family val="2"/>
      </rPr>
      <t>" if Fund is Major</t>
    </r>
  </si>
  <si>
    <r>
      <t>If a "Category" Has an "</t>
    </r>
    <r>
      <rPr>
        <b/>
        <sz val="10"/>
        <rFont val="Arial"/>
        <family val="2"/>
      </rPr>
      <t>X</t>
    </r>
    <r>
      <rPr>
        <sz val="10"/>
        <rFont val="Arial"/>
        <family val="2"/>
      </rPr>
      <t>" in Both</t>
    </r>
  </si>
  <si>
    <t>June 30, 2025</t>
  </si>
  <si>
    <t>For the Year Ended June 30, 2025</t>
  </si>
  <si>
    <t>From Inception and For the Fiscal Year Ended June 30, 2025</t>
  </si>
  <si>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at least two years ago, financial statement preparers should have now had experience with them. LGC Staff is reverting to our historical practice of only changing amounts in the illustrative statements that are the result of any New accounting and reporting changes required for the FYE 2025. Reference the Memo that is available on the NC DST Financial Statement Resources for Firefighters' and Rescue Squad Workers' Pension Fund disclosure amounts related to the current year. </t>
    </r>
  </si>
  <si>
    <r>
      <t xml:space="preserve">Note to preparer: </t>
    </r>
    <r>
      <rPr>
        <sz val="10"/>
        <rFont val="Arial"/>
        <family val="2"/>
      </rPr>
      <t xml:space="preserve">The RSI schedules presented in the updated fiscal year-end 2025 illustrative statements were not changed from the amounts presented in the prior fiscal year other than to add an additional year of data. Since both the pension and OPEB GASB statements were implemented and updated in the Illustrated statements at least two years ago, financial statement preparers should have now had experience with them. LGC Staff is reverting to our historical practice of only changing amounts in the illustrative statements that are the result of any New accounting and reporting changes required for the FYE 2025.  Conversion workbooks were updated to include the current fiscal year- end Pension data. The pension data used in development of the updated conversion workbooks was from the  JE Templates that are all available on the NC DST Financial Statement Resources listed by each Unit Type under Pension Resources. </t>
    </r>
  </si>
  <si>
    <t>Total Fund Balance, Governmental Funds</t>
  </si>
  <si>
    <t>Other long-term liabilities (accrued interest) are not due and payable in the current period andtherefore are not reported in the funds.</t>
  </si>
  <si>
    <t>Governmental funds report capital outlays as expenditures. However, in the Statement of Activities the cost of those assets is allocated over their estimated useful lives and reported as depreciation expense.  This is the amount by which capital outlays exceeded depreciation in the current period.</t>
  </si>
  <si>
    <t>Schedule of the City's Proportionate Share of Net Pension Liability (Asset)</t>
  </si>
  <si>
    <t>City's proportion of the net pension liability (asset) (%)</t>
  </si>
  <si>
    <t>City's proportion of the net pension liability (asset) ($)</t>
  </si>
  <si>
    <t>City's proportionate share of the net pension liability (asset) as a percentage of its covered payroll</t>
  </si>
  <si>
    <t>Notes to the schedule:</t>
  </si>
  <si>
    <t>The amounts presented for each fiscal year were determined as of the prior fiscal year ending June 30.</t>
  </si>
  <si>
    <t>See Notes to the Schedule on the following schedule.</t>
  </si>
  <si>
    <t>Schedule of City Contributions</t>
  </si>
  <si>
    <t>For 2023, the total pension liability for the December 31, 2021 actuarial valuation was determined using the following actuarial changes of assumptions:</t>
  </si>
  <si>
    <t>Inflation and Payroll Growth</t>
  </si>
  <si>
    <t>2.50% from 3.00%</t>
  </si>
  <si>
    <t>Mortality Rates</t>
  </si>
  <si>
    <t>RP-2010 Total Data Set for Healthy Annuitants</t>
  </si>
  <si>
    <t>For 2022, the discount rate and the investment rate were changed to 6.50% from 7.0%.</t>
  </si>
  <si>
    <t>For 2020, the total pension liability for the December 31, 2019 actuarial valuation was determined using the following actuarial assumptions:</t>
  </si>
  <si>
    <t>Actuarial Cost Method</t>
  </si>
  <si>
    <t>Entry Age Normal</t>
  </si>
  <si>
    <t>Asset Valuation Method</t>
  </si>
  <si>
    <t>Smoothed Fair Value</t>
  </si>
  <si>
    <t>Assumptions:</t>
  </si>
  <si>
    <t>Inflation</t>
  </si>
  <si>
    <t>Discount Rate</t>
  </si>
  <si>
    <t>Real Wage Growth</t>
  </si>
  <si>
    <t>Payroll Growth</t>
  </si>
  <si>
    <t>Mortaility</t>
  </si>
  <si>
    <t>RP-2014 Total Data Set for Healthy Annuitants</t>
  </si>
  <si>
    <r>
      <t>Note to preparer</t>
    </r>
    <r>
      <rPr>
        <sz val="11"/>
        <rFont val="Arial"/>
        <family val="2"/>
      </rPr>
      <t>: The Notes to the Schedule presented here are not updated for changes in assumptions. Units can find that information in the</t>
    </r>
    <r>
      <rPr>
        <b/>
        <sz val="11"/>
        <rFont val="Arial"/>
        <family val="2"/>
      </rPr>
      <t xml:space="preserve"> </t>
    </r>
    <r>
      <rPr>
        <sz val="11"/>
        <rFont val="Arial"/>
        <family val="2"/>
      </rPr>
      <t>Valuation report at: https://www.nctreasurer.gov/divisions/state-and-local-government-finance/lgc/local-fiscal-management/annual-audit/financial-statement-resources/counties#PensionResources-457</t>
    </r>
  </si>
  <si>
    <t>City's proportionate share of the net pension liability (%)</t>
  </si>
  <si>
    <t>City's proportionate share of the net pension liability ($)</t>
  </si>
  <si>
    <t>State's proportionate share of the net pension liability associated with the City</t>
  </si>
  <si>
    <t>Schedule of the City's Proportionate Share of Net Pension Liability and City Contributions</t>
  </si>
  <si>
    <t>City's proportionate share of the net pension liability as a percentage of its covered payroll</t>
  </si>
  <si>
    <t>This schedule is intended to show 10 years of information, additional years’ information will be displayed as it becomes available.</t>
  </si>
  <si>
    <t>The City has no assets accumulated in a trust that meets the criteria for a pension trust as defined by GASB Statement 67.</t>
  </si>
  <si>
    <r>
      <rPr>
        <b/>
        <sz val="10"/>
        <rFont val="Arial"/>
        <family val="2"/>
      </rPr>
      <t>Note to preparer:</t>
    </r>
    <r>
      <rPr>
        <sz val="10"/>
        <rFont val="Arial"/>
        <family val="2"/>
      </rPr>
      <t xml:space="preserve">  Any changes in actuarial methods and assumptions should be disclosed. </t>
    </r>
  </si>
  <si>
    <t>The amounts presented for each fiscal year were determined as of the prior year ending December 31.</t>
  </si>
  <si>
    <t>Healthcare Benefits Plan</t>
  </si>
  <si>
    <t>Notes to schedule:</t>
  </si>
  <si>
    <t>Changes of assumptions:  Changes of assumptions and other inputs reflect the effects of changes in the discount rate of each period.  The following are the discount rates used in each fiscal year.</t>
  </si>
  <si>
    <t>The City has no assets accumulated in a trust that meets the criteria for an OPEB trust as defined by GASB Statement 68.</t>
  </si>
  <si>
    <r>
      <t>Note to preparer</t>
    </r>
    <r>
      <rPr>
        <sz val="10"/>
        <rFont val="Arial"/>
        <family val="2"/>
      </rPr>
      <t>: The Notes to the Schedule presented here are not updated for changes in assumptions. Units can find that information in the</t>
    </r>
    <r>
      <rPr>
        <b/>
        <sz val="10"/>
        <rFont val="Arial"/>
        <family val="2"/>
      </rPr>
      <t xml:space="preserve"> </t>
    </r>
    <r>
      <rPr>
        <sz val="10"/>
        <rFont val="Arial"/>
        <family val="2"/>
      </rPr>
      <t>Valuation report at: https://www.nctreasurer.gov/divisions/state-and-local-government-finance/lgc/local-fiscal-management/annual-audit/financial-statement-resources/municipalities</t>
    </r>
  </si>
  <si>
    <t>Over</t>
  </si>
  <si>
    <t>(Under)</t>
  </si>
  <si>
    <t>Economic Development Fund*</t>
  </si>
  <si>
    <t>*  The Economic Development Fund is consolidated into the General Fund.</t>
  </si>
  <si>
    <t>Economic development</t>
  </si>
  <si>
    <t>Revenues (under) expenditures</t>
  </si>
  <si>
    <t>Special Revenue Funds</t>
  </si>
  <si>
    <t>Nonspendable - perpetual maintenance</t>
  </si>
  <si>
    <t>Restricted - education</t>
  </si>
  <si>
    <t>Permanent Fund</t>
  </si>
  <si>
    <t>Cemetary</t>
  </si>
  <si>
    <t>Fund balances - ending</t>
  </si>
  <si>
    <t>Fund balances - beginning</t>
  </si>
  <si>
    <t>Fund balance - beginning</t>
  </si>
  <si>
    <t>Fund balance - ending</t>
  </si>
  <si>
    <t>the Carolina County Board of Education</t>
  </si>
  <si>
    <t>Payments of penalties, fines and forfeitures to</t>
  </si>
  <si>
    <t>Amortization of deferred loss on refunding</t>
  </si>
  <si>
    <t>Tax Year</t>
  </si>
  <si>
    <t>Beginning</t>
  </si>
  <si>
    <t>Ending</t>
  </si>
  <si>
    <t>Uncollected taxes at June 30, 2025</t>
  </si>
  <si>
    <r>
      <rPr>
        <b/>
        <sz val="11"/>
        <color indexed="8"/>
        <rFont val="Arial"/>
        <family val="2"/>
      </rPr>
      <t xml:space="preserve">Note to preparer: </t>
    </r>
    <r>
      <rPr>
        <sz val="11"/>
        <color indexed="8"/>
        <rFont val="Arial"/>
        <family val="2"/>
      </rPr>
      <t>GAAP does not require that a financial plan for an Internal Service Fund be included with the financial statements.  However, this financial plan is included to demonstrate legal compliance with G.S. 159-13.1.</t>
    </r>
  </si>
  <si>
    <r>
      <rPr>
        <b/>
        <sz val="10"/>
        <rFont val="Arial"/>
        <family val="2"/>
      </rPr>
      <t>Note to Preparer:</t>
    </r>
    <r>
      <rPr>
        <sz val="10"/>
        <rFont val="Arial"/>
        <family val="2"/>
      </rPr>
      <t xml:space="preserve"> Amounts paid to the State by taxpayers but not yet remitted/distributed to cities within the county should be counted as collected for purposes of this schedule and not include in "Unpaid (by taxpayer)" amount.  </t>
    </r>
  </si>
  <si>
    <r>
      <rPr>
        <b/>
        <sz val="10"/>
        <color indexed="8"/>
        <rFont val="ARIAL"/>
        <family val="2"/>
      </rPr>
      <t xml:space="preserve">Note to Preparer:  </t>
    </r>
    <r>
      <rPr>
        <sz val="10"/>
        <color indexed="8"/>
        <rFont val="Arial"/>
        <family val="2"/>
      </rPr>
      <t xml:space="preserve">Current year's taxes collected for motor vehicles should </t>
    </r>
    <r>
      <rPr>
        <b/>
        <sz val="10"/>
        <color indexed="8"/>
        <rFont val="ARIAL"/>
        <family val="2"/>
      </rPr>
      <t>not</t>
    </r>
    <r>
      <rPr>
        <sz val="10"/>
        <color indexed="8"/>
        <rFont val="Arial"/>
        <family val="2"/>
      </rPr>
      <t xml:space="preserve"> be presented net of any administrative fees charged by the county or State.  The number appearing in this schedule for current year's taxes collected should be gross revenues collected.  </t>
    </r>
  </si>
  <si>
    <r>
      <t xml:space="preserve">Note to Preparer: </t>
    </r>
    <r>
      <rPr>
        <sz val="10"/>
        <rFont val="Arial"/>
        <family val="2"/>
      </rPr>
      <t>The only unpaid registered motor vehicle tax at June 30 will be amounts owed for limited registration plates. This does not include amounts that have been paid by taxpayers to other entities on behalf of the unit (e.g. motor vehicle taxes paid to State but not yet remitted to taxing unit).</t>
    </r>
  </si>
  <si>
    <r>
      <t>Note to Preparer:</t>
    </r>
    <r>
      <rPr>
        <sz val="10"/>
        <color indexed="8"/>
        <rFont val="Arial"/>
        <family val="2"/>
      </rPr>
      <t xml:space="preserve">  As requested by the USDA, those governments who have borrowed from the USDA must report for their water and sewer systems separately.  For the City of Dogwood, it is assumed that the budgeting and accounting for water and sewer services are performed for the Water and Sewer Fund as a whole.  To accommodate the USDA's request, the separation by function of the Water and Sewer Fund has been included as Supplementary Information.  This is for illustrative purposes only.</t>
    </r>
  </si>
  <si>
    <t>Cash Flows From Operating Activities:</t>
  </si>
  <si>
    <t>Cash Flows From Noncapital Financing Activities:</t>
  </si>
  <si>
    <t>Reconciliation of operating income to net cash provided by operating activities:</t>
  </si>
  <si>
    <t>Cash Flows From Capital and Related Financing Activities:</t>
  </si>
  <si>
    <r>
      <rPr>
        <b/>
        <sz val="10"/>
        <rFont val="Arial"/>
        <family val="2"/>
      </rPr>
      <t>Note to Preparer:</t>
    </r>
    <r>
      <rPr>
        <sz val="10"/>
        <rFont val="Arial"/>
        <family val="2"/>
      </rPr>
      <t xml:space="preserve">  Units that choose to aggregate deferred outflows and deferred inflows on the face of the statements should itemize components in the notes.  For financial statement presentation of deferred outflows and inflows of resources in the aggregate, please see Carolina County. </t>
    </r>
  </si>
  <si>
    <t xml:space="preserve">  Restatement - change in accounting principle</t>
  </si>
  <si>
    <t>Net position - business-type activities</t>
  </si>
  <si>
    <t>Restatement - change in accounting principle</t>
  </si>
  <si>
    <t>and Total OPEB Liability as a Percentage of Covered Payroll</t>
  </si>
  <si>
    <t>Total governmental activities</t>
  </si>
  <si>
    <t>Variance Over (Under)</t>
  </si>
  <si>
    <r>
      <t xml:space="preserve">NOTE TO PREPARER: </t>
    </r>
    <r>
      <rPr>
        <sz val="10"/>
        <color rgb="FF000000"/>
        <rFont val="Arial"/>
        <family val="2"/>
      </rPr>
      <t xml:space="preserve"> Cash flow from operations has taken on an important role in our evaluation of fiscal health. Statement preparers need to be sure that only operating items go in the cash flow from operations category.</t>
    </r>
  </si>
  <si>
    <t>Net position - beginning, as previously reported</t>
  </si>
  <si>
    <t>Net position - ending</t>
  </si>
  <si>
    <t>Fund Balance - beginning</t>
  </si>
  <si>
    <t>Fund Balance -  ending (Exhibit 4)</t>
  </si>
  <si>
    <t>Total net position - ending</t>
  </si>
  <si>
    <t>Net position - beginning as previously reported</t>
  </si>
  <si>
    <t>Net position - beginning, as restated</t>
  </si>
  <si>
    <t>Balances - beginning</t>
  </si>
  <si>
    <t>Balances - ending</t>
  </si>
  <si>
    <r>
      <t>Note to Preparer:</t>
    </r>
    <r>
      <rPr>
        <sz val="9"/>
        <rFont val="Arial"/>
        <family val="2"/>
      </rPr>
      <t xml:space="preserve">  A NC Supreme Court ruling and later interpretation of that ruling indicate that penalties assessed by local governments are in fact, property of the LEA.  It is our belief that this interpretation applies to fees including, but not limited to, late listing and failure to list penalties, NSF fees, and red light camera fees.  Under the State Constitution, units may withhold 10% of the funds to cover administrative costs.  Memorandum #1060 provides additional discussion on this subject. 
</t>
    </r>
  </si>
  <si>
    <t>Net position - beginning</t>
  </si>
  <si>
    <t>(Decrease) in deferred inflows of resources - pensions</t>
  </si>
  <si>
    <t>(Decrease) in customer deposits</t>
  </si>
  <si>
    <t>Cash Flows From Investing Activities:</t>
  </si>
  <si>
    <r>
      <t xml:space="preserve">Note to preparer:  </t>
    </r>
    <r>
      <rPr>
        <sz val="10"/>
        <rFont val="Arial"/>
        <family val="2"/>
      </rPr>
      <t>Information is not required to be presented retroactively.  This schedule will present 10 years' worth of information beginning in fiscal year 2025.</t>
    </r>
  </si>
  <si>
    <t>Local Governmental Employees' Retirement System</t>
  </si>
  <si>
    <r>
      <t xml:space="preserve">Note to Preparer:  </t>
    </r>
    <r>
      <rPr>
        <sz val="10"/>
        <color indexed="8"/>
        <rFont val="Arial"/>
        <family val="2"/>
      </rPr>
      <t xml:space="preserve">The City of Dogwood budgets an Economic Development Fund that does not meet the GASB Statement 54 definition of a Special Revenue Fund as its primary revenue source is a transfer of assigned revenues from the General Fund.  Under certain circumstances, it can also be a transfer of committed revenues from the General Fund.  Review Memo #2010-35 which addresses components of Fund Balance for more information.   This fund is consolidated in the General Fund for reporting purposes.  </t>
    </r>
  </si>
  <si>
    <r>
      <rPr>
        <b/>
        <sz val="10"/>
        <color rgb="FF000000"/>
        <rFont val="Arial"/>
        <family val="2"/>
      </rPr>
      <t>Note to Preparer:</t>
    </r>
    <r>
      <rPr>
        <sz val="10"/>
        <color rgb="FF000000"/>
        <rFont val="Arial"/>
        <family val="2"/>
      </rPr>
      <t xml:space="preserve">  Though GAAP requires expenditures to be presented by function in the basic financial statements,the State of North Carolina requires that the Emergency Telephone System Fund expenditures be presented in more detail in the supplementary information.  </t>
    </r>
  </si>
  <si>
    <r>
      <t xml:space="preserve">Note to preparer: </t>
    </r>
    <r>
      <rPr>
        <sz val="10"/>
        <rFont val="Arial"/>
        <family val="2"/>
      </rPr>
      <t xml:space="preserve">The RSI schedules presented in the updated fiscal year-end 2023 illustrative statements were not changed from the amounts presented in the prior fiscal year other than to add an additional year of data. Since both the pension and OPEB GASB statements were implemented and updated in the Illustrated statements at least two years ago, financial statement preparers should have now had experience with them. LGC Staff is reverting to our historical practice of only changing amounts in the illustrative statements that are the result of any New accounting and reporting changes required for the FYE. Conversion workbooks were updated to include the current fiscal year- end Pension data. The pension data used in development of the updated conversion workbooks was from the JE Templates that are all available on the NC DST Financial Statement Resources listed by each Unit Type under Pension Resources. </t>
    </r>
  </si>
  <si>
    <r>
      <t xml:space="preserve">Note to Preparer:  </t>
    </r>
    <r>
      <rPr>
        <sz val="10"/>
        <color indexed="8"/>
        <rFont val="Arial"/>
        <family val="2"/>
      </rPr>
      <t>As a result of the implementation of GASB Statement No. 84 -</t>
    </r>
    <r>
      <rPr>
        <i/>
        <sz val="10"/>
        <color indexed="8"/>
        <rFont val="Arial"/>
        <family val="2"/>
      </rPr>
      <t xml:space="preserve"> Fiduciary Activities</t>
    </r>
    <r>
      <rPr>
        <sz val="10"/>
        <color indexed="8"/>
        <rFont val="Arial"/>
        <family val="2"/>
      </rPr>
      <t xml:space="preserve">, fines and forfeitures assessed that are required to be remitted to the Carolina County Board of Education, formerly reported as agency funds, are now required to be reported as a governmental fund type.  The City of Dogwood has chosen to report these funds in a special revenue fund.  </t>
    </r>
  </si>
  <si>
    <r>
      <t>Note to preparer</t>
    </r>
    <r>
      <rPr>
        <sz val="10"/>
        <color indexed="8"/>
        <rFont val="Arial"/>
        <family val="2"/>
      </rPr>
      <t>: To simplify confirming compliance with the unit's electric transfer  policies, please itemize components of Electric Fund transfers should a transfer include amounts in excess of payments made in essence for property taxes (PILOT).  See transfer note in notes to the financial statements.</t>
    </r>
  </si>
  <si>
    <r>
      <t xml:space="preserve">Note to Preparer:  </t>
    </r>
    <r>
      <rPr>
        <sz val="10"/>
        <color indexed="8"/>
        <rFont val="Arial"/>
        <family val="2"/>
      </rPr>
      <t>In 2008, the State assumed the responsibility for charging and administering the 911 funds under the new State 911 Board.  Session Law 2007-383 became effective January 1, 2008.  Any unspent Local land telephone 911 fees should have been transferred into the General Fund for any lawful purpose during the 2007-2008 fiscal year.  See memoranda #2011-7,     #2010-14, and #1091 for additional information. It is recommended that any reimbursement for ineligible expenditures made in the prior fiscal year should be presented as a transfer into the Emergency Telephone System Fund.</t>
    </r>
  </si>
  <si>
    <t>The total pension liability was determined from an actuarial valuation as of December 31, 2024. Methods and assumptions used were: the actuarial cost method was entry-age normal; a discount rate of 3.71%; inflation at 2.50%; projected individual salary increases of 2.5% to 6.0% annually; projected total payroll increase of 3.0% annually; and cost of living adjustments of 2.0%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</si>
</sst>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
    <numFmt numFmtId="168" formatCode="_(* #,##0.0000_);_(* \(#,##0.0000\);_(* &quot;-&quot;??_);_(@_)"/>
    <numFmt numFmtId="169" formatCode="General_)"/>
    <numFmt numFmtId="170" formatCode="mmmm\ d\,\ yyyy"/>
    <numFmt numFmtId="171" formatCode="m/d/yy"/>
    <numFmt numFmtId="172" formatCode="&quot;$&quot;#,##0"/>
    <numFmt numFmtId="173" formatCode="[$-409]mmmm\ d\,\ yyyy;@"/>
    <numFmt numFmtId="174" formatCode="0.0000%"/>
    <numFmt numFmtId="175" formatCode="0.00000%"/>
    <numFmt numFmtId="176" formatCode="0.00000"/>
    <numFmt numFmtId="177" formatCode="#,##0.00%;\(#,#\ #0.00%\)"/>
    <numFmt numFmtId="178" formatCode="_(* #,##0.000_);_(* \(#,##0.000\);_(* &quot;-&quot;???_);_(@_)"/>
    <numFmt numFmtId="179" formatCode="_(* #,##0.00000_);_(* \(#,##0.00000\);_(* &quot;-&quot;??_);_(@_)"/>
    <numFmt numFmtId="180" formatCode="_(* #,##0.000000_);_(* \(#,##0.000000\);_(* &quot;-&quot;??_);_(@_)"/>
    <numFmt numFmtId="181" formatCode="_(* #,##0.0000_);_(* \(#,##0.0000\);_(* &quot;-&quot;_);_(@_)"/>
    <numFmt numFmtId="182" formatCode="_(* #,##0.00000_);_(* \(#,##0.00000\);_(* &quot;-&quot;_);_(@_)"/>
    <numFmt numFmtId="183" formatCode="_(&quot;$&quot;* #,##0.0_);_(&quot;$&quot;* \(#,##0.0\);_(&quot;$&quot;* &quot;-&quot;??_);_(@_)"/>
  </numFmts>
  <fonts count="43" x14ac:knownFonts="1">
    <font>
      <sz val="10"/>
      <name val="Arial"/>
    </font>
    <font>
      <sz val="10"/>
      <name val="Arial"/>
      <family val="2"/>
    </font>
    <font>
      <b/>
      <sz val="10"/>
      <name val="Arial"/>
      <family val="2"/>
    </font>
    <font>
      <sz val="10"/>
      <name val="Arial"/>
      <family val="2"/>
    </font>
    <font>
      <sz val="9"/>
      <name val="Century Schoolbook"/>
      <family val="1"/>
    </font>
    <font>
      <sz val="9"/>
      <name val="Arial"/>
      <family val="2"/>
    </font>
    <font>
      <b/>
      <sz val="9"/>
      <name val="Century Schoolbook"/>
      <family val="1"/>
    </font>
    <font>
      <sz val="10"/>
      <name val="Times New Roman"/>
      <family val="1"/>
    </font>
    <font>
      <b/>
      <sz val="9"/>
      <name val="Arial"/>
      <family val="2"/>
    </font>
    <font>
      <sz val="12"/>
      <name val="Times New Roman"/>
      <family val="1"/>
    </font>
    <font>
      <sz val="9"/>
      <name val="Tms Rmn"/>
    </font>
    <font>
      <sz val="10"/>
      <name val="Tms Rmn"/>
    </font>
    <font>
      <sz val="9"/>
      <name val="Century Schoolbook"/>
      <family val="1"/>
    </font>
    <font>
      <sz val="10"/>
      <name val="Century Schoolbook"/>
      <family val="1"/>
    </font>
    <font>
      <sz val="8"/>
      <name val="Century Schoolbook"/>
      <family val="1"/>
    </font>
    <font>
      <sz val="8"/>
      <color indexed="81"/>
      <name val="Tahoma"/>
      <family val="2"/>
    </font>
    <font>
      <b/>
      <sz val="8"/>
      <color indexed="81"/>
      <name val="Tahoma"/>
      <family val="2"/>
    </font>
    <font>
      <u/>
      <sz val="9"/>
      <name val="Arial"/>
      <family val="2"/>
    </font>
    <font>
      <b/>
      <sz val="16"/>
      <name val="Arial"/>
      <family val="2"/>
    </font>
    <font>
      <b/>
      <sz val="10"/>
      <name val="Arial"/>
      <family val="2"/>
    </font>
    <font>
      <b/>
      <sz val="10"/>
      <name val="Century Schoolbook"/>
      <family val="1"/>
    </font>
    <font>
      <sz val="12"/>
      <name val="Times New Roman"/>
      <family val="1"/>
    </font>
    <font>
      <b/>
      <sz val="11"/>
      <name val="Arial"/>
      <family val="2"/>
    </font>
    <font>
      <sz val="10"/>
      <color indexed="8"/>
      <name val="Arial"/>
      <family val="2"/>
    </font>
    <font>
      <sz val="11"/>
      <color indexed="8"/>
      <name val="Arial"/>
      <family val="2"/>
    </font>
    <font>
      <sz val="11"/>
      <name val="Arial"/>
      <family val="2"/>
    </font>
    <font>
      <b/>
      <sz val="10"/>
      <color indexed="8"/>
      <name val="ARIAL"/>
      <family val="2"/>
    </font>
    <font>
      <u/>
      <sz val="10"/>
      <color indexed="8"/>
      <name val="Arial"/>
      <family val="2"/>
    </font>
    <font>
      <b/>
      <sz val="11"/>
      <color indexed="8"/>
      <name val="Arial"/>
      <family val="2"/>
    </font>
    <font>
      <sz val="10"/>
      <name val="Arial"/>
      <family val="2"/>
    </font>
    <font>
      <sz val="10"/>
      <name val="Arial"/>
      <family val="2"/>
    </font>
    <font>
      <b/>
      <u/>
      <sz val="10"/>
      <name val="Arial"/>
      <family val="2"/>
    </font>
    <font>
      <sz val="10"/>
      <name val="Arial"/>
      <family val="2"/>
    </font>
    <font>
      <u/>
      <sz val="10"/>
      <name val="Arial"/>
      <family val="2"/>
    </font>
    <font>
      <sz val="10"/>
      <name val="Arial"/>
      <family val="2"/>
    </font>
    <font>
      <i/>
      <sz val="10"/>
      <color indexed="8"/>
      <name val="Arial"/>
      <family val="2"/>
    </font>
    <font>
      <sz val="10"/>
      <name val="Arial"/>
      <family val="2"/>
    </font>
    <font>
      <sz val="10"/>
      <color rgb="FFFF0000"/>
      <name val="Arial"/>
      <family val="2"/>
    </font>
    <font>
      <b/>
      <sz val="10"/>
      <color rgb="FF000000"/>
      <name val="Arial"/>
      <family val="2"/>
    </font>
    <font>
      <b/>
      <sz val="10"/>
      <color rgb="FFFF0000"/>
      <name val="Arial"/>
      <family val="2"/>
    </font>
    <font>
      <sz val="10"/>
      <color rgb="FF000000"/>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thin">
        <color indexed="8"/>
      </bottom>
      <diagonal/>
    </border>
    <border>
      <left/>
      <right/>
      <top style="thin">
        <color indexed="64"/>
      </top>
      <bottom style="thin">
        <color indexed="64"/>
      </bottom>
      <diagonal/>
    </border>
    <border>
      <left/>
      <right/>
      <top/>
      <bottom style="double">
        <color indexed="8"/>
      </bottom>
      <diagonal/>
    </border>
    <border>
      <left/>
      <right/>
      <top/>
      <bottom style="medium">
        <color indexed="8"/>
      </bottom>
      <diagonal/>
    </border>
    <border>
      <left/>
      <right/>
      <top style="thin">
        <color indexed="8"/>
      </top>
      <bottom style="thin">
        <color indexed="64"/>
      </bottom>
      <diagonal/>
    </border>
    <border>
      <left/>
      <right/>
      <top/>
      <bottom style="medium">
        <color indexed="64"/>
      </bottom>
      <diagonal/>
    </border>
    <border>
      <left/>
      <right/>
      <top style="thin">
        <color indexed="64"/>
      </top>
      <bottom/>
      <diagonal/>
    </border>
    <border>
      <left/>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bottom style="thin">
        <color rgb="FF000000"/>
      </bottom>
      <diagonal/>
    </border>
    <border>
      <left/>
      <right/>
      <top style="medium">
        <color indexed="8"/>
      </top>
      <bottom style="medium">
        <color indexed="64"/>
      </bottom>
      <diagonal/>
    </border>
    <border>
      <left/>
      <right/>
      <top style="medium">
        <color indexed="8"/>
      </top>
      <bottom style="thin">
        <color indexed="64"/>
      </bottom>
      <diagonal/>
    </border>
  </borders>
  <cellStyleXfs count="28">
    <xf numFmtId="0" fontId="0" fillId="0" borderId="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32" fillId="0" borderId="0" applyFont="0" applyFill="0" applyBorder="0" applyAlignment="0" applyProtection="0"/>
    <xf numFmtId="0" fontId="3" fillId="0" borderId="0"/>
    <xf numFmtId="0" fontId="3" fillId="0" borderId="0"/>
    <xf numFmtId="0" fontId="7" fillId="0" borderId="0"/>
    <xf numFmtId="0" fontId="7" fillId="0" borderId="0"/>
    <xf numFmtId="169" fontId="11" fillId="0" borderId="0"/>
    <xf numFmtId="0" fontId="9" fillId="0" borderId="0"/>
    <xf numFmtId="0" fontId="21" fillId="0" borderId="0"/>
    <xf numFmtId="0" fontId="11" fillId="0" borderId="0"/>
    <xf numFmtId="0" fontId="11" fillId="0" borderId="0"/>
    <xf numFmtId="169" fontId="11" fillId="0" borderId="0"/>
    <xf numFmtId="0" fontId="1" fillId="0" borderId="0"/>
    <xf numFmtId="0" fontId="1" fillId="0" borderId="0"/>
    <xf numFmtId="169" fontId="11" fillId="0" borderId="0"/>
    <xf numFmtId="9" fontId="1"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cellStyleXfs>
  <cellXfs count="943">
    <xf numFmtId="0" fontId="0" fillId="0" borderId="0" xfId="0"/>
    <xf numFmtId="0" fontId="0" fillId="0" borderId="0" xfId="0" applyAlignment="1">
      <alignment horizontal="left" wrapText="1" indent="2"/>
    </xf>
    <xf numFmtId="0" fontId="5" fillId="0" borderId="0" xfId="0" applyFont="1"/>
    <xf numFmtId="0" fontId="5" fillId="0" borderId="0" xfId="0" applyFont="1" applyAlignment="1">
      <alignment horizontal="left"/>
    </xf>
    <xf numFmtId="0" fontId="0" fillId="0" borderId="0" xfId="0" applyAlignment="1">
      <alignment horizontal="left" indent="2"/>
    </xf>
    <xf numFmtId="41" fontId="0" fillId="0" borderId="1" xfId="0" applyNumberFormat="1" applyBorder="1"/>
    <xf numFmtId="0" fontId="3" fillId="0" borderId="0" xfId="17" applyFont="1" applyAlignment="1">
      <alignment horizontal="center"/>
    </xf>
    <xf numFmtId="0" fontId="3" fillId="0" borderId="4" xfId="17" applyFont="1" applyBorder="1" applyAlignment="1">
      <alignment horizontal="center"/>
    </xf>
    <xf numFmtId="0" fontId="3" fillId="0" borderId="0" xfId="17" applyFont="1"/>
    <xf numFmtId="166" fontId="3" fillId="0" borderId="0" xfId="1" applyNumberFormat="1" applyFont="1" applyFill="1" applyAlignment="1">
      <alignment horizontal="center"/>
    </xf>
    <xf numFmtId="166" fontId="3" fillId="0" borderId="4" xfId="1" applyNumberFormat="1" applyFont="1" applyFill="1" applyBorder="1" applyAlignment="1">
      <alignment horizontal="center"/>
    </xf>
    <xf numFmtId="0" fontId="2" fillId="0" borderId="0" xfId="19" applyFont="1" applyAlignment="1">
      <alignment horizontal="centerContinuous"/>
    </xf>
    <xf numFmtId="0" fontId="3" fillId="0" borderId="0" xfId="19" applyFont="1" applyAlignment="1">
      <alignment horizontal="center"/>
    </xf>
    <xf numFmtId="0" fontId="3" fillId="0" borderId="4" xfId="19" applyFont="1" applyBorder="1" applyAlignment="1">
      <alignment horizontal="center"/>
    </xf>
    <xf numFmtId="0" fontId="3" fillId="0" borderId="0" xfId="19" applyFont="1"/>
    <xf numFmtId="169" fontId="3" fillId="0" borderId="0" xfId="16" applyFont="1" applyAlignment="1">
      <alignment horizontal="center"/>
    </xf>
    <xf numFmtId="169" fontId="3" fillId="0" borderId="4" xfId="16" applyFont="1" applyBorder="1" applyAlignment="1">
      <alignment horizontal="center"/>
    </xf>
    <xf numFmtId="169" fontId="3" fillId="0" borderId="0" xfId="16" applyFont="1" applyAlignment="1">
      <alignment horizontal="left"/>
    </xf>
    <xf numFmtId="164" fontId="3" fillId="0" borderId="1" xfId="0" applyNumberFormat="1" applyFont="1" applyBorder="1"/>
    <xf numFmtId="0" fontId="3" fillId="0" borderId="0" xfId="0" applyFont="1"/>
    <xf numFmtId="166" fontId="3" fillId="0" borderId="0" xfId="0" applyNumberFormat="1" applyFont="1"/>
    <xf numFmtId="166" fontId="3" fillId="0" borderId="1" xfId="0" applyNumberFormat="1" applyFont="1" applyBorder="1"/>
    <xf numFmtId="169" fontId="2" fillId="0" borderId="0" xfId="16" applyFont="1" applyAlignment="1">
      <alignment horizontal="centerContinuous"/>
    </xf>
    <xf numFmtId="0" fontId="3" fillId="0" borderId="0" xfId="15" applyFont="1"/>
    <xf numFmtId="166" fontId="3" fillId="0" borderId="0" xfId="1" applyNumberFormat="1" applyFont="1" applyFill="1" applyAlignment="1">
      <alignment horizontal="left"/>
    </xf>
    <xf numFmtId="166" fontId="3" fillId="0" borderId="0" xfId="1" applyNumberFormat="1" applyFont="1" applyFill="1"/>
    <xf numFmtId="41" fontId="3" fillId="0" borderId="0" xfId="20" applyNumberFormat="1" applyFont="1" applyAlignment="1">
      <alignment horizontal="center"/>
    </xf>
    <xf numFmtId="41" fontId="3" fillId="0" borderId="4" xfId="20" applyNumberFormat="1" applyFont="1" applyBorder="1" applyAlignment="1">
      <alignment horizontal="center"/>
    </xf>
    <xf numFmtId="41" fontId="3" fillId="0" borderId="0" xfId="20" applyNumberFormat="1" applyFont="1"/>
    <xf numFmtId="169" fontId="5" fillId="0" borderId="0" xfId="24" applyFont="1" applyAlignment="1">
      <alignment horizontal="left"/>
    </xf>
    <xf numFmtId="166" fontId="0" fillId="0" borderId="0" xfId="0" applyNumberFormat="1"/>
    <xf numFmtId="41" fontId="0" fillId="0" borderId="0" xfId="0" applyNumberFormat="1"/>
    <xf numFmtId="0" fontId="0" fillId="0" borderId="0" xfId="0" applyAlignment="1">
      <alignment horizontal="left" indent="3"/>
    </xf>
    <xf numFmtId="0" fontId="0" fillId="0" borderId="0" xfId="0" applyAlignment="1">
      <alignment horizontal="left" indent="1"/>
    </xf>
    <xf numFmtId="169" fontId="5" fillId="0" borderId="0" xfId="16" applyFont="1"/>
    <xf numFmtId="169" fontId="5" fillId="0" borderId="0" xfId="16" applyFont="1" applyAlignment="1">
      <alignment horizontal="left"/>
    </xf>
    <xf numFmtId="164" fontId="5" fillId="0" borderId="0" xfId="16" applyNumberFormat="1" applyFont="1"/>
    <xf numFmtId="166" fontId="5" fillId="0" borderId="4" xfId="1" applyNumberFormat="1" applyFont="1" applyFill="1" applyBorder="1" applyAlignment="1" applyProtection="1">
      <alignment horizontal="right"/>
    </xf>
    <xf numFmtId="166" fontId="5" fillId="0" borderId="4" xfId="1" applyNumberFormat="1" applyFont="1" applyFill="1" applyBorder="1" applyProtection="1"/>
    <xf numFmtId="166" fontId="5" fillId="0" borderId="1" xfId="1" applyNumberFormat="1" applyFont="1" applyFill="1" applyBorder="1" applyProtection="1"/>
    <xf numFmtId="166" fontId="5" fillId="0" borderId="4" xfId="1" applyNumberFormat="1" applyFont="1" applyFill="1" applyBorder="1" applyAlignment="1">
      <alignment horizontal="right"/>
    </xf>
    <xf numFmtId="44" fontId="5" fillId="0" borderId="3" xfId="5" applyFont="1" applyFill="1" applyBorder="1" applyProtection="1"/>
    <xf numFmtId="166" fontId="5" fillId="0" borderId="0" xfId="1" applyNumberFormat="1" applyFont="1" applyFill="1" applyBorder="1" applyProtection="1"/>
    <xf numFmtId="166" fontId="5" fillId="0" borderId="1" xfId="0" applyNumberFormat="1" applyFont="1" applyBorder="1"/>
    <xf numFmtId="0" fontId="0" fillId="0" borderId="0" xfId="0" applyAlignment="1">
      <alignment horizontal="left"/>
    </xf>
    <xf numFmtId="0" fontId="8" fillId="0" borderId="0" xfId="0" applyFont="1" applyAlignment="1">
      <alignment horizontal="right"/>
    </xf>
    <xf numFmtId="0" fontId="5" fillId="0" borderId="0" xfId="0" applyFont="1" applyAlignment="1">
      <alignment horizontal="centerContinuous"/>
    </xf>
    <xf numFmtId="0" fontId="8" fillId="0" borderId="0" xfId="0" applyFont="1" applyAlignment="1">
      <alignment horizontal="centerContinuous"/>
    </xf>
    <xf numFmtId="0" fontId="8" fillId="0" borderId="1" xfId="0" applyFont="1" applyBorder="1" applyAlignment="1">
      <alignment horizontal="centerContinuous"/>
    </xf>
    <xf numFmtId="0" fontId="5" fillId="0" borderId="1" xfId="0" applyFont="1" applyBorder="1" applyAlignment="1">
      <alignment horizontal="centerContinuous"/>
    </xf>
    <xf numFmtId="0" fontId="5" fillId="0" borderId="5" xfId="0" applyFont="1" applyBorder="1" applyAlignment="1">
      <alignment horizontal="center" wrapText="1"/>
    </xf>
    <xf numFmtId="166" fontId="5" fillId="0" borderId="0" xfId="1" applyNumberFormat="1" applyFont="1" applyFill="1" applyProtection="1"/>
    <xf numFmtId="164" fontId="5" fillId="0" borderId="6" xfId="5" applyNumberFormat="1" applyFont="1" applyFill="1" applyBorder="1" applyProtection="1"/>
    <xf numFmtId="164" fontId="5" fillId="0" borderId="3" xfId="5" applyNumberFormat="1" applyFont="1" applyFill="1" applyBorder="1" applyProtection="1"/>
    <xf numFmtId="0" fontId="2" fillId="0" borderId="1" xfId="0" applyFont="1" applyBorder="1" applyAlignment="1">
      <alignment horizontal="center" wrapText="1"/>
    </xf>
    <xf numFmtId="0" fontId="2" fillId="0" borderId="0" xfId="0" applyFont="1" applyAlignment="1">
      <alignment horizontal="right"/>
    </xf>
    <xf numFmtId="0" fontId="2" fillId="0" borderId="1" xfId="0" applyFont="1" applyBorder="1" applyAlignment="1">
      <alignment horizontal="center"/>
    </xf>
    <xf numFmtId="0" fontId="2" fillId="0" borderId="0" xfId="0" applyFont="1" applyAlignment="1">
      <alignment horizontal="centerContinuous"/>
    </xf>
    <xf numFmtId="0" fontId="2" fillId="0" borderId="1" xfId="0" applyFont="1" applyBorder="1" applyAlignment="1">
      <alignment horizontal="centerContinuous"/>
    </xf>
    <xf numFmtId="42" fontId="0" fillId="0" borderId="0" xfId="0" applyNumberFormat="1"/>
    <xf numFmtId="41" fontId="0" fillId="0" borderId="5" xfId="0" applyNumberFormat="1" applyBorder="1"/>
    <xf numFmtId="42" fontId="0" fillId="0" borderId="2" xfId="0" applyNumberFormat="1" applyBorder="1"/>
    <xf numFmtId="166" fontId="3" fillId="0" borderId="0" xfId="1" applyNumberFormat="1" applyFont="1" applyFill="1" applyAlignment="1">
      <alignment horizontal="right"/>
    </xf>
    <xf numFmtId="166" fontId="3" fillId="0" borderId="0" xfId="1" applyNumberFormat="1" applyFont="1" applyFill="1" applyBorder="1" applyProtection="1"/>
    <xf numFmtId="166" fontId="3" fillId="0" borderId="4" xfId="1" applyNumberFormat="1" applyFont="1" applyFill="1" applyBorder="1" applyProtection="1"/>
    <xf numFmtId="166" fontId="3" fillId="0" borderId="0" xfId="1" applyNumberFormat="1" applyFont="1" applyFill="1" applyBorder="1" applyAlignment="1">
      <alignment horizontal="right"/>
    </xf>
    <xf numFmtId="166" fontId="3" fillId="0" borderId="4" xfId="1" applyNumberFormat="1" applyFont="1" applyFill="1" applyBorder="1" applyAlignment="1">
      <alignment horizontal="right"/>
    </xf>
    <xf numFmtId="166" fontId="2" fillId="0" borderId="0" xfId="1" applyNumberFormat="1" applyFont="1" applyFill="1" applyAlignment="1">
      <alignment horizontal="centerContinuous"/>
    </xf>
    <xf numFmtId="166" fontId="3" fillId="0" borderId="7" xfId="1" applyNumberFormat="1" applyFont="1" applyFill="1" applyBorder="1"/>
    <xf numFmtId="164" fontId="3" fillId="0" borderId="0" xfId="1" applyNumberFormat="1" applyFont="1" applyFill="1" applyAlignment="1" applyProtection="1">
      <alignment horizontal="right"/>
    </xf>
    <xf numFmtId="164" fontId="3" fillId="0" borderId="0" xfId="1" applyNumberFormat="1" applyFont="1" applyFill="1" applyProtection="1"/>
    <xf numFmtId="164" fontId="3" fillId="0" borderId="0" xfId="1" applyNumberFormat="1" applyFont="1" applyFill="1" applyAlignment="1" applyProtection="1">
      <alignment horizontal="center"/>
    </xf>
    <xf numFmtId="166" fontId="3" fillId="0" borderId="0" xfId="1" applyNumberFormat="1" applyFont="1" applyFill="1" applyProtection="1"/>
    <xf numFmtId="169" fontId="3" fillId="0" borderId="0" xfId="21" applyFont="1"/>
    <xf numFmtId="43" fontId="3" fillId="0" borderId="0" xfId="1" applyFont="1" applyFill="1" applyBorder="1" applyAlignment="1" applyProtection="1">
      <alignment horizontal="right"/>
    </xf>
    <xf numFmtId="43" fontId="3" fillId="0" borderId="0" xfId="1" applyFont="1" applyFill="1" applyBorder="1" applyAlignment="1" applyProtection="1">
      <alignment horizontal="center"/>
    </xf>
    <xf numFmtId="43" fontId="3" fillId="0" borderId="1" xfId="1" applyFont="1" applyFill="1" applyBorder="1"/>
    <xf numFmtId="166" fontId="3" fillId="0" borderId="1" xfId="1" applyNumberFormat="1" applyFont="1" applyFill="1" applyBorder="1"/>
    <xf numFmtId="43" fontId="3" fillId="0" borderId="1" xfId="1" applyFont="1" applyFill="1" applyBorder="1" applyAlignment="1">
      <alignment horizontal="center"/>
    </xf>
    <xf numFmtId="164" fontId="3" fillId="0" borderId="4" xfId="5" applyNumberFormat="1" applyFont="1" applyFill="1" applyBorder="1" applyProtection="1"/>
    <xf numFmtId="43" fontId="3" fillId="0" borderId="0" xfId="1" applyFont="1" applyFill="1" applyAlignment="1" applyProtection="1">
      <alignment horizontal="right"/>
    </xf>
    <xf numFmtId="165" fontId="3" fillId="0" borderId="0" xfId="1" applyNumberFormat="1" applyFont="1" applyFill="1" applyAlignment="1" applyProtection="1"/>
    <xf numFmtId="43" fontId="3" fillId="0" borderId="1" xfId="1" applyFont="1" applyFill="1" applyBorder="1" applyAlignment="1" applyProtection="1">
      <alignment horizontal="right"/>
    </xf>
    <xf numFmtId="166" fontId="3" fillId="0" borderId="1" xfId="1" applyNumberFormat="1" applyFont="1" applyFill="1" applyBorder="1" applyProtection="1"/>
    <xf numFmtId="165" fontId="3" fillId="0" borderId="1" xfId="1" applyNumberFormat="1" applyFont="1" applyFill="1" applyBorder="1" applyAlignment="1" applyProtection="1"/>
    <xf numFmtId="166" fontId="3" fillId="0" borderId="4" xfId="1" applyNumberFormat="1" applyFont="1" applyFill="1" applyBorder="1" applyAlignment="1" applyProtection="1">
      <alignment horizontal="right"/>
    </xf>
    <xf numFmtId="166" fontId="3" fillId="0" borderId="0" xfId="1" applyNumberFormat="1" applyFont="1" applyFill="1" applyBorder="1" applyAlignment="1" applyProtection="1">
      <alignment horizontal="right"/>
    </xf>
    <xf numFmtId="166" fontId="3" fillId="0" borderId="0" xfId="1" applyNumberFormat="1" applyFont="1" applyFill="1" applyAlignment="1" applyProtection="1">
      <alignment horizontal="right"/>
    </xf>
    <xf numFmtId="166" fontId="3" fillId="0" borderId="1" xfId="1" applyNumberFormat="1" applyFont="1" applyFill="1" applyBorder="1" applyAlignment="1" applyProtection="1">
      <alignment horizontal="right"/>
    </xf>
    <xf numFmtId="166" fontId="4" fillId="0" borderId="0" xfId="1" applyNumberFormat="1" applyFont="1" applyFill="1"/>
    <xf numFmtId="165" fontId="3" fillId="0" borderId="0" xfId="1" applyNumberFormat="1" applyFont="1" applyFill="1"/>
    <xf numFmtId="43" fontId="3" fillId="0" borderId="0" xfId="1" applyFont="1" applyFill="1"/>
    <xf numFmtId="164" fontId="3" fillId="0" borderId="6" xfId="1" applyNumberFormat="1" applyFont="1" applyFill="1" applyBorder="1" applyProtection="1"/>
    <xf numFmtId="166" fontId="3" fillId="0" borderId="0" xfId="1" applyNumberFormat="1" applyFont="1" applyFill="1" applyAlignment="1" applyProtection="1">
      <alignment horizontal="left"/>
    </xf>
    <xf numFmtId="166" fontId="4" fillId="0" borderId="0" xfId="1" applyNumberFormat="1" applyFont="1" applyFill="1" applyProtection="1"/>
    <xf numFmtId="166" fontId="2" fillId="0" borderId="0" xfId="1" applyNumberFormat="1" applyFont="1" applyFill="1" applyAlignment="1">
      <alignment horizontal="left"/>
    </xf>
    <xf numFmtId="164" fontId="3" fillId="0" borderId="0" xfId="5" applyNumberFormat="1" applyFont="1" applyFill="1"/>
    <xf numFmtId="166" fontId="3" fillId="0" borderId="5" xfId="1" applyNumberFormat="1" applyFont="1" applyFill="1" applyBorder="1" applyProtection="1"/>
    <xf numFmtId="166" fontId="0" fillId="0" borderId="1" xfId="0" applyNumberFormat="1" applyBorder="1"/>
    <xf numFmtId="164" fontId="5" fillId="0" borderId="0" xfId="5" applyNumberFormat="1" applyFont="1" applyFill="1" applyProtection="1"/>
    <xf numFmtId="0" fontId="0" fillId="0" borderId="0" xfId="0" applyAlignment="1">
      <alignment horizontal="centerContinuous"/>
    </xf>
    <xf numFmtId="0" fontId="2" fillId="0" borderId="0" xfId="0" applyFont="1"/>
    <xf numFmtId="42" fontId="0" fillId="0" borderId="3" xfId="0" applyNumberFormat="1" applyBorder="1"/>
    <xf numFmtId="37" fontId="3" fillId="0" borderId="0" xfId="17" applyNumberFormat="1" applyFont="1"/>
    <xf numFmtId="169" fontId="5" fillId="0" borderId="0" xfId="24" applyFont="1"/>
    <xf numFmtId="169" fontId="5" fillId="0" borderId="0" xfId="24" applyFont="1" applyAlignment="1">
      <alignment horizontal="center"/>
    </xf>
    <xf numFmtId="37" fontId="5" fillId="0" borderId="0" xfId="24" applyNumberFormat="1" applyFont="1"/>
    <xf numFmtId="0" fontId="3" fillId="0" borderId="7" xfId="17" applyFont="1" applyBorder="1"/>
    <xf numFmtId="0" fontId="2" fillId="0" borderId="0" xfId="17" applyFont="1" applyAlignment="1">
      <alignment horizontal="left"/>
    </xf>
    <xf numFmtId="0" fontId="2" fillId="0" borderId="0" xfId="17" applyFont="1" applyAlignment="1">
      <alignment horizontal="centerContinuous"/>
    </xf>
    <xf numFmtId="166" fontId="4" fillId="0" borderId="0" xfId="0" applyNumberFormat="1" applyFont="1"/>
    <xf numFmtId="166" fontId="3" fillId="0" borderId="8" xfId="1" applyNumberFormat="1" applyFont="1" applyFill="1" applyBorder="1" applyAlignment="1" applyProtection="1">
      <alignment horizontal="right"/>
    </xf>
    <xf numFmtId="3" fontId="0" fillId="0" borderId="0" xfId="0" applyNumberFormat="1"/>
    <xf numFmtId="164" fontId="3" fillId="0" borderId="3" xfId="5" applyNumberFormat="1" applyFont="1" applyFill="1" applyBorder="1" applyAlignment="1" applyProtection="1">
      <alignment horizontal="right"/>
    </xf>
    <xf numFmtId="41" fontId="3" fillId="0" borderId="1" xfId="0" applyNumberFormat="1" applyFont="1" applyBorder="1"/>
    <xf numFmtId="169" fontId="5" fillId="0" borderId="7" xfId="16" applyFont="1" applyBorder="1"/>
    <xf numFmtId="169" fontId="5" fillId="0" borderId="9" xfId="16" applyFont="1" applyBorder="1"/>
    <xf numFmtId="169" fontId="5" fillId="0" borderId="0" xfId="16" applyFont="1" applyAlignment="1">
      <alignment horizontal="center"/>
    </xf>
    <xf numFmtId="169" fontId="5" fillId="0" borderId="4" xfId="16" applyFont="1" applyBorder="1" applyAlignment="1">
      <alignment horizontal="center"/>
    </xf>
    <xf numFmtId="37" fontId="5" fillId="0" borderId="0" xfId="16" applyNumberFormat="1" applyFont="1"/>
    <xf numFmtId="37" fontId="5" fillId="0" borderId="4" xfId="16" applyNumberFormat="1" applyFont="1" applyBorder="1"/>
    <xf numFmtId="5" fontId="5" fillId="0" borderId="6" xfId="16" applyNumberFormat="1" applyFont="1" applyBorder="1"/>
    <xf numFmtId="10" fontId="5" fillId="0" borderId="3" xfId="16" applyNumberFormat="1" applyFont="1" applyBorder="1"/>
    <xf numFmtId="169" fontId="4" fillId="0" borderId="0" xfId="16" applyFont="1"/>
    <xf numFmtId="169" fontId="4" fillId="0" borderId="0" xfId="16" applyFont="1" applyAlignment="1">
      <alignment horizontal="left"/>
    </xf>
    <xf numFmtId="169" fontId="8" fillId="0" borderId="0" xfId="24" applyFont="1" applyAlignment="1">
      <alignment horizontal="centerContinuous"/>
    </xf>
    <xf numFmtId="169" fontId="8" fillId="0" borderId="0" xfId="24" applyFont="1"/>
    <xf numFmtId="169" fontId="5" fillId="0" borderId="7" xfId="24" applyFont="1" applyBorder="1" applyAlignment="1">
      <alignment horizontal="centerContinuous"/>
    </xf>
    <xf numFmtId="169" fontId="5" fillId="0" borderId="4" xfId="24" applyFont="1" applyBorder="1" applyAlignment="1">
      <alignment horizontal="center"/>
    </xf>
    <xf numFmtId="37" fontId="5" fillId="0" borderId="0" xfId="24" applyNumberFormat="1" applyFont="1" applyAlignment="1">
      <alignment horizontal="center"/>
    </xf>
    <xf numFmtId="37" fontId="5" fillId="0" borderId="0" xfId="24" applyNumberFormat="1" applyFont="1" applyAlignment="1">
      <alignment horizontal="right"/>
    </xf>
    <xf numFmtId="37" fontId="5" fillId="0" borderId="0" xfId="24" applyNumberFormat="1" applyFont="1" applyAlignment="1">
      <alignment horizontal="left"/>
    </xf>
    <xf numFmtId="37" fontId="5" fillId="0" borderId="4" xfId="24" applyNumberFormat="1" applyFont="1" applyBorder="1"/>
    <xf numFmtId="37" fontId="5" fillId="0" borderId="4" xfId="24" applyNumberFormat="1" applyFont="1" applyBorder="1" applyAlignment="1">
      <alignment horizontal="right"/>
    </xf>
    <xf numFmtId="169" fontId="17" fillId="0" borderId="0" xfId="24" applyFont="1" applyAlignment="1">
      <alignment horizontal="left"/>
    </xf>
    <xf numFmtId="169" fontId="10" fillId="0" borderId="0" xfId="24" applyFont="1"/>
    <xf numFmtId="169" fontId="4" fillId="0" borderId="0" xfId="24" applyFont="1"/>
    <xf numFmtId="37" fontId="4" fillId="0" borderId="0" xfId="24" applyNumberFormat="1" applyFont="1"/>
    <xf numFmtId="37" fontId="4" fillId="0" borderId="0" xfId="24" applyNumberFormat="1" applyFont="1" applyAlignment="1">
      <alignment horizontal="center"/>
    </xf>
    <xf numFmtId="169" fontId="13" fillId="0" borderId="0" xfId="24" applyFont="1"/>
    <xf numFmtId="37" fontId="13" fillId="0" borderId="0" xfId="24" applyNumberFormat="1" applyFont="1"/>
    <xf numFmtId="37" fontId="13" fillId="0" borderId="0" xfId="24" applyNumberFormat="1" applyFont="1" applyAlignment="1">
      <alignment horizontal="center"/>
    </xf>
    <xf numFmtId="169" fontId="20" fillId="0" borderId="0" xfId="16" applyFont="1"/>
    <xf numFmtId="169" fontId="3" fillId="0" borderId="0" xfId="16" applyFont="1" applyAlignment="1">
      <alignment horizontal="centerContinuous"/>
    </xf>
    <xf numFmtId="169" fontId="13" fillId="0" borderId="0" xfId="16" applyFont="1"/>
    <xf numFmtId="169" fontId="3" fillId="0" borderId="7" xfId="16" applyFont="1" applyBorder="1"/>
    <xf numFmtId="169" fontId="3" fillId="0" borderId="0" xfId="16" applyFont="1"/>
    <xf numFmtId="169" fontId="3" fillId="0" borderId="4" xfId="16" applyFont="1" applyBorder="1" applyAlignment="1">
      <alignment horizontal="center" wrapText="1"/>
    </xf>
    <xf numFmtId="164" fontId="3" fillId="0" borderId="0" xfId="16" applyNumberFormat="1" applyFont="1"/>
    <xf numFmtId="37" fontId="3" fillId="0" borderId="0" xfId="16" applyNumberFormat="1" applyFont="1"/>
    <xf numFmtId="164" fontId="3" fillId="0" borderId="0" xfId="16" applyNumberFormat="1" applyFont="1" applyAlignment="1">
      <alignment horizontal="right"/>
    </xf>
    <xf numFmtId="37" fontId="13" fillId="0" borderId="0" xfId="16" applyNumberFormat="1" applyFont="1"/>
    <xf numFmtId="37" fontId="3" fillId="0" borderId="4" xfId="16" applyNumberFormat="1" applyFont="1" applyBorder="1"/>
    <xf numFmtId="37" fontId="3" fillId="0" borderId="1" xfId="16" applyNumberFormat="1" applyFont="1" applyBorder="1"/>
    <xf numFmtId="164" fontId="3" fillId="0" borderId="6" xfId="16" applyNumberFormat="1" applyFont="1" applyBorder="1" applyAlignment="1">
      <alignment horizontal="right"/>
    </xf>
    <xf numFmtId="164" fontId="3" fillId="0" borderId="6" xfId="16" applyNumberFormat="1" applyFont="1" applyBorder="1"/>
    <xf numFmtId="169" fontId="2" fillId="0" borderId="0" xfId="16" applyFont="1" applyAlignment="1">
      <alignment horizontal="left"/>
    </xf>
    <xf numFmtId="42" fontId="3" fillId="0" borderId="6" xfId="16" applyNumberFormat="1" applyFont="1" applyBorder="1"/>
    <xf numFmtId="41" fontId="2" fillId="0" borderId="0" xfId="20" applyNumberFormat="1" applyFont="1" applyAlignment="1">
      <alignment horizontal="centerContinuous"/>
    </xf>
    <xf numFmtId="41" fontId="3" fillId="0" borderId="7" xfId="20" applyNumberFormat="1" applyFont="1" applyBorder="1"/>
    <xf numFmtId="164" fontId="3" fillId="0" borderId="0" xfId="5" applyNumberFormat="1" applyFont="1" applyFill="1" applyProtection="1"/>
    <xf numFmtId="41" fontId="3" fillId="0" borderId="0" xfId="5" applyNumberFormat="1" applyFont="1" applyFill="1" applyProtection="1"/>
    <xf numFmtId="41" fontId="3" fillId="0" borderId="0" xfId="1" applyNumberFormat="1" applyFont="1" applyFill="1" applyProtection="1"/>
    <xf numFmtId="41" fontId="3" fillId="0" borderId="4" xfId="20" applyNumberFormat="1" applyFont="1" applyBorder="1"/>
    <xf numFmtId="41" fontId="3" fillId="0" borderId="1" xfId="5" applyNumberFormat="1" applyFont="1" applyFill="1" applyBorder="1" applyProtection="1"/>
    <xf numFmtId="41" fontId="3" fillId="0" borderId="0" xfId="1" applyNumberFormat="1" applyFont="1" applyFill="1" applyAlignment="1" applyProtection="1">
      <alignment horizontal="right"/>
    </xf>
    <xf numFmtId="41" fontId="3" fillId="0" borderId="0" xfId="1" applyNumberFormat="1" applyFont="1" applyFill="1" applyBorder="1" applyProtection="1"/>
    <xf numFmtId="41" fontId="3" fillId="0" borderId="1" xfId="20" applyNumberFormat="1" applyFont="1" applyBorder="1"/>
    <xf numFmtId="41" fontId="3" fillId="0" borderId="1" xfId="1" applyNumberFormat="1" applyFont="1" applyFill="1" applyBorder="1" applyProtection="1"/>
    <xf numFmtId="41" fontId="3" fillId="0" borderId="4" xfId="1" applyNumberFormat="1" applyFont="1" applyFill="1" applyBorder="1" applyProtection="1"/>
    <xf numFmtId="41" fontId="3" fillId="0" borderId="4" xfId="1" applyNumberFormat="1" applyFont="1" applyFill="1" applyBorder="1" applyAlignment="1" applyProtection="1">
      <alignment horizontal="right"/>
    </xf>
    <xf numFmtId="41" fontId="3" fillId="0" borderId="0" xfId="1" applyNumberFormat="1" applyFont="1" applyFill="1" applyBorder="1" applyAlignment="1" applyProtection="1">
      <alignment horizontal="right"/>
    </xf>
    <xf numFmtId="164" fontId="3" fillId="0" borderId="6" xfId="5" applyNumberFormat="1" applyFont="1" applyFill="1" applyBorder="1" applyProtection="1"/>
    <xf numFmtId="0" fontId="19" fillId="0" borderId="0" xfId="0" applyFont="1"/>
    <xf numFmtId="0" fontId="2" fillId="0" borderId="0" xfId="15" applyFont="1" applyAlignment="1">
      <alignment horizontal="centerContinuous"/>
    </xf>
    <xf numFmtId="169" fontId="3" fillId="0" borderId="9" xfId="16" applyFont="1" applyBorder="1" applyAlignment="1">
      <alignment horizontal="centerContinuous"/>
    </xf>
    <xf numFmtId="0" fontId="3" fillId="0" borderId="9" xfId="0" applyFont="1" applyBorder="1" applyAlignment="1">
      <alignment horizontal="centerContinuous"/>
    </xf>
    <xf numFmtId="0" fontId="3" fillId="0" borderId="1" xfId="15" applyFont="1" applyBorder="1" applyAlignment="1">
      <alignment horizontal="centerContinuous"/>
    </xf>
    <xf numFmtId="0" fontId="3" fillId="0" borderId="1" xfId="0" applyFont="1" applyBorder="1" applyAlignment="1">
      <alignment horizontal="centerContinuous"/>
    </xf>
    <xf numFmtId="164" fontId="3" fillId="0" borderId="1" xfId="5" applyNumberFormat="1" applyFont="1" applyFill="1" applyBorder="1"/>
    <xf numFmtId="166" fontId="3" fillId="0" borderId="0" xfId="15" applyNumberFormat="1" applyFont="1"/>
    <xf numFmtId="166" fontId="3" fillId="0" borderId="1" xfId="15" applyNumberFormat="1" applyFont="1" applyBorder="1"/>
    <xf numFmtId="164" fontId="3" fillId="0" borderId="3" xfId="15" applyNumberFormat="1" applyFont="1" applyBorder="1"/>
    <xf numFmtId="164" fontId="3" fillId="0" borderId="0" xfId="16" applyNumberFormat="1" applyFont="1" applyAlignment="1">
      <alignment horizontal="left"/>
    </xf>
    <xf numFmtId="164" fontId="3" fillId="0" borderId="0" xfId="5" applyNumberFormat="1" applyFont="1" applyFill="1" applyBorder="1" applyProtection="1"/>
    <xf numFmtId="43" fontId="3" fillId="0" borderId="4" xfId="1" applyFont="1" applyFill="1" applyBorder="1" applyAlignment="1" applyProtection="1">
      <alignment horizontal="right"/>
    </xf>
    <xf numFmtId="166" fontId="3" fillId="0" borderId="0" xfId="1" applyNumberFormat="1" applyFont="1" applyFill="1" applyBorder="1"/>
    <xf numFmtId="37" fontId="3" fillId="0" borderId="0" xfId="16" applyNumberFormat="1" applyFont="1" applyAlignment="1">
      <alignment horizontal="right"/>
    </xf>
    <xf numFmtId="169" fontId="3" fillId="0" borderId="0" xfId="16" applyFont="1" applyAlignment="1">
      <alignment wrapText="1"/>
    </xf>
    <xf numFmtId="166" fontId="3" fillId="0" borderId="0" xfId="16" applyNumberFormat="1" applyFont="1"/>
    <xf numFmtId="169" fontId="3" fillId="0" borderId="1" xfId="16" applyFont="1" applyBorder="1"/>
    <xf numFmtId="169" fontId="3" fillId="0" borderId="0" xfId="16" applyFont="1" applyAlignment="1">
      <alignment horizontal="right"/>
    </xf>
    <xf numFmtId="164" fontId="3" fillId="0" borderId="6" xfId="1" applyNumberFormat="1" applyFont="1" applyFill="1" applyBorder="1" applyAlignment="1">
      <alignment horizontal="right"/>
    </xf>
    <xf numFmtId="166" fontId="3" fillId="0" borderId="1" xfId="1" applyNumberFormat="1" applyFont="1" applyFill="1" applyBorder="1" applyAlignment="1">
      <alignment horizontal="right"/>
    </xf>
    <xf numFmtId="37" fontId="3" fillId="0" borderId="5" xfId="16" applyNumberFormat="1" applyFont="1" applyBorder="1"/>
    <xf numFmtId="37" fontId="3" fillId="0" borderId="0" xfId="16" applyNumberFormat="1" applyFont="1" applyAlignment="1">
      <alignment horizontal="left"/>
    </xf>
    <xf numFmtId="37" fontId="4" fillId="0" borderId="0" xfId="16" applyNumberFormat="1" applyFont="1" applyAlignment="1">
      <alignment horizontal="left"/>
    </xf>
    <xf numFmtId="37" fontId="4" fillId="0" borderId="0" xfId="16" applyNumberFormat="1" applyFont="1"/>
    <xf numFmtId="169" fontId="12" fillId="0" borderId="0" xfId="16" applyFont="1"/>
    <xf numFmtId="0" fontId="3" fillId="0" borderId="7" xfId="19" applyFont="1" applyBorder="1"/>
    <xf numFmtId="0" fontId="3" fillId="0" borderId="4" xfId="19" applyFont="1" applyBorder="1" applyAlignment="1">
      <alignment horizontal="centerContinuous"/>
    </xf>
    <xf numFmtId="0" fontId="2" fillId="0" borderId="0" xfId="19" applyFont="1"/>
    <xf numFmtId="164" fontId="3" fillId="0" borderId="0" xfId="19" applyNumberFormat="1" applyFont="1"/>
    <xf numFmtId="41" fontId="3" fillId="0" borderId="4" xfId="19" applyNumberFormat="1" applyFont="1" applyBorder="1"/>
    <xf numFmtId="41" fontId="3" fillId="0" borderId="0" xfId="19" applyNumberFormat="1" applyFont="1"/>
    <xf numFmtId="37" fontId="3" fillId="0" borderId="0" xfId="19" applyNumberFormat="1" applyFont="1"/>
    <xf numFmtId="164" fontId="3" fillId="0" borderId="6" xfId="19" applyNumberFormat="1" applyFont="1" applyBorder="1"/>
    <xf numFmtId="166" fontId="2" fillId="0" borderId="0" xfId="1" applyNumberFormat="1" applyFont="1" applyFill="1" applyAlignment="1" applyProtection="1">
      <alignment horizontal="centerContinuous"/>
    </xf>
    <xf numFmtId="166" fontId="3" fillId="0" borderId="4" xfId="1" applyNumberFormat="1" applyFont="1" applyFill="1" applyBorder="1" applyAlignment="1">
      <alignment horizontal="centerContinuous"/>
    </xf>
    <xf numFmtId="164" fontId="3" fillId="0" borderId="1" xfId="1" applyNumberFormat="1" applyFont="1" applyFill="1" applyBorder="1"/>
    <xf numFmtId="164" fontId="3" fillId="0" borderId="0" xfId="1" applyNumberFormat="1" applyFont="1" applyFill="1"/>
    <xf numFmtId="164" fontId="3" fillId="0" borderId="0" xfId="1" applyNumberFormat="1" applyFont="1" applyFill="1" applyAlignment="1">
      <alignment horizontal="center"/>
    </xf>
    <xf numFmtId="164" fontId="3" fillId="0" borderId="6" xfId="1" applyNumberFormat="1" applyFont="1" applyFill="1" applyBorder="1" applyAlignment="1" applyProtection="1">
      <alignment horizontal="right"/>
    </xf>
    <xf numFmtId="0" fontId="0" fillId="0" borderId="0" xfId="0" applyAlignment="1">
      <alignment horizontal="center"/>
    </xf>
    <xf numFmtId="0" fontId="2" fillId="0" borderId="0" xfId="0" applyFont="1" applyAlignment="1">
      <alignment horizontal="left" indent="2"/>
    </xf>
    <xf numFmtId="0" fontId="6" fillId="0" borderId="0" xfId="23" applyFont="1"/>
    <xf numFmtId="0" fontId="4" fillId="0" borderId="0" xfId="23" applyFont="1"/>
    <xf numFmtId="0" fontId="13" fillId="0" borderId="0" xfId="14" applyFont="1"/>
    <xf numFmtId="0" fontId="13" fillId="0" borderId="0" xfId="23" applyFont="1"/>
    <xf numFmtId="0" fontId="4" fillId="0" borderId="0" xfId="23" quotePrefix="1" applyFont="1"/>
    <xf numFmtId="167" fontId="4" fillId="0" borderId="0" xfId="23" applyNumberFormat="1" applyFont="1" applyAlignment="1">
      <alignment horizontal="left"/>
    </xf>
    <xf numFmtId="0" fontId="4" fillId="0" borderId="0" xfId="23" applyFont="1" applyAlignment="1">
      <alignment horizontal="left"/>
    </xf>
    <xf numFmtId="0" fontId="7" fillId="0" borderId="0" xfId="14"/>
    <xf numFmtId="0" fontId="4" fillId="0" borderId="0" xfId="22" applyFont="1"/>
    <xf numFmtId="0" fontId="6" fillId="0" borderId="9" xfId="22" applyFont="1" applyBorder="1"/>
    <xf numFmtId="0" fontId="4" fillId="0" borderId="9" xfId="22" applyFont="1" applyBorder="1"/>
    <xf numFmtId="0" fontId="6" fillId="0" borderId="0" xfId="22" applyFont="1"/>
    <xf numFmtId="0" fontId="4" fillId="0" borderId="0" xfId="22" applyFont="1" applyAlignment="1">
      <alignment horizontal="center"/>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164" fontId="0" fillId="0" borderId="0" xfId="0" applyNumberFormat="1"/>
    <xf numFmtId="0" fontId="0" fillId="0" borderId="0" xfId="0" applyAlignment="1">
      <alignment horizontal="left" wrapText="1" indent="4"/>
    </xf>
    <xf numFmtId="0" fontId="0" fillId="0" borderId="0" xfId="0" applyAlignment="1">
      <alignment horizontal="left" wrapText="1" indent="5"/>
    </xf>
    <xf numFmtId="0" fontId="0" fillId="0" borderId="0" xfId="0" applyAlignment="1">
      <alignment horizontal="left" indent="4"/>
    </xf>
    <xf numFmtId="166" fontId="5" fillId="0" borderId="0" xfId="0" applyNumberFormat="1" applyFont="1"/>
    <xf numFmtId="0" fontId="0" fillId="0" borderId="0" xfId="0" applyAlignment="1">
      <alignment horizontal="right"/>
    </xf>
    <xf numFmtId="41" fontId="0" fillId="0" borderId="0" xfId="0" applyNumberFormat="1" applyAlignment="1">
      <alignment horizontal="left" wrapText="1" indent="1"/>
    </xf>
    <xf numFmtId="41" fontId="0" fillId="0" borderId="1" xfId="0" applyNumberFormat="1" applyBorder="1" applyAlignment="1">
      <alignment horizontal="left" wrapText="1" indent="1"/>
    </xf>
    <xf numFmtId="0" fontId="2" fillId="0" borderId="1" xfId="0" applyFont="1" applyBorder="1" applyAlignment="1">
      <alignment horizontal="left"/>
    </xf>
    <xf numFmtId="0" fontId="0" fillId="0" borderId="0" xfId="0" applyAlignment="1">
      <alignment horizontal="left" wrapText="1"/>
    </xf>
    <xf numFmtId="164" fontId="1" fillId="0" borderId="0" xfId="5" applyNumberFormat="1" applyFill="1"/>
    <xf numFmtId="166" fontId="1" fillId="0" borderId="0" xfId="1" applyNumberFormat="1" applyFill="1"/>
    <xf numFmtId="166" fontId="1" fillId="0" borderId="0" xfId="1" applyNumberFormat="1" applyFill="1" applyBorder="1"/>
    <xf numFmtId="166" fontId="1" fillId="0" borderId="5" xfId="1" applyNumberFormat="1" applyFill="1" applyBorder="1"/>
    <xf numFmtId="166" fontId="1" fillId="0" borderId="1" xfId="1" applyNumberFormat="1" applyFill="1" applyBorder="1"/>
    <xf numFmtId="164" fontId="1" fillId="0" borderId="2" xfId="5" applyNumberFormat="1" applyFill="1" applyBorder="1"/>
    <xf numFmtId="164" fontId="1" fillId="0" borderId="0" xfId="5" applyNumberFormat="1" applyFill="1" applyBorder="1"/>
    <xf numFmtId="166" fontId="1" fillId="0" borderId="10" xfId="1" applyNumberFormat="1" applyFill="1" applyBorder="1"/>
    <xf numFmtId="0" fontId="3" fillId="0" borderId="0" xfId="0" applyFont="1" applyProtection="1">
      <protection locked="0"/>
    </xf>
    <xf numFmtId="0" fontId="0" fillId="0" borderId="0" xfId="0" applyAlignment="1">
      <alignment horizontal="left" wrapText="1" indent="1"/>
    </xf>
    <xf numFmtId="0" fontId="3" fillId="0" borderId="0" xfId="17" applyFont="1" applyAlignment="1">
      <alignment horizontal="left"/>
    </xf>
    <xf numFmtId="0" fontId="14" fillId="0" borderId="0" xfId="14" applyFont="1"/>
    <xf numFmtId="166" fontId="3" fillId="0" borderId="0" xfId="1" applyNumberFormat="1" applyFont="1" applyFill="1" applyBorder="1" applyAlignment="1"/>
    <xf numFmtId="166" fontId="3" fillId="0" borderId="0" xfId="1" applyNumberFormat="1" applyFont="1" applyFill="1" applyBorder="1" applyAlignment="1" applyProtection="1"/>
    <xf numFmtId="49" fontId="3" fillId="0" borderId="0" xfId="1" applyNumberFormat="1" applyFont="1" applyFill="1" applyBorder="1" applyAlignment="1"/>
    <xf numFmtId="166" fontId="3" fillId="0" borderId="5" xfId="1" applyNumberFormat="1" applyFont="1" applyFill="1" applyBorder="1" applyAlignment="1" applyProtection="1"/>
    <xf numFmtId="166" fontId="3" fillId="0" borderId="1" xfId="1" applyNumberFormat="1" applyFont="1" applyFill="1" applyBorder="1" applyAlignment="1" applyProtection="1"/>
    <xf numFmtId="166" fontId="3" fillId="0" borderId="4" xfId="16" applyNumberFormat="1" applyFont="1" applyBorder="1"/>
    <xf numFmtId="164" fontId="3" fillId="0" borderId="0" xfId="5" applyNumberFormat="1" applyFont="1" applyFill="1" applyBorder="1" applyAlignment="1" applyProtection="1"/>
    <xf numFmtId="41" fontId="3" fillId="0" borderId="5" xfId="20" applyNumberFormat="1" applyFont="1" applyBorder="1"/>
    <xf numFmtId="41" fontId="3" fillId="0" borderId="5" xfId="1" applyNumberFormat="1" applyFont="1" applyFill="1" applyBorder="1" applyAlignment="1" applyProtection="1">
      <alignment horizontal="right"/>
    </xf>
    <xf numFmtId="164" fontId="3" fillId="0" borderId="0" xfId="5" applyNumberFormat="1" applyFont="1" applyFill="1" applyBorder="1" applyAlignment="1"/>
    <xf numFmtId="0" fontId="3" fillId="0" borderId="0" xfId="17" applyFont="1" applyAlignment="1">
      <alignment horizontal="center" vertical="center"/>
    </xf>
    <xf numFmtId="41" fontId="3" fillId="0" borderId="0" xfId="1" applyNumberFormat="1" applyFont="1" applyFill="1" applyBorder="1"/>
    <xf numFmtId="164" fontId="3" fillId="0" borderId="3" xfId="1" applyNumberFormat="1" applyFont="1" applyFill="1" applyBorder="1" applyProtection="1"/>
    <xf numFmtId="41" fontId="3" fillId="0" borderId="0" xfId="0" applyNumberFormat="1" applyFont="1"/>
    <xf numFmtId="37" fontId="0" fillId="0" borderId="0" xfId="0" applyNumberFormat="1"/>
    <xf numFmtId="0" fontId="18" fillId="0" borderId="0" xfId="0" applyFont="1"/>
    <xf numFmtId="164" fontId="5" fillId="0" borderId="0" xfId="5" applyNumberFormat="1" applyFont="1" applyFill="1" applyBorder="1" applyProtection="1"/>
    <xf numFmtId="0" fontId="3" fillId="0" borderId="7" xfId="18" applyFont="1" applyBorder="1"/>
    <xf numFmtId="0" fontId="2" fillId="0" borderId="7" xfId="18" applyFont="1" applyBorder="1" applyAlignment="1">
      <alignment horizontal="center"/>
    </xf>
    <xf numFmtId="0" fontId="3" fillId="0" borderId="0" xfId="12"/>
    <xf numFmtId="0" fontId="3" fillId="0" borderId="0" xfId="12" applyAlignment="1">
      <alignment horizontal="center"/>
    </xf>
    <xf numFmtId="0" fontId="3" fillId="0" borderId="1" xfId="12" applyBorder="1" applyAlignment="1">
      <alignment horizontal="center"/>
    </xf>
    <xf numFmtId="0" fontId="3" fillId="0" borderId="0" xfId="12" applyAlignment="1">
      <alignment horizontal="left" indent="1"/>
    </xf>
    <xf numFmtId="42" fontId="3" fillId="0" borderId="0" xfId="12" applyNumberFormat="1"/>
    <xf numFmtId="41" fontId="3" fillId="0" borderId="1" xfId="12" applyNumberFormat="1" applyBorder="1"/>
    <xf numFmtId="41" fontId="3" fillId="0" borderId="0" xfId="12" applyNumberFormat="1"/>
    <xf numFmtId="0" fontId="3" fillId="0" borderId="0" xfId="12" applyAlignment="1">
      <alignment horizontal="left" wrapText="1" indent="1"/>
    </xf>
    <xf numFmtId="0" fontId="2" fillId="0" borderId="0" xfId="12" applyFont="1"/>
    <xf numFmtId="0" fontId="3" fillId="0" borderId="0" xfId="12" applyAlignment="1">
      <alignment wrapText="1"/>
    </xf>
    <xf numFmtId="164" fontId="0" fillId="0" borderId="2" xfId="8" applyNumberFormat="1" applyFont="1" applyFill="1" applyBorder="1"/>
    <xf numFmtId="42" fontId="3" fillId="0" borderId="2" xfId="12" applyNumberFormat="1" applyBorder="1"/>
    <xf numFmtId="164" fontId="5" fillId="0" borderId="5" xfId="5" applyNumberFormat="1" applyFont="1" applyFill="1" applyBorder="1" applyProtection="1"/>
    <xf numFmtId="37" fontId="3" fillId="0" borderId="0" xfId="17" applyNumberFormat="1" applyFont="1" applyAlignment="1">
      <alignment horizontal="left"/>
    </xf>
    <xf numFmtId="0" fontId="3" fillId="0" borderId="0" xfId="0" applyFont="1" applyAlignment="1">
      <alignment horizontal="left" indent="1"/>
    </xf>
    <xf numFmtId="0" fontId="0" fillId="0" borderId="0" xfId="0" applyAlignment="1">
      <alignment horizontal="left" vertical="top" wrapText="1" indent="1"/>
    </xf>
    <xf numFmtId="37" fontId="5" fillId="0" borderId="0" xfId="5" applyNumberFormat="1" applyFont="1" applyFill="1" applyBorder="1" applyProtection="1"/>
    <xf numFmtId="172" fontId="5" fillId="0" borderId="2" xfId="0" applyNumberFormat="1" applyFont="1" applyBorder="1"/>
    <xf numFmtId="164" fontId="3" fillId="0" borderId="0" xfId="19" applyNumberFormat="1" applyFont="1" applyAlignment="1">
      <alignment horizontal="right"/>
    </xf>
    <xf numFmtId="0" fontId="3" fillId="0" borderId="0" xfId="18" applyFont="1"/>
    <xf numFmtId="0" fontId="37" fillId="0" borderId="0" xfId="0" applyFont="1"/>
    <xf numFmtId="164" fontId="37" fillId="0" borderId="0" xfId="0" applyNumberFormat="1" applyFont="1"/>
    <xf numFmtId="0" fontId="3" fillId="0" borderId="0" xfId="0" applyFont="1" applyAlignment="1">
      <alignment horizontal="left" indent="4"/>
    </xf>
    <xf numFmtId="0" fontId="3" fillId="0" borderId="0" xfId="0" applyFont="1" applyAlignment="1">
      <alignment horizontal="left" wrapText="1" indent="5"/>
    </xf>
    <xf numFmtId="0" fontId="37" fillId="0" borderId="5" xfId="0" applyFont="1" applyBorder="1"/>
    <xf numFmtId="0" fontId="3" fillId="0" borderId="0" xfId="0" applyFont="1" applyAlignment="1">
      <alignment horizontal="left" wrapText="1" indent="2"/>
    </xf>
    <xf numFmtId="170" fontId="5" fillId="0" borderId="4" xfId="24" applyNumberFormat="1" applyFont="1" applyBorder="1" applyAlignment="1">
      <alignment horizontal="center"/>
    </xf>
    <xf numFmtId="170" fontId="8" fillId="0" borderId="0" xfId="24" applyNumberFormat="1" applyFont="1" applyAlignment="1">
      <alignment horizontal="centerContinuous"/>
    </xf>
    <xf numFmtId="0" fontId="3" fillId="0" borderId="0" xfId="0" applyFont="1" applyAlignment="1">
      <alignment horizontal="center"/>
    </xf>
    <xf numFmtId="0" fontId="2" fillId="0" borderId="0" xfId="18" applyFont="1" applyAlignment="1">
      <alignment horizontal="center"/>
    </xf>
    <xf numFmtId="0" fontId="3" fillId="0" borderId="0" xfId="0" applyFont="1" applyAlignment="1">
      <alignment horizontal="left" wrapText="1"/>
    </xf>
    <xf numFmtId="42" fontId="3" fillId="0" borderId="3" xfId="0" applyNumberFormat="1" applyFont="1" applyBorder="1"/>
    <xf numFmtId="42" fontId="3" fillId="0" borderId="0" xfId="0" applyNumberFormat="1" applyFont="1"/>
    <xf numFmtId="41" fontId="3" fillId="0" borderId="5" xfId="0" applyNumberFormat="1" applyFont="1" applyBorder="1"/>
    <xf numFmtId="42" fontId="3" fillId="0" borderId="2" xfId="0" applyNumberFormat="1" applyFont="1" applyBorder="1"/>
    <xf numFmtId="41" fontId="3" fillId="0" borderId="0" xfId="0" applyNumberFormat="1" applyFont="1" applyAlignment="1">
      <alignment horizontal="right"/>
    </xf>
    <xf numFmtId="42" fontId="3" fillId="0" borderId="1" xfId="0" applyNumberFormat="1" applyFont="1" applyBorder="1"/>
    <xf numFmtId="0" fontId="3" fillId="0" borderId="0" xfId="0" applyFont="1" applyAlignment="1">
      <alignment horizontal="left" indent="2"/>
    </xf>
    <xf numFmtId="0" fontId="3" fillId="0" borderId="0" xfId="0" applyFont="1" applyAlignment="1">
      <alignment horizontal="left" indent="3"/>
    </xf>
    <xf numFmtId="41" fontId="1" fillId="0" borderId="0" xfId="1" applyNumberFormat="1" applyFill="1" applyBorder="1"/>
    <xf numFmtId="41" fontId="1" fillId="0" borderId="5" xfId="1" applyNumberFormat="1" applyFill="1" applyBorder="1"/>
    <xf numFmtId="37" fontId="5" fillId="0" borderId="0" xfId="0" applyNumberFormat="1" applyFont="1"/>
    <xf numFmtId="0" fontId="3" fillId="0" borderId="0" xfId="22" applyFont="1" applyAlignment="1">
      <alignment horizontal="center"/>
    </xf>
    <xf numFmtId="0" fontId="3" fillId="0" borderId="0" xfId="22" quotePrefix="1" applyFont="1" applyAlignment="1">
      <alignment horizontal="center"/>
    </xf>
    <xf numFmtId="0" fontId="3" fillId="0" borderId="1" xfId="22" applyFont="1" applyBorder="1" applyAlignment="1">
      <alignment horizontal="center"/>
    </xf>
    <xf numFmtId="0" fontId="3" fillId="0" borderId="0" xfId="22" applyFont="1"/>
    <xf numFmtId="171" fontId="3" fillId="0" borderId="0" xfId="22" applyNumberFormat="1" applyFont="1"/>
    <xf numFmtId="5" fontId="3" fillId="0" borderId="0" xfId="22" applyNumberFormat="1" applyFont="1"/>
    <xf numFmtId="164" fontId="3" fillId="0" borderId="0" xfId="22" applyNumberFormat="1" applyFont="1"/>
    <xf numFmtId="9" fontId="3" fillId="0" borderId="0" xfId="22" applyNumberFormat="1" applyFont="1" applyAlignment="1">
      <alignment horizontal="center"/>
    </xf>
    <xf numFmtId="172" fontId="3" fillId="0" borderId="0" xfId="22" applyNumberFormat="1" applyFont="1"/>
    <xf numFmtId="167" fontId="3" fillId="0" borderId="0" xfId="22" applyNumberFormat="1" applyFont="1" applyAlignment="1">
      <alignment horizontal="center"/>
    </xf>
    <xf numFmtId="41" fontId="3" fillId="0" borderId="0" xfId="22" applyNumberFormat="1" applyFont="1"/>
    <xf numFmtId="37" fontId="3" fillId="0" borderId="0" xfId="22" applyNumberFormat="1" applyFont="1"/>
    <xf numFmtId="0" fontId="22" fillId="0" borderId="0" xfId="22" applyFont="1" applyAlignment="1">
      <alignment horizontal="centerContinuous"/>
    </xf>
    <xf numFmtId="0" fontId="8" fillId="0" borderId="0" xfId="22" applyFont="1" applyAlignment="1">
      <alignment horizontal="centerContinuous"/>
    </xf>
    <xf numFmtId="0" fontId="3" fillId="0" borderId="0" xfId="22" applyFont="1" applyAlignment="1">
      <alignment horizontal="centerContinuous"/>
    </xf>
    <xf numFmtId="0" fontId="25" fillId="0" borderId="0" xfId="22" applyFont="1" applyAlignment="1">
      <alignment horizontal="centerContinuous"/>
    </xf>
    <xf numFmtId="0" fontId="3" fillId="0" borderId="0" xfId="0" applyFont="1" applyAlignment="1">
      <alignment horizontal="left"/>
    </xf>
    <xf numFmtId="166" fontId="8" fillId="0" borderId="0" xfId="1" applyNumberFormat="1" applyFont="1" applyFill="1" applyAlignment="1">
      <alignment horizontal="centerContinuous"/>
    </xf>
    <xf numFmtId="166" fontId="5" fillId="0" borderId="0" xfId="1" applyNumberFormat="1" applyFont="1" applyFill="1" applyAlignment="1">
      <alignment horizontal="centerContinuous"/>
    </xf>
    <xf numFmtId="166" fontId="5" fillId="0" borderId="0" xfId="4" applyNumberFormat="1" applyFont="1" applyFill="1"/>
    <xf numFmtId="0" fontId="5" fillId="0" borderId="0" xfId="0" applyFont="1" applyAlignment="1">
      <alignment horizontal="center"/>
    </xf>
    <xf numFmtId="166" fontId="5" fillId="0" borderId="0" xfId="1" applyNumberFormat="1" applyFont="1" applyFill="1" applyBorder="1"/>
    <xf numFmtId="166" fontId="5" fillId="0" borderId="0" xfId="4" applyNumberFormat="1" applyFont="1" applyFill="1" applyAlignment="1">
      <alignment horizontal="center"/>
    </xf>
    <xf numFmtId="166" fontId="5" fillId="0" borderId="4" xfId="4" applyNumberFormat="1" applyFont="1" applyFill="1" applyBorder="1" applyAlignment="1">
      <alignment horizontal="center"/>
    </xf>
    <xf numFmtId="0" fontId="5" fillId="0" borderId="4" xfId="0" applyFont="1" applyBorder="1" applyAlignment="1">
      <alignment horizontal="center"/>
    </xf>
    <xf numFmtId="166" fontId="5" fillId="0" borderId="0" xfId="1" applyNumberFormat="1" applyFont="1" applyFill="1" applyBorder="1" applyAlignment="1">
      <alignment horizontal="center"/>
    </xf>
    <xf numFmtId="166" fontId="5" fillId="0" borderId="0" xfId="1" applyNumberFormat="1" applyFont="1" applyFill="1" applyBorder="1" applyAlignment="1">
      <alignment horizontal="left"/>
    </xf>
    <xf numFmtId="166" fontId="5" fillId="0" borderId="0" xfId="4" applyNumberFormat="1" applyFont="1" applyFill="1" applyProtection="1"/>
    <xf numFmtId="166" fontId="5" fillId="0" borderId="0" xfId="4" applyNumberFormat="1" applyFont="1" applyFill="1" applyBorder="1" applyProtection="1"/>
    <xf numFmtId="166" fontId="5" fillId="0" borderId="0" xfId="4" applyNumberFormat="1" applyFont="1" applyFill="1" applyBorder="1" applyAlignment="1" applyProtection="1">
      <alignment horizontal="left"/>
    </xf>
    <xf numFmtId="166" fontId="5" fillId="0" borderId="1" xfId="4" applyNumberFormat="1" applyFont="1" applyFill="1" applyBorder="1" applyProtection="1"/>
    <xf numFmtId="166" fontId="5" fillId="0" borderId="0" xfId="4" applyNumberFormat="1" applyFont="1" applyFill="1" applyAlignment="1" applyProtection="1">
      <alignment horizontal="left"/>
    </xf>
    <xf numFmtId="42" fontId="5" fillId="0" borderId="0" xfId="6" applyFont="1" applyFill="1" applyBorder="1" applyAlignment="1">
      <alignment horizontal="left"/>
    </xf>
    <xf numFmtId="166" fontId="5" fillId="0" borderId="0" xfId="1" applyNumberFormat="1" applyFont="1" applyFill="1" applyBorder="1" applyAlignment="1" applyProtection="1">
      <alignment horizontal="left"/>
    </xf>
    <xf numFmtId="166" fontId="5" fillId="0" borderId="5" xfId="4" applyNumberFormat="1" applyFont="1" applyFill="1" applyBorder="1" applyProtection="1"/>
    <xf numFmtId="41" fontId="5" fillId="0" borderId="0" xfId="3" applyFont="1" applyFill="1" applyBorder="1" applyProtection="1"/>
    <xf numFmtId="41" fontId="5" fillId="0" borderId="0" xfId="2" applyFont="1" applyFill="1" applyBorder="1" applyProtection="1"/>
    <xf numFmtId="41" fontId="5" fillId="0" borderId="0" xfId="2" applyFont="1" applyFill="1" applyBorder="1"/>
    <xf numFmtId="42" fontId="5" fillId="0" borderId="0" xfId="6" applyFont="1" applyFill="1" applyBorder="1" applyAlignment="1">
      <alignment horizontal="center"/>
    </xf>
    <xf numFmtId="42" fontId="5" fillId="0" borderId="0" xfId="6" applyFont="1" applyFill="1" applyBorder="1"/>
    <xf numFmtId="41" fontId="5" fillId="0" borderId="5" xfId="3" applyFont="1" applyFill="1" applyBorder="1"/>
    <xf numFmtId="41" fontId="5" fillId="0" borderId="10" xfId="3" applyFont="1" applyFill="1" applyBorder="1"/>
    <xf numFmtId="41" fontId="5" fillId="0" borderId="10" xfId="3" applyFont="1" applyFill="1" applyBorder="1" applyProtection="1"/>
    <xf numFmtId="41" fontId="5" fillId="0" borderId="5" xfId="3" applyFont="1" applyFill="1" applyBorder="1" applyProtection="1"/>
    <xf numFmtId="41" fontId="5" fillId="0" borderId="0" xfId="3" applyFont="1" applyFill="1"/>
    <xf numFmtId="41" fontId="5" fillId="0" borderId="1" xfId="3" applyFont="1" applyFill="1" applyBorder="1" applyProtection="1"/>
    <xf numFmtId="41" fontId="5" fillId="0" borderId="0" xfId="3" applyFont="1" applyFill="1" applyBorder="1"/>
    <xf numFmtId="166" fontId="5" fillId="0" borderId="1" xfId="4" applyNumberFormat="1" applyFont="1" applyFill="1" applyBorder="1"/>
    <xf numFmtId="41" fontId="5" fillId="0" borderId="1" xfId="3" applyFont="1" applyFill="1" applyBorder="1"/>
    <xf numFmtId="44" fontId="5" fillId="0" borderId="3" xfId="9" applyFont="1" applyFill="1" applyBorder="1"/>
    <xf numFmtId="164" fontId="5" fillId="0" borderId="3" xfId="9" applyNumberFormat="1" applyFont="1" applyFill="1" applyBorder="1"/>
    <xf numFmtId="42" fontId="5" fillId="0" borderId="0" xfId="7" applyFont="1" applyFill="1" applyAlignment="1">
      <alignment horizontal="center"/>
    </xf>
    <xf numFmtId="42" fontId="5" fillId="0" borderId="2" xfId="7" applyFont="1" applyFill="1" applyBorder="1"/>
    <xf numFmtId="10" fontId="0" fillId="0" borderId="0" xfId="0" applyNumberFormat="1"/>
    <xf numFmtId="174" fontId="0" fillId="0" borderId="0" xfId="0" applyNumberFormat="1"/>
    <xf numFmtId="41" fontId="37" fillId="0" borderId="0" xfId="0" applyNumberFormat="1" applyFont="1"/>
    <xf numFmtId="166" fontId="3" fillId="0" borderId="5" xfId="0" applyNumberFormat="1" applyFont="1" applyBorder="1"/>
    <xf numFmtId="0" fontId="5" fillId="0" borderId="0" xfId="12" applyFont="1"/>
    <xf numFmtId="37" fontId="3" fillId="0" borderId="0" xfId="12" applyNumberFormat="1"/>
    <xf numFmtId="166" fontId="3" fillId="0" borderId="0" xfId="12" applyNumberFormat="1"/>
    <xf numFmtId="43" fontId="3" fillId="0" borderId="0" xfId="12" applyNumberFormat="1"/>
    <xf numFmtId="41" fontId="5" fillId="0" borderId="0" xfId="16" applyNumberFormat="1" applyFont="1"/>
    <xf numFmtId="41" fontId="5" fillId="0" borderId="4" xfId="3" applyFont="1" applyFill="1" applyBorder="1" applyProtection="1"/>
    <xf numFmtId="5" fontId="3" fillId="0" borderId="0" xfId="12" applyNumberFormat="1"/>
    <xf numFmtId="7" fontId="3" fillId="0" borderId="0" xfId="12" applyNumberFormat="1"/>
    <xf numFmtId="2" fontId="0" fillId="0" borderId="0" xfId="0" applyNumberFormat="1"/>
    <xf numFmtId="0" fontId="8" fillId="0" borderId="0" xfId="22" applyFont="1"/>
    <xf numFmtId="0" fontId="5" fillId="0" borderId="0" xfId="22" applyFont="1" applyAlignment="1">
      <alignment horizontal="centerContinuous"/>
    </xf>
    <xf numFmtId="0" fontId="5" fillId="0" borderId="0" xfId="22" applyFont="1"/>
    <xf numFmtId="175" fontId="3" fillId="0" borderId="0" xfId="0" applyNumberFormat="1" applyFont="1"/>
    <xf numFmtId="174" fontId="3" fillId="0" borderId="0" xfId="0" applyNumberFormat="1" applyFont="1"/>
    <xf numFmtId="0" fontId="3" fillId="2" borderId="0" xfId="0" applyFont="1" applyFill="1"/>
    <xf numFmtId="42" fontId="3" fillId="2" borderId="0" xfId="0" applyNumberFormat="1" applyFont="1" applyFill="1"/>
    <xf numFmtId="10" fontId="3" fillId="0" borderId="0" xfId="0" applyNumberFormat="1" applyFont="1"/>
    <xf numFmtId="44" fontId="3" fillId="0" borderId="2" xfId="0" applyNumberFormat="1" applyFont="1" applyBorder="1"/>
    <xf numFmtId="172" fontId="5" fillId="0" borderId="0" xfId="0" applyNumberFormat="1" applyFont="1"/>
    <xf numFmtId="15" fontId="0" fillId="0" borderId="0" xfId="0" applyNumberFormat="1"/>
    <xf numFmtId="0" fontId="39" fillId="0" borderId="0" xfId="0" applyFont="1"/>
    <xf numFmtId="41" fontId="3" fillId="0" borderId="0" xfId="2" applyFont="1" applyFill="1"/>
    <xf numFmtId="166" fontId="0" fillId="0" borderId="5" xfId="0" applyNumberFormat="1" applyBorder="1"/>
    <xf numFmtId="43" fontId="37" fillId="0" borderId="0" xfId="0" applyNumberFormat="1" applyFont="1"/>
    <xf numFmtId="42" fontId="3" fillId="0" borderId="0" xfId="0" applyNumberFormat="1" applyFont="1" applyAlignment="1">
      <alignment horizontal="right"/>
    </xf>
    <xf numFmtId="10" fontId="3" fillId="0" borderId="0" xfId="0" applyNumberFormat="1" applyFont="1" applyAlignment="1">
      <alignment horizontal="right"/>
    </xf>
    <xf numFmtId="177" fontId="3" fillId="0" borderId="0" xfId="0" applyNumberFormat="1" applyFont="1"/>
    <xf numFmtId="0" fontId="2" fillId="0" borderId="0" xfId="0" applyFont="1" applyAlignment="1">
      <alignment horizontal="left"/>
    </xf>
    <xf numFmtId="166" fontId="2" fillId="0" borderId="0" xfId="0" applyNumberFormat="1" applyFont="1"/>
    <xf numFmtId="44" fontId="0" fillId="0" borderId="0" xfId="0" applyNumberFormat="1"/>
    <xf numFmtId="43" fontId="3" fillId="0" borderId="0" xfId="0" applyNumberFormat="1" applyFont="1"/>
    <xf numFmtId="181" fontId="0" fillId="0" borderId="0" xfId="0" applyNumberFormat="1"/>
    <xf numFmtId="176" fontId="3" fillId="0" borderId="0" xfId="0" applyNumberFormat="1" applyFont="1"/>
    <xf numFmtId="0" fontId="0" fillId="0" borderId="0" xfId="0" quotePrefix="1"/>
    <xf numFmtId="0" fontId="0" fillId="0" borderId="0" xfId="0" applyAlignment="1">
      <alignment readingOrder="1"/>
    </xf>
    <xf numFmtId="164" fontId="3" fillId="0" borderId="0" xfId="0" applyNumberFormat="1" applyFont="1"/>
    <xf numFmtId="169" fontId="2" fillId="0" borderId="0" xfId="24" applyFont="1" applyAlignment="1">
      <alignment horizontal="justify" vertical="center" wrapText="1"/>
    </xf>
    <xf numFmtId="169" fontId="13" fillId="0" borderId="0" xfId="16" applyFont="1" applyAlignment="1">
      <alignment horizontal="left"/>
    </xf>
    <xf numFmtId="0" fontId="7" fillId="0" borderId="0" xfId="0" applyFont="1"/>
    <xf numFmtId="0" fontId="7" fillId="0" borderId="0" xfId="0" applyFont="1" applyAlignment="1">
      <alignment horizontal="right"/>
    </xf>
    <xf numFmtId="41" fontId="7" fillId="0" borderId="0" xfId="0" applyNumberFormat="1" applyFont="1" applyAlignment="1">
      <alignment horizontal="right"/>
    </xf>
    <xf numFmtId="166" fontId="7" fillId="0" borderId="0" xfId="4" applyNumberFormat="1" applyFont="1" applyFill="1"/>
    <xf numFmtId="43" fontId="7" fillId="0" borderId="0" xfId="0" applyNumberFormat="1" applyFont="1" applyAlignment="1">
      <alignment horizontal="right"/>
    </xf>
    <xf numFmtId="166" fontId="7" fillId="0" borderId="0" xfId="0" applyNumberFormat="1" applyFont="1"/>
    <xf numFmtId="0" fontId="2" fillId="0" borderId="0" xfId="0" applyFont="1" applyAlignment="1">
      <alignment horizontal="left" wrapText="1"/>
    </xf>
    <xf numFmtId="1" fontId="0" fillId="0" borderId="0" xfId="0" applyNumberFormat="1"/>
    <xf numFmtId="42" fontId="37" fillId="0" borderId="0" xfId="0" applyNumberFormat="1" applyFont="1"/>
    <xf numFmtId="164" fontId="0" fillId="0" borderId="0" xfId="8" applyNumberFormat="1" applyFont="1" applyFill="1"/>
    <xf numFmtId="166" fontId="0" fillId="0" borderId="0" xfId="4" applyNumberFormat="1" applyFont="1" applyFill="1"/>
    <xf numFmtId="166" fontId="3" fillId="0" borderId="0" xfId="4" applyNumberFormat="1" applyFont="1" applyFill="1"/>
    <xf numFmtId="166" fontId="0" fillId="0" borderId="0" xfId="4" applyNumberFormat="1" applyFont="1" applyFill="1" applyBorder="1"/>
    <xf numFmtId="166" fontId="3" fillId="0" borderId="0" xfId="4" applyNumberFormat="1" applyFont="1" applyFill="1" applyBorder="1"/>
    <xf numFmtId="166" fontId="0" fillId="0" borderId="5" xfId="4" applyNumberFormat="1" applyFont="1" applyFill="1" applyBorder="1"/>
    <xf numFmtId="166" fontId="0" fillId="0" borderId="1" xfId="4" applyNumberFormat="1" applyFont="1" applyFill="1" applyBorder="1"/>
    <xf numFmtId="41" fontId="0" fillId="0" borderId="5" xfId="4" applyNumberFormat="1" applyFont="1" applyFill="1" applyBorder="1"/>
    <xf numFmtId="164" fontId="0" fillId="0" borderId="0" xfId="4" applyNumberFormat="1" applyFont="1" applyFill="1" applyBorder="1"/>
    <xf numFmtId="164" fontId="3" fillId="0" borderId="0" xfId="4" applyNumberFormat="1" applyFont="1" applyFill="1" applyBorder="1"/>
    <xf numFmtId="166" fontId="3" fillId="0" borderId="5" xfId="4" applyNumberFormat="1" applyFont="1" applyFill="1" applyBorder="1"/>
    <xf numFmtId="41" fontId="0" fillId="0" borderId="0" xfId="4" applyNumberFormat="1" applyFont="1" applyFill="1"/>
    <xf numFmtId="166" fontId="3" fillId="0" borderId="1" xfId="4" applyNumberFormat="1" applyFont="1" applyFill="1" applyBorder="1"/>
    <xf numFmtId="164" fontId="3" fillId="0" borderId="2" xfId="8" applyNumberFormat="1" applyFont="1" applyFill="1" applyBorder="1"/>
    <xf numFmtId="164" fontId="3" fillId="0" borderId="0" xfId="8" applyNumberFormat="1" applyFont="1" applyFill="1"/>
    <xf numFmtId="43" fontId="0" fillId="0" borderId="0" xfId="0" applyNumberFormat="1"/>
    <xf numFmtId="166" fontId="0" fillId="0" borderId="1" xfId="8" applyNumberFormat="1" applyFont="1" applyFill="1" applyBorder="1"/>
    <xf numFmtId="166" fontId="0" fillId="0" borderId="0" xfId="8" applyNumberFormat="1" applyFont="1" applyFill="1"/>
    <xf numFmtId="164" fontId="0" fillId="0" borderId="5" xfId="8" applyNumberFormat="1" applyFont="1" applyFill="1" applyBorder="1"/>
    <xf numFmtId="166" fontId="3" fillId="0" borderId="10" xfId="4" applyNumberFormat="1" applyFont="1" applyFill="1" applyBorder="1"/>
    <xf numFmtId="37" fontId="3" fillId="0" borderId="0" xfId="8" applyNumberFormat="1" applyFont="1" applyFill="1"/>
    <xf numFmtId="41" fontId="0" fillId="0" borderId="2" xfId="8" applyNumberFormat="1" applyFont="1" applyFill="1" applyBorder="1"/>
    <xf numFmtId="164" fontId="3" fillId="0" borderId="3" xfId="8" applyNumberFormat="1" applyFont="1" applyFill="1" applyBorder="1"/>
    <xf numFmtId="164" fontId="37" fillId="0" borderId="10" xfId="8" applyNumberFormat="1" applyFont="1" applyFill="1" applyBorder="1"/>
    <xf numFmtId="164" fontId="0" fillId="0" borderId="0" xfId="8" applyNumberFormat="1" applyFont="1" applyFill="1" applyBorder="1"/>
    <xf numFmtId="164" fontId="3" fillId="0" borderId="0" xfId="8" applyNumberFormat="1" applyFont="1" applyFill="1" applyBorder="1"/>
    <xf numFmtId="166" fontId="0" fillId="0" borderId="0" xfId="4" applyNumberFormat="1" applyFont="1" applyFill="1" applyAlignment="1"/>
    <xf numFmtId="164" fontId="0" fillId="0" borderId="3" xfId="8" applyNumberFormat="1" applyFont="1" applyFill="1" applyBorder="1"/>
    <xf numFmtId="43" fontId="0" fillId="0" borderId="0" xfId="4" applyFont="1" applyFill="1"/>
    <xf numFmtId="44" fontId="37" fillId="0" borderId="0" xfId="0" applyNumberFormat="1" applyFont="1"/>
    <xf numFmtId="41" fontId="3" fillId="0" borderId="0" xfId="4" applyNumberFormat="1" applyFont="1" applyFill="1" applyBorder="1"/>
    <xf numFmtId="0" fontId="3" fillId="0" borderId="0" xfId="0" quotePrefix="1" applyFont="1"/>
    <xf numFmtId="164" fontId="0" fillId="0" borderId="0" xfId="10" applyNumberFormat="1" applyFont="1"/>
    <xf numFmtId="164" fontId="0" fillId="0" borderId="2" xfId="10" applyNumberFormat="1" applyFont="1" applyBorder="1"/>
    <xf numFmtId="182" fontId="0" fillId="0" borderId="0" xfId="0" applyNumberFormat="1"/>
    <xf numFmtId="174" fontId="0" fillId="0" borderId="0" xfId="26" applyNumberFormat="1" applyFont="1"/>
    <xf numFmtId="0" fontId="2" fillId="0" borderId="0" xfId="0" applyFont="1" applyAlignment="1">
      <alignment horizontal="left" indent="3"/>
    </xf>
    <xf numFmtId="10" fontId="0" fillId="0" borderId="0" xfId="26" applyNumberFormat="1" applyFont="1"/>
    <xf numFmtId="168" fontId="0" fillId="0" borderId="0" xfId="0" applyNumberFormat="1"/>
    <xf numFmtId="169" fontId="3" fillId="0" borderId="0" xfId="16" applyFont="1" applyAlignment="1">
      <alignment vertical="center"/>
    </xf>
    <xf numFmtId="179" fontId="3" fillId="0" borderId="0" xfId="4" applyNumberFormat="1" applyFont="1" applyFill="1"/>
    <xf numFmtId="179" fontId="0" fillId="0" borderId="0" xfId="0" applyNumberFormat="1"/>
    <xf numFmtId="166" fontId="5" fillId="0" borderId="5" xfId="1" applyNumberFormat="1" applyFont="1" applyFill="1" applyBorder="1" applyProtection="1"/>
    <xf numFmtId="41" fontId="0" fillId="0" borderId="0" xfId="8" applyNumberFormat="1" applyFont="1" applyFill="1"/>
    <xf numFmtId="178" fontId="0" fillId="0" borderId="0" xfId="0" applyNumberFormat="1"/>
    <xf numFmtId="166" fontId="3" fillId="0" borderId="9" xfId="1" applyNumberFormat="1" applyFont="1" applyFill="1" applyBorder="1"/>
    <xf numFmtId="164" fontId="0" fillId="0" borderId="0" xfId="5" applyNumberFormat="1" applyFont="1" applyFill="1"/>
    <xf numFmtId="166" fontId="30" fillId="0" borderId="0" xfId="4" applyNumberFormat="1" applyFont="1" applyFill="1"/>
    <xf numFmtId="164" fontId="30" fillId="0" borderId="0" xfId="8" applyNumberFormat="1" applyFont="1" applyFill="1" applyBorder="1"/>
    <xf numFmtId="180" fontId="0" fillId="0" borderId="0" xfId="0" applyNumberFormat="1"/>
    <xf numFmtId="166" fontId="37" fillId="0" borderId="0" xfId="0" applyNumberFormat="1" applyFont="1"/>
    <xf numFmtId="0" fontId="0" fillId="0" borderId="0" xfId="0" applyAlignment="1">
      <alignment vertical="top"/>
    </xf>
    <xf numFmtId="41" fontId="0" fillId="0" borderId="0" xfId="11" applyNumberFormat="1" applyFont="1"/>
    <xf numFmtId="41" fontId="0" fillId="0" borderId="0" xfId="11" applyNumberFormat="1" applyFont="1" applyBorder="1"/>
    <xf numFmtId="41" fontId="0" fillId="0" borderId="1" xfId="11" applyNumberFormat="1" applyFont="1" applyBorder="1"/>
    <xf numFmtId="41" fontId="3" fillId="0" borderId="0" xfId="11" applyNumberFormat="1" applyFont="1"/>
    <xf numFmtId="10" fontId="0" fillId="0" borderId="0" xfId="27" applyNumberFormat="1" applyFont="1"/>
    <xf numFmtId="0" fontId="31" fillId="0" borderId="0" xfId="0" applyFont="1"/>
    <xf numFmtId="41" fontId="3" fillId="0" borderId="0" xfId="11" applyNumberFormat="1" applyFont="1" applyBorder="1"/>
    <xf numFmtId="10" fontId="0" fillId="0" borderId="0" xfId="27" applyNumberFormat="1" applyFont="1" applyBorder="1"/>
    <xf numFmtId="44" fontId="3" fillId="0" borderId="0" xfId="12" applyNumberFormat="1"/>
    <xf numFmtId="10" fontId="0" fillId="0" borderId="0" xfId="0" applyNumberFormat="1" applyAlignment="1">
      <alignment horizontal="center"/>
    </xf>
    <xf numFmtId="166" fontId="0" fillId="0" borderId="0" xfId="1" applyNumberFormat="1" applyFont="1" applyFill="1"/>
    <xf numFmtId="1" fontId="37" fillId="0" borderId="0" xfId="0" applyNumberFormat="1" applyFont="1"/>
    <xf numFmtId="172" fontId="0" fillId="0" borderId="0" xfId="0" applyNumberFormat="1"/>
    <xf numFmtId="166" fontId="34" fillId="0" borderId="0" xfId="4" applyNumberFormat="1" applyFont="1" applyFill="1"/>
    <xf numFmtId="166" fontId="32" fillId="0" borderId="0" xfId="4" applyNumberFormat="1" applyFont="1" applyFill="1"/>
    <xf numFmtId="10" fontId="3" fillId="0" borderId="0" xfId="25" applyNumberFormat="1" applyFont="1" applyFill="1"/>
    <xf numFmtId="0" fontId="22" fillId="0" borderId="0" xfId="0" applyFont="1"/>
    <xf numFmtId="164" fontId="34" fillId="0" borderId="0" xfId="10" applyNumberFormat="1" applyFont="1" applyFill="1"/>
    <xf numFmtId="164" fontId="34" fillId="0" borderId="2" xfId="10" applyNumberFormat="1" applyFont="1" applyFill="1" applyBorder="1"/>
    <xf numFmtId="10" fontId="34" fillId="0" borderId="0" xfId="26" applyNumberFormat="1" applyFont="1" applyFill="1"/>
    <xf numFmtId="41" fontId="34" fillId="0" borderId="0" xfId="11" applyNumberFormat="1" applyFont="1" applyFill="1"/>
    <xf numFmtId="41" fontId="34" fillId="0" borderId="0" xfId="11" applyNumberFormat="1" applyFont="1" applyFill="1" applyBorder="1"/>
    <xf numFmtId="41" fontId="34" fillId="0" borderId="1" xfId="11" applyNumberFormat="1" applyFont="1" applyFill="1" applyBorder="1"/>
    <xf numFmtId="41" fontId="3" fillId="0" borderId="0" xfId="11" applyNumberFormat="1" applyFont="1" applyFill="1"/>
    <xf numFmtId="10" fontId="34" fillId="0" borderId="0" xfId="27" applyNumberFormat="1" applyFont="1" applyFill="1"/>
    <xf numFmtId="164" fontId="3" fillId="0" borderId="0" xfId="1" applyNumberFormat="1" applyFont="1" applyFill="1" applyBorder="1" applyProtection="1"/>
    <xf numFmtId="166" fontId="0" fillId="0" borderId="5" xfId="1" applyNumberFormat="1" applyFont="1" applyFill="1" applyBorder="1"/>
    <xf numFmtId="166" fontId="0" fillId="0" borderId="0" xfId="1" applyNumberFormat="1" applyFont="1" applyFill="1" applyBorder="1"/>
    <xf numFmtId="166" fontId="3" fillId="0" borderId="5" xfId="1" applyNumberFormat="1" applyFont="1" applyFill="1" applyBorder="1"/>
    <xf numFmtId="166" fontId="5" fillId="0" borderId="7" xfId="4" applyNumberFormat="1" applyFont="1" applyFill="1" applyBorder="1"/>
    <xf numFmtId="164" fontId="5" fillId="0" borderId="0" xfId="4" applyNumberFormat="1" applyFont="1" applyFill="1" applyProtection="1"/>
    <xf numFmtId="166" fontId="5" fillId="0" borderId="0" xfId="4" applyNumberFormat="1" applyFont="1" applyFill="1" applyAlignment="1" applyProtection="1">
      <alignment horizontal="right"/>
    </xf>
    <xf numFmtId="166" fontId="5" fillId="0" borderId="4" xfId="4" applyNumberFormat="1" applyFont="1" applyFill="1" applyBorder="1" applyProtection="1"/>
    <xf numFmtId="166" fontId="5" fillId="0" borderId="4" xfId="4" applyNumberFormat="1" applyFont="1" applyFill="1" applyBorder="1" applyAlignment="1" applyProtection="1">
      <alignment horizontal="right"/>
    </xf>
    <xf numFmtId="164" fontId="5" fillId="0" borderId="6" xfId="4" applyNumberFormat="1" applyFont="1" applyFill="1" applyBorder="1" applyAlignment="1" applyProtection="1">
      <alignment horizontal="right"/>
    </xf>
    <xf numFmtId="0" fontId="3" fillId="0" borderId="0" xfId="0" applyFont="1" applyAlignment="1">
      <alignment horizontal="justify"/>
    </xf>
    <xf numFmtId="0" fontId="0" fillId="0" borderId="0" xfId="0" applyAlignment="1">
      <alignment horizontal="justify"/>
    </xf>
    <xf numFmtId="169" fontId="13" fillId="0" borderId="0" xfId="16" applyFont="1" applyAlignment="1">
      <alignment horizontal="justify"/>
    </xf>
    <xf numFmtId="166" fontId="3" fillId="3" borderId="0" xfId="4" applyNumberFormat="1" applyFont="1" applyFill="1" applyBorder="1"/>
    <xf numFmtId="166" fontId="36" fillId="0" borderId="0" xfId="4" applyNumberFormat="1" applyFont="1" applyFill="1"/>
    <xf numFmtId="166" fontId="36" fillId="0" borderId="0" xfId="4" applyNumberFormat="1" applyFont="1" applyFill="1" applyBorder="1"/>
    <xf numFmtId="166" fontId="36" fillId="0" borderId="1" xfId="4" applyNumberFormat="1" applyFont="1" applyFill="1" applyBorder="1"/>
    <xf numFmtId="41" fontId="36" fillId="0" borderId="0" xfId="4" applyNumberFormat="1" applyFont="1" applyFill="1"/>
    <xf numFmtId="0" fontId="3" fillId="0" borderId="0" xfId="0" applyFont="1" applyAlignment="1">
      <alignment horizontal="left" wrapText="1" indent="4"/>
    </xf>
    <xf numFmtId="166" fontId="5" fillId="0" borderId="0" xfId="1" applyNumberFormat="1" applyFont="1" applyFill="1" applyBorder="1" applyAlignment="1" applyProtection="1">
      <alignment horizontal="right"/>
    </xf>
    <xf numFmtId="0" fontId="0" fillId="3" borderId="0" xfId="0" applyFill="1"/>
    <xf numFmtId="166" fontId="3" fillId="0" borderId="2" xfId="8" applyNumberFormat="1" applyFont="1" applyFill="1" applyBorder="1"/>
    <xf numFmtId="164" fontId="3" fillId="0" borderId="0" xfId="8" applyNumberFormat="1" applyFont="1" applyFill="1" applyAlignment="1">
      <alignment horizontal="left" wrapText="1" indent="1"/>
    </xf>
    <xf numFmtId="164" fontId="36" fillId="0" borderId="0" xfId="8" applyNumberFormat="1" applyFont="1" applyFill="1"/>
    <xf numFmtId="0" fontId="3" fillId="0" borderId="0" xfId="0" applyFont="1" applyAlignment="1">
      <alignment horizontal="left" wrapText="1" indent="1"/>
    </xf>
    <xf numFmtId="0" fontId="22" fillId="0" borderId="0" xfId="0" applyFont="1" applyAlignment="1">
      <alignment horizontal="center"/>
    </xf>
    <xf numFmtId="166" fontId="5" fillId="0" borderId="0" xfId="4" applyNumberFormat="1" applyFont="1" applyFill="1" applyAlignment="1">
      <alignment horizontal="left"/>
    </xf>
    <xf numFmtId="164" fontId="34" fillId="0" borderId="0" xfId="8" applyNumberFormat="1" applyFont="1" applyFill="1"/>
    <xf numFmtId="166" fontId="34" fillId="0" borderId="1" xfId="4" applyNumberFormat="1" applyFont="1" applyFill="1" applyBorder="1"/>
    <xf numFmtId="166" fontId="0" fillId="0" borderId="0" xfId="5" applyNumberFormat="1" applyFont="1" applyFill="1"/>
    <xf numFmtId="166" fontId="3" fillId="0" borderId="0" xfId="0" applyNumberFormat="1" applyFont="1" applyAlignment="1">
      <alignment horizontal="right"/>
    </xf>
    <xf numFmtId="0" fontId="3" fillId="0" borderId="11" xfId="0" applyFont="1" applyBorder="1"/>
    <xf numFmtId="0" fontId="3" fillId="0" borderId="11" xfId="0" applyFont="1" applyBorder="1" applyAlignment="1">
      <alignment horizontal="center"/>
    </xf>
    <xf numFmtId="0" fontId="3" fillId="0" borderId="23" xfId="0" applyFont="1" applyBorder="1" applyAlignment="1">
      <alignment horizontal="center"/>
    </xf>
    <xf numFmtId="164" fontId="3" fillId="0" borderId="3" xfId="0" applyNumberFormat="1" applyFont="1" applyBorder="1"/>
    <xf numFmtId="3" fontId="0" fillId="0" borderId="5" xfId="0" applyNumberFormat="1" applyBorder="1"/>
    <xf numFmtId="166" fontId="3" fillId="0" borderId="9" xfId="0" applyNumberFormat="1" applyFont="1" applyBorder="1"/>
    <xf numFmtId="166" fontId="3" fillId="0" borderId="9" xfId="0" applyNumberFormat="1" applyFont="1" applyBorder="1" applyAlignment="1">
      <alignment horizontal="right"/>
    </xf>
    <xf numFmtId="166" fontId="3" fillId="0" borderId="0" xfId="0" applyNumberFormat="1" applyFont="1" applyAlignment="1">
      <alignment horizontal="center"/>
    </xf>
    <xf numFmtId="166" fontId="3" fillId="0" borderId="0" xfId="0" applyNumberFormat="1" applyFont="1" applyAlignment="1">
      <alignment horizontal="left"/>
    </xf>
    <xf numFmtId="166" fontId="3" fillId="0" borderId="23" xfId="0" applyNumberFormat="1" applyFont="1" applyBorder="1" applyAlignment="1">
      <alignment horizontal="center"/>
    </xf>
    <xf numFmtId="0" fontId="0" fillId="0" borderId="0" xfId="0" applyAlignment="1">
      <alignment horizontal="justify" vertical="top" wrapText="1"/>
    </xf>
    <xf numFmtId="164" fontId="0" fillId="0" borderId="0" xfId="5" applyNumberFormat="1" applyFont="1" applyFill="1" applyAlignment="1"/>
    <xf numFmtId="166" fontId="1" fillId="0" borderId="0" xfId="1" applyNumberFormat="1" applyFont="1" applyFill="1" applyBorder="1"/>
    <xf numFmtId="0" fontId="38" fillId="0" borderId="0" xfId="0" applyFont="1" applyAlignment="1">
      <alignment horizontal="left" vertical="center" wrapText="1" readingOrder="1"/>
    </xf>
    <xf numFmtId="0" fontId="3" fillId="3" borderId="0" xfId="0" applyFont="1" applyFill="1"/>
    <xf numFmtId="0" fontId="0" fillId="0" borderId="0" xfId="0" applyAlignment="1">
      <alignment horizontal="left" wrapText="1" indent="3"/>
    </xf>
    <xf numFmtId="173" fontId="2" fillId="0" borderId="0" xfId="0" applyNumberFormat="1" applyFont="1" applyAlignment="1">
      <alignment horizontal="center"/>
    </xf>
    <xf numFmtId="166" fontId="5" fillId="0" borderId="0" xfId="4" applyNumberFormat="1" applyFont="1" applyFill="1" applyAlignment="1">
      <alignment horizontal="left" indent="1"/>
    </xf>
    <xf numFmtId="0" fontId="0" fillId="0" borderId="0" xfId="0" applyAlignment="1">
      <alignment vertical="top" wrapText="1"/>
    </xf>
    <xf numFmtId="41" fontId="3" fillId="0" borderId="0" xfId="20" applyNumberFormat="1" applyFont="1" applyAlignment="1">
      <alignment horizontal="left"/>
    </xf>
    <xf numFmtId="169" fontId="5" fillId="0" borderId="1" xfId="16" applyFont="1" applyBorder="1" applyAlignment="1">
      <alignment horizontal="center"/>
    </xf>
    <xf numFmtId="0" fontId="1" fillId="3" borderId="0" xfId="0" applyFont="1" applyFill="1" applyAlignment="1">
      <alignment horizontal="left" indent="2"/>
    </xf>
    <xf numFmtId="15" fontId="3" fillId="0" borderId="0" xfId="12" quotePrefix="1" applyNumberFormat="1"/>
    <xf numFmtId="0" fontId="38" fillId="0" borderId="0" xfId="0" applyFont="1" applyAlignment="1">
      <alignment vertical="top" wrapText="1"/>
    </xf>
    <xf numFmtId="0" fontId="38" fillId="0" borderId="0" xfId="0" applyFont="1" applyAlignment="1">
      <alignment horizontal="justify" vertical="top" wrapText="1"/>
    </xf>
    <xf numFmtId="49" fontId="0" fillId="0" borderId="0" xfId="0" applyNumberFormat="1"/>
    <xf numFmtId="0" fontId="5" fillId="0" borderId="7" xfId="0" applyFont="1" applyBorder="1"/>
    <xf numFmtId="164" fontId="5" fillId="0" borderId="0" xfId="0" applyNumberFormat="1" applyFont="1"/>
    <xf numFmtId="37" fontId="5" fillId="0" borderId="4" xfId="0" applyNumberFormat="1" applyFont="1" applyBorder="1"/>
    <xf numFmtId="164" fontId="5" fillId="0" borderId="6" xfId="0" applyNumberFormat="1" applyFont="1" applyBorder="1"/>
    <xf numFmtId="37" fontId="5" fillId="0" borderId="5" xfId="0" applyNumberFormat="1" applyFont="1" applyBorder="1"/>
    <xf numFmtId="0" fontId="0" fillId="0" borderId="1" xfId="0" applyBorder="1"/>
    <xf numFmtId="3" fontId="0" fillId="0" borderId="1" xfId="0" applyNumberFormat="1" applyBorder="1"/>
    <xf numFmtId="166" fontId="0" fillId="0" borderId="1" xfId="1" applyNumberFormat="1" applyFont="1" applyFill="1" applyBorder="1" applyAlignment="1"/>
    <xf numFmtId="166" fontId="0" fillId="0" borderId="0" xfId="1" applyNumberFormat="1" applyFont="1" applyFill="1" applyBorder="1" applyAlignment="1"/>
    <xf numFmtId="172" fontId="3" fillId="0" borderId="3" xfId="0" applyNumberFormat="1" applyFont="1" applyBorder="1"/>
    <xf numFmtId="5" fontId="0" fillId="0" borderId="3" xfId="0" applyNumberFormat="1" applyBorder="1"/>
    <xf numFmtId="5" fontId="0" fillId="0" borderId="0" xfId="0" applyNumberFormat="1"/>
    <xf numFmtId="166" fontId="30" fillId="3" borderId="0" xfId="4" applyNumberFormat="1" applyFont="1" applyFill="1"/>
    <xf numFmtId="42" fontId="41" fillId="0" borderId="0" xfId="0" applyNumberFormat="1" applyFont="1"/>
    <xf numFmtId="166" fontId="1" fillId="0" borderId="0" xfId="1" applyNumberFormat="1" applyFont="1" applyFill="1" applyAlignment="1">
      <alignment horizontal="left"/>
    </xf>
    <xf numFmtId="37" fontId="1" fillId="0" borderId="0" xfId="0" applyNumberFormat="1" applyFont="1"/>
    <xf numFmtId="37" fontId="1" fillId="0" borderId="0" xfId="0" applyNumberFormat="1" applyFont="1" applyAlignment="1">
      <alignment horizontal="center"/>
    </xf>
    <xf numFmtId="37" fontId="1" fillId="0" borderId="0" xfId="0" quotePrefix="1" applyNumberFormat="1" applyFont="1" applyAlignment="1">
      <alignment horizontal="center"/>
    </xf>
    <xf numFmtId="37" fontId="33" fillId="0" borderId="0" xfId="0" applyNumberFormat="1" applyFont="1" applyAlignment="1">
      <alignment horizontal="center"/>
    </xf>
    <xf numFmtId="37" fontId="33" fillId="0" borderId="0" xfId="0" applyNumberFormat="1" applyFont="1" applyAlignment="1">
      <alignment horizontal="center" wrapText="1"/>
    </xf>
    <xf numFmtId="37" fontId="33" fillId="0" borderId="0" xfId="0" quotePrefix="1" applyNumberFormat="1" applyFont="1" applyAlignment="1">
      <alignment horizontal="center"/>
    </xf>
    <xf numFmtId="37" fontId="2" fillId="0" borderId="0" xfId="0" quotePrefix="1" applyNumberFormat="1" applyFont="1" applyAlignment="1">
      <alignment horizontal="center"/>
    </xf>
    <xf numFmtId="37" fontId="2" fillId="0" borderId="0" xfId="0" applyNumberFormat="1" applyFont="1" applyAlignment="1">
      <alignment horizontal="center"/>
    </xf>
    <xf numFmtId="37" fontId="1" fillId="0" borderId="2" xfId="0" applyNumberFormat="1" applyFont="1" applyBorder="1"/>
    <xf numFmtId="37" fontId="1" fillId="0" borderId="3" xfId="0" applyNumberFormat="1" applyFont="1" applyBorder="1"/>
    <xf numFmtId="37" fontId="1" fillId="0" borderId="1" xfId="0" quotePrefix="1" applyNumberFormat="1" applyFont="1" applyBorder="1" applyAlignment="1">
      <alignment horizontal="left"/>
    </xf>
    <xf numFmtId="37" fontId="1" fillId="0" borderId="0" xfId="0" applyNumberFormat="1" applyFont="1" applyAlignment="1">
      <alignment wrapText="1"/>
    </xf>
    <xf numFmtId="37" fontId="1" fillId="0" borderId="0" xfId="0" quotePrefix="1" applyNumberFormat="1" applyFont="1" applyAlignment="1">
      <alignment horizontal="left" wrapText="1"/>
    </xf>
    <xf numFmtId="37" fontId="1" fillId="0" borderId="0" xfId="0" applyNumberFormat="1" applyFont="1" applyAlignment="1">
      <alignment horizontal="left" wrapText="1"/>
    </xf>
    <xf numFmtId="0" fontId="1" fillId="0" borderId="0" xfId="0" applyFont="1"/>
    <xf numFmtId="172" fontId="3" fillId="0" borderId="0" xfId="0" applyNumberFormat="1" applyFont="1"/>
    <xf numFmtId="3" fontId="3" fillId="0" borderId="0" xfId="0" applyNumberFormat="1" applyFont="1"/>
    <xf numFmtId="0" fontId="0" fillId="0" borderId="2" xfId="0" applyBorder="1"/>
    <xf numFmtId="10" fontId="0" fillId="0" borderId="0" xfId="25" applyNumberFormat="1" applyFont="1"/>
    <xf numFmtId="10" fontId="3" fillId="0" borderId="0" xfId="25" applyNumberFormat="1" applyFont="1"/>
    <xf numFmtId="0" fontId="1" fillId="0" borderId="0" xfId="0" applyFont="1" applyAlignment="1">
      <alignment horizontal="left" wrapText="1" indent="1"/>
    </xf>
    <xf numFmtId="15" fontId="2" fillId="0" borderId="0" xfId="0" quotePrefix="1" applyNumberFormat="1" applyFont="1" applyAlignment="1">
      <alignment horizontal="center"/>
    </xf>
    <xf numFmtId="15" fontId="2" fillId="0" borderId="0" xfId="0" applyNumberFormat="1" applyFont="1" applyAlignment="1">
      <alignment horizontal="center"/>
    </xf>
    <xf numFmtId="0" fontId="8" fillId="0" borderId="0" xfId="0" applyFont="1" applyAlignment="1">
      <alignment horizontal="center"/>
    </xf>
    <xf numFmtId="173" fontId="2" fillId="0" borderId="0" xfId="0" quotePrefix="1" applyNumberFormat="1" applyFont="1" applyAlignment="1">
      <alignment horizontal="center"/>
    </xf>
    <xf numFmtId="0" fontId="0" fillId="0" borderId="0" xfId="0" applyAlignment="1">
      <alignment horizontal="justify" vertical="justify" wrapText="1" readingOrder="1"/>
    </xf>
    <xf numFmtId="0" fontId="2" fillId="0" borderId="0" xfId="0" applyFont="1" applyAlignment="1">
      <alignment horizontal="center" wrapText="1"/>
    </xf>
    <xf numFmtId="166" fontId="8" fillId="0" borderId="0" xfId="4" applyNumberFormat="1" applyFont="1" applyFill="1" applyAlignment="1">
      <alignment horizontal="center"/>
    </xf>
    <xf numFmtId="173" fontId="8" fillId="0" borderId="0" xfId="16" applyNumberFormat="1" applyFont="1" applyAlignment="1">
      <alignment horizontal="center"/>
    </xf>
    <xf numFmtId="41" fontId="0" fillId="0" borderId="0" xfId="4" applyNumberFormat="1" applyFont="1" applyFill="1" applyBorder="1"/>
    <xf numFmtId="166" fontId="3" fillId="0" borderId="0" xfId="8" applyNumberFormat="1" applyFont="1" applyFill="1" applyBorder="1"/>
    <xf numFmtId="166" fontId="34" fillId="0" borderId="0" xfId="4" applyNumberFormat="1" applyFont="1" applyFill="1" applyBorder="1"/>
    <xf numFmtId="41" fontId="0" fillId="0" borderId="0" xfId="8" applyNumberFormat="1" applyFont="1" applyFill="1" applyBorder="1"/>
    <xf numFmtId="166" fontId="30" fillId="4" borderId="0" xfId="4" applyNumberFormat="1" applyFont="1" applyFill="1"/>
    <xf numFmtId="166" fontId="3" fillId="4" borderId="0" xfId="4" applyNumberFormat="1" applyFont="1" applyFill="1" applyBorder="1"/>
    <xf numFmtId="41" fontId="36" fillId="0" borderId="0" xfId="4" applyNumberFormat="1" applyFont="1" applyFill="1" applyBorder="1"/>
    <xf numFmtId="164" fontId="1" fillId="0" borderId="0" xfId="8" applyNumberFormat="1" applyFont="1" applyFill="1" applyBorder="1" applyAlignment="1">
      <alignment horizontal="right"/>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indent="2"/>
    </xf>
    <xf numFmtId="164" fontId="0" fillId="0" borderId="0" xfId="5" applyNumberFormat="1" applyFont="1" applyAlignment="1">
      <alignment horizontal="left" wrapText="1" indent="1"/>
    </xf>
    <xf numFmtId="166" fontId="3" fillId="0" borderId="0" xfId="4" applyNumberFormat="1" applyFont="1" applyFill="1" applyBorder="1" applyAlignment="1"/>
    <xf numFmtId="166" fontId="0" fillId="0" borderId="1" xfId="8" applyNumberFormat="1" applyFont="1" applyFill="1" applyBorder="1" applyAlignment="1"/>
    <xf numFmtId="0" fontId="1" fillId="0" borderId="0" xfId="0" applyFont="1" applyAlignment="1">
      <alignment horizontal="left"/>
    </xf>
    <xf numFmtId="0" fontId="0" fillId="0" borderId="1" xfId="0" applyBorder="1" applyAlignment="1">
      <alignment horizontal="centerContinuous"/>
    </xf>
    <xf numFmtId="164" fontId="1" fillId="0" borderId="0" xfId="0" applyNumberFormat="1" applyFont="1" applyAlignment="1">
      <alignment horizontal="right"/>
    </xf>
    <xf numFmtId="0" fontId="5" fillId="0" borderId="0" xfId="0" applyFont="1" applyAlignment="1">
      <alignment horizontal="center" wrapText="1"/>
    </xf>
    <xf numFmtId="44" fontId="5" fillId="0" borderId="0" xfId="5" applyFont="1" applyFill="1" applyBorder="1" applyProtection="1"/>
    <xf numFmtId="166" fontId="5" fillId="0" borderId="0" xfId="1" applyNumberFormat="1" applyFont="1" applyFill="1" applyBorder="1" applyAlignment="1">
      <alignment horizontal="right"/>
    </xf>
    <xf numFmtId="0" fontId="5" fillId="0" borderId="1" xfId="0" applyFont="1" applyBorder="1" applyAlignment="1">
      <alignment horizontal="center" wrapText="1"/>
    </xf>
    <xf numFmtId="0" fontId="0" fillId="0" borderId="9" xfId="0" applyBorder="1"/>
    <xf numFmtId="0" fontId="2" fillId="0" borderId="9" xfId="0" applyFont="1" applyBorder="1"/>
    <xf numFmtId="164" fontId="2" fillId="0" borderId="9" xfId="0" applyNumberFormat="1" applyFont="1" applyBorder="1"/>
    <xf numFmtId="0" fontId="2" fillId="0" borderId="9" xfId="0" quotePrefix="1" applyFont="1" applyBorder="1" applyAlignment="1">
      <alignment horizontal="center"/>
    </xf>
    <xf numFmtId="0" fontId="2" fillId="0" borderId="9" xfId="0" applyFont="1" applyBorder="1" applyAlignment="1">
      <alignment horizontal="center"/>
    </xf>
    <xf numFmtId="0" fontId="5" fillId="0" borderId="9" xfId="0" applyFont="1" applyBorder="1"/>
    <xf numFmtId="166" fontId="0" fillId="0" borderId="0" xfId="5" applyNumberFormat="1" applyFont="1" applyFill="1" applyBorder="1"/>
    <xf numFmtId="0" fontId="2" fillId="0" borderId="9" xfId="0" applyFont="1" applyBorder="1" applyAlignment="1">
      <alignment horizontal="centerContinuous"/>
    </xf>
    <xf numFmtId="0" fontId="3" fillId="0" borderId="0" xfId="0" applyFont="1" applyAlignment="1">
      <alignment horizontal="center" wrapText="1"/>
    </xf>
    <xf numFmtId="0" fontId="42" fillId="3" borderId="0" xfId="0" applyFont="1" applyFill="1"/>
    <xf numFmtId="10" fontId="3" fillId="3" borderId="0" xfId="0" applyNumberFormat="1" applyFont="1" applyFill="1"/>
    <xf numFmtId="175" fontId="3" fillId="3" borderId="0" xfId="0" applyNumberFormat="1" applyFont="1" applyFill="1"/>
    <xf numFmtId="0" fontId="17" fillId="3" borderId="0" xfId="0" applyFont="1" applyFill="1"/>
    <xf numFmtId="10" fontId="41" fillId="3" borderId="0" xfId="25" applyNumberFormat="1" applyFont="1" applyFill="1"/>
    <xf numFmtId="0" fontId="41" fillId="3" borderId="0" xfId="0" applyFont="1" applyFill="1" applyAlignment="1">
      <alignment wrapText="1"/>
    </xf>
    <xf numFmtId="0" fontId="41" fillId="3" borderId="0" xfId="0" applyFont="1" applyFill="1"/>
    <xf numFmtId="0" fontId="1" fillId="3" borderId="0" xfId="0" applyFont="1" applyFill="1"/>
    <xf numFmtId="0" fontId="41" fillId="3" borderId="0" xfId="0" applyFont="1" applyFill="1" applyAlignment="1">
      <alignment horizontal="left" wrapText="1" indent="3"/>
    </xf>
    <xf numFmtId="10" fontId="41" fillId="3" borderId="0" xfId="25" applyNumberFormat="1" applyFont="1" applyFill="1" applyAlignment="1">
      <alignment horizontal="left" vertical="top"/>
    </xf>
    <xf numFmtId="0" fontId="41" fillId="3" borderId="0" xfId="0" applyFont="1" applyFill="1" applyAlignment="1">
      <alignment horizontal="left" wrapText="1" indent="4"/>
    </xf>
    <xf numFmtId="0" fontId="42" fillId="0" borderId="0" xfId="0" applyFont="1"/>
    <xf numFmtId="0" fontId="5" fillId="3" borderId="0" xfId="0" applyFont="1" applyFill="1"/>
    <xf numFmtId="0" fontId="42" fillId="4" borderId="0" xfId="0" applyFont="1" applyFill="1"/>
    <xf numFmtId="164" fontId="34" fillId="0" borderId="0" xfId="10" applyNumberFormat="1" applyFont="1" applyFill="1" applyBorder="1"/>
    <xf numFmtId="164" fontId="0" fillId="0" borderId="0" xfId="10" applyNumberFormat="1" applyFont="1" applyBorder="1"/>
    <xf numFmtId="0" fontId="17" fillId="0" borderId="0" xfId="0" applyFont="1"/>
    <xf numFmtId="0" fontId="2" fillId="3" borderId="0" xfId="0" applyFont="1" applyFill="1" applyAlignment="1">
      <alignment horizontal="left" indent="2"/>
    </xf>
    <xf numFmtId="41" fontId="0" fillId="3" borderId="0" xfId="0" applyNumberFormat="1" applyFill="1"/>
    <xf numFmtId="0" fontId="0" fillId="3" borderId="0" xfId="0" applyFill="1" applyAlignment="1">
      <alignment wrapText="1"/>
    </xf>
    <xf numFmtId="0" fontId="5" fillId="3" borderId="0" xfId="0" applyFont="1" applyFill="1" applyAlignment="1">
      <alignment horizontal="left"/>
    </xf>
    <xf numFmtId="0" fontId="1" fillId="3" borderId="12" xfId="0" applyFont="1" applyFill="1" applyBorder="1" applyAlignment="1">
      <alignment vertical="top" wrapText="1"/>
    </xf>
    <xf numFmtId="0" fontId="1" fillId="3" borderId="13" xfId="0" applyFont="1" applyFill="1" applyBorder="1" applyAlignment="1">
      <alignment vertical="top" wrapText="1"/>
    </xf>
    <xf numFmtId="0" fontId="1" fillId="4" borderId="0" xfId="0" applyFont="1" applyFill="1" applyAlignment="1">
      <alignment vertical="top" wrapText="1"/>
    </xf>
    <xf numFmtId="0" fontId="1" fillId="3" borderId="21" xfId="0" applyFont="1" applyFill="1" applyBorder="1" applyAlignment="1">
      <alignment vertical="top"/>
    </xf>
    <xf numFmtId="0" fontId="17" fillId="0" borderId="0" xfId="0" applyFont="1" applyAlignment="1">
      <alignment wrapText="1"/>
    </xf>
    <xf numFmtId="164" fontId="34" fillId="0" borderId="0" xfId="5" applyNumberFormat="1" applyFont="1" applyFill="1"/>
    <xf numFmtId="164" fontId="0" fillId="0" borderId="0" xfId="5" applyNumberFormat="1" applyFont="1"/>
    <xf numFmtId="164" fontId="34" fillId="0" borderId="2" xfId="5" applyNumberFormat="1" applyFont="1" applyFill="1" applyBorder="1"/>
    <xf numFmtId="164" fontId="0" fillId="0" borderId="2" xfId="5" applyNumberFormat="1" applyFont="1" applyBorder="1"/>
    <xf numFmtId="0" fontId="8" fillId="0" borderId="0" xfId="0" applyFont="1" applyAlignment="1">
      <alignment wrapText="1"/>
    </xf>
    <xf numFmtId="10" fontId="5" fillId="0" borderId="0" xfId="27" applyNumberFormat="1" applyFont="1"/>
    <xf numFmtId="10" fontId="5" fillId="0" borderId="0" xfId="27" applyNumberFormat="1" applyFont="1" applyBorder="1"/>
    <xf numFmtId="10" fontId="5" fillId="0" borderId="0" xfId="0" applyNumberFormat="1" applyFont="1" applyAlignment="1">
      <alignment horizontal="center"/>
    </xf>
    <xf numFmtId="164" fontId="3" fillId="0" borderId="4" xfId="5" applyNumberFormat="1" applyFont="1" applyBorder="1"/>
    <xf numFmtId="166" fontId="1" fillId="0" borderId="0" xfId="0" applyNumberFormat="1" applyFont="1" applyAlignment="1">
      <alignment horizontal="right"/>
    </xf>
    <xf numFmtId="0" fontId="1" fillId="3" borderId="0" xfId="17" applyFont="1" applyFill="1" applyAlignment="1">
      <alignment horizontal="center"/>
    </xf>
    <xf numFmtId="0" fontId="1" fillId="3" borderId="4" xfId="17" applyFont="1" applyFill="1" applyBorder="1" applyAlignment="1">
      <alignment horizontal="center"/>
    </xf>
    <xf numFmtId="0" fontId="1" fillId="3" borderId="0" xfId="0" applyFont="1" applyFill="1" applyAlignment="1">
      <alignment horizontal="center"/>
    </xf>
    <xf numFmtId="0" fontId="1" fillId="3" borderId="23" xfId="0" applyFont="1" applyFill="1" applyBorder="1" applyAlignment="1">
      <alignment horizontal="center"/>
    </xf>
    <xf numFmtId="0" fontId="2" fillId="0" borderId="0" xfId="17" applyFont="1"/>
    <xf numFmtId="0" fontId="1" fillId="3" borderId="0" xfId="17" applyFont="1" applyFill="1" applyAlignment="1">
      <alignment horizontal="left"/>
    </xf>
    <xf numFmtId="0" fontId="3" fillId="3" borderId="0" xfId="17" applyFont="1" applyFill="1"/>
    <xf numFmtId="166" fontId="3" fillId="3" borderId="1" xfId="1" applyNumberFormat="1" applyFont="1" applyFill="1" applyBorder="1" applyProtection="1"/>
    <xf numFmtId="166" fontId="1" fillId="0" borderId="0" xfId="4" applyNumberFormat="1" applyFont="1" applyFill="1"/>
    <xf numFmtId="166" fontId="1" fillId="3" borderId="0" xfId="4" applyNumberFormat="1" applyFont="1" applyFill="1" applyAlignment="1">
      <alignment horizontal="left"/>
    </xf>
    <xf numFmtId="0" fontId="3" fillId="3" borderId="0" xfId="12" applyFill="1"/>
    <xf numFmtId="166" fontId="1" fillId="3" borderId="0" xfId="4" applyNumberFormat="1" applyFont="1" applyFill="1"/>
    <xf numFmtId="0" fontId="1" fillId="3" borderId="0" xfId="19" applyFont="1" applyFill="1" applyAlignment="1">
      <alignment horizontal="center"/>
    </xf>
    <xf numFmtId="0" fontId="1" fillId="3" borderId="4" xfId="19" applyFont="1" applyFill="1" applyBorder="1" applyAlignment="1">
      <alignment horizontal="center"/>
    </xf>
    <xf numFmtId="166" fontId="1" fillId="4" borderId="0" xfId="4" applyNumberFormat="1" applyFont="1" applyFill="1" applyAlignment="1">
      <alignment horizontal="left"/>
    </xf>
    <xf numFmtId="0" fontId="3" fillId="4" borderId="0" xfId="12" applyFill="1"/>
    <xf numFmtId="166" fontId="1" fillId="4" borderId="0" xfId="4" applyNumberFormat="1" applyFont="1" applyFill="1"/>
    <xf numFmtId="164" fontId="3" fillId="0" borderId="1" xfId="5" applyNumberFormat="1" applyFont="1" applyBorder="1"/>
    <xf numFmtId="0" fontId="1" fillId="0" borderId="0" xfId="12" applyFont="1" applyAlignment="1">
      <alignment horizontal="left" wrapText="1" indent="1"/>
    </xf>
    <xf numFmtId="166" fontId="5" fillId="0" borderId="9" xfId="1" applyNumberFormat="1" applyFont="1" applyFill="1" applyBorder="1" applyAlignment="1">
      <alignment horizontal="centerContinuous"/>
    </xf>
    <xf numFmtId="0" fontId="5" fillId="0" borderId="9" xfId="0" applyFont="1" applyBorder="1" applyAlignment="1">
      <alignment horizontal="centerContinuous"/>
    </xf>
    <xf numFmtId="0" fontId="5" fillId="3" borderId="0" xfId="0" applyFont="1" applyFill="1" applyAlignment="1">
      <alignment horizontal="center"/>
    </xf>
    <xf numFmtId="0" fontId="5" fillId="3" borderId="4" xfId="0" applyFont="1" applyFill="1" applyBorder="1" applyAlignment="1">
      <alignment horizontal="center"/>
    </xf>
    <xf numFmtId="42" fontId="5" fillId="0" borderId="0" xfId="7" applyFont="1" applyFill="1" applyBorder="1"/>
    <xf numFmtId="166" fontId="5" fillId="3" borderId="0" xfId="4" applyNumberFormat="1" applyFont="1" applyFill="1" applyAlignment="1">
      <alignment horizontal="left"/>
    </xf>
    <xf numFmtId="0" fontId="2" fillId="4" borderId="0" xfId="0" applyFont="1" applyFill="1"/>
    <xf numFmtId="0" fontId="3" fillId="0" borderId="9" xfId="17" applyFont="1" applyBorder="1"/>
    <xf numFmtId="0" fontId="2" fillId="3" borderId="24" xfId="0" applyFont="1" applyFill="1" applyBorder="1"/>
    <xf numFmtId="166" fontId="1" fillId="3" borderId="0" xfId="1" applyNumberFormat="1" applyFont="1" applyFill="1" applyAlignment="1">
      <alignment horizontal="center"/>
    </xf>
    <xf numFmtId="166" fontId="1" fillId="3" borderId="4" xfId="1" applyNumberFormat="1" applyFont="1" applyFill="1" applyBorder="1" applyAlignment="1">
      <alignment horizontal="center"/>
    </xf>
    <xf numFmtId="164" fontId="3" fillId="0" borderId="0" xfId="1" applyNumberFormat="1" applyFont="1" applyFill="1" applyBorder="1"/>
    <xf numFmtId="164" fontId="3" fillId="0" borderId="0" xfId="1" applyNumberFormat="1" applyFont="1" applyFill="1" applyBorder="1" applyAlignment="1">
      <alignment horizontal="center"/>
    </xf>
    <xf numFmtId="166" fontId="1" fillId="0" borderId="1" xfId="1" applyNumberFormat="1" applyFont="1" applyFill="1" applyBorder="1" applyAlignment="1">
      <alignment horizontal="center"/>
    </xf>
    <xf numFmtId="166" fontId="1" fillId="0" borderId="0" xfId="1" applyNumberFormat="1" applyFont="1" applyFill="1"/>
    <xf numFmtId="166" fontId="2" fillId="0" borderId="0" xfId="1" applyNumberFormat="1" applyFont="1" applyFill="1"/>
    <xf numFmtId="164" fontId="3" fillId="0" borderId="0" xfId="1" applyNumberFormat="1" applyFont="1" applyFill="1" applyBorder="1" applyAlignment="1" applyProtection="1">
      <alignment horizontal="right"/>
    </xf>
    <xf numFmtId="166" fontId="8" fillId="0" borderId="0" xfId="4" applyNumberFormat="1" applyFont="1" applyFill="1" applyAlignment="1"/>
    <xf numFmtId="166" fontId="8" fillId="0" borderId="0" xfId="4" applyNumberFormat="1" applyFont="1" applyFill="1" applyAlignment="1">
      <alignment horizontal="left"/>
    </xf>
    <xf numFmtId="0" fontId="1" fillId="0" borderId="1" xfId="19" applyFont="1" applyBorder="1" applyAlignment="1">
      <alignment horizontal="center"/>
    </xf>
    <xf numFmtId="169" fontId="1" fillId="3" borderId="0" xfId="16" applyFont="1" applyFill="1" applyAlignment="1">
      <alignment horizontal="center"/>
    </xf>
    <xf numFmtId="169" fontId="1" fillId="3" borderId="4" xfId="16" applyFont="1" applyFill="1" applyBorder="1" applyAlignment="1">
      <alignment horizontal="center"/>
    </xf>
    <xf numFmtId="166" fontId="1" fillId="0" borderId="0" xfId="1" applyNumberFormat="1" applyFont="1" applyFill="1" applyBorder="1" applyAlignment="1"/>
    <xf numFmtId="0" fontId="2" fillId="0" borderId="0" xfId="15" applyFont="1"/>
    <xf numFmtId="166" fontId="1" fillId="3" borderId="0" xfId="0" applyNumberFormat="1" applyFont="1" applyFill="1" applyAlignment="1">
      <alignment horizontal="center"/>
    </xf>
    <xf numFmtId="166" fontId="1" fillId="3" borderId="23" xfId="0" applyNumberFormat="1" applyFont="1" applyFill="1" applyBorder="1" applyAlignment="1">
      <alignment horizontal="center"/>
    </xf>
    <xf numFmtId="166" fontId="1" fillId="0" borderId="9" xfId="1" applyNumberFormat="1" applyFont="1" applyFill="1" applyBorder="1"/>
    <xf numFmtId="41" fontId="3" fillId="0" borderId="25" xfId="20" applyNumberFormat="1" applyFont="1" applyBorder="1"/>
    <xf numFmtId="41" fontId="3" fillId="0" borderId="25" xfId="20" applyNumberFormat="1" applyFont="1" applyBorder="1" applyAlignment="1">
      <alignment horizontal="centerContinuous"/>
    </xf>
    <xf numFmtId="41" fontId="3" fillId="0" borderId="0" xfId="20" applyNumberFormat="1" applyFont="1" applyAlignment="1">
      <alignment horizontal="centerContinuous"/>
    </xf>
    <xf numFmtId="41" fontId="1" fillId="0" borderId="1" xfId="20" applyNumberFormat="1" applyFont="1" applyBorder="1" applyAlignment="1">
      <alignment horizontal="center"/>
    </xf>
    <xf numFmtId="41" fontId="2" fillId="0" borderId="0" xfId="20" applyNumberFormat="1" applyFont="1"/>
    <xf numFmtId="170" fontId="8" fillId="3" borderId="0" xfId="24" applyNumberFormat="1" applyFont="1" applyFill="1" applyAlignment="1">
      <alignment horizontal="centerContinuous"/>
    </xf>
    <xf numFmtId="169" fontId="8" fillId="3" borderId="0" xfId="24" applyFont="1" applyFill="1" applyAlignment="1">
      <alignment horizontal="centerContinuous"/>
    </xf>
    <xf numFmtId="164" fontId="5" fillId="0" borderId="0" xfId="5" applyNumberFormat="1" applyFont="1" applyAlignment="1">
      <alignment horizontal="right"/>
    </xf>
    <xf numFmtId="164" fontId="5" fillId="0" borderId="0" xfId="5" applyNumberFormat="1" applyFont="1"/>
    <xf numFmtId="44" fontId="5" fillId="0" borderId="6" xfId="5" applyFont="1" applyBorder="1"/>
    <xf numFmtId="183" fontId="5" fillId="0" borderId="0" xfId="5" applyNumberFormat="1" applyFont="1" applyBorder="1"/>
    <xf numFmtId="164" fontId="5" fillId="0" borderId="6" xfId="5" applyNumberFormat="1" applyFont="1" applyBorder="1"/>
    <xf numFmtId="169" fontId="5" fillId="3" borderId="0" xfId="16" applyFont="1" applyFill="1" applyAlignment="1">
      <alignment vertical="top"/>
    </xf>
    <xf numFmtId="0" fontId="0" fillId="3" borderId="0" xfId="0" applyFill="1" applyAlignment="1">
      <alignment vertical="top"/>
    </xf>
    <xf numFmtId="10" fontId="5" fillId="0" borderId="0" xfId="16" applyNumberFormat="1" applyFont="1"/>
    <xf numFmtId="0" fontId="2" fillId="0" borderId="0" xfId="12" applyFont="1" applyAlignment="1">
      <alignment horizontal="left" wrapText="1"/>
    </xf>
    <xf numFmtId="166" fontId="8" fillId="3" borderId="0" xfId="4" applyNumberFormat="1" applyFont="1" applyFill="1" applyAlignment="1">
      <alignment horizontal="left"/>
    </xf>
    <xf numFmtId="0" fontId="3" fillId="0" borderId="0" xfId="15" applyFont="1" applyAlignment="1">
      <alignment vertical="top"/>
    </xf>
    <xf numFmtId="0" fontId="0" fillId="0" borderId="0" xfId="0" applyAlignment="1">
      <alignment vertical="center"/>
    </xf>
    <xf numFmtId="0" fontId="3" fillId="0" borderId="0" xfId="12" applyAlignment="1">
      <alignment vertical="center"/>
    </xf>
    <xf numFmtId="169" fontId="8" fillId="0" borderId="14" xfId="24" applyFont="1" applyBorder="1" applyAlignment="1">
      <alignment horizontal="justify" vertical="center" wrapText="1"/>
    </xf>
    <xf numFmtId="169" fontId="8" fillId="0" borderId="0" xfId="24" applyFont="1" applyAlignment="1">
      <alignment horizontal="justify" vertical="center" wrapText="1"/>
    </xf>
    <xf numFmtId="0" fontId="3" fillId="0" borderId="15" xfId="12" applyBorder="1" applyAlignment="1">
      <alignment vertical="center"/>
    </xf>
    <xf numFmtId="0" fontId="3" fillId="0" borderId="14" xfId="12" applyBorder="1"/>
    <xf numFmtId="0" fontId="3" fillId="0" borderId="9" xfId="12" applyBorder="1"/>
    <xf numFmtId="0" fontId="3" fillId="0" borderId="0" xfId="12" applyAlignment="1">
      <alignment vertical="top"/>
    </xf>
    <xf numFmtId="37" fontId="5" fillId="0" borderId="15" xfId="24" applyNumberFormat="1" applyFont="1" applyBorder="1"/>
    <xf numFmtId="0" fontId="3" fillId="0" borderId="0" xfId="0" applyFont="1" applyAlignment="1">
      <alignment vertical="top" readingOrder="1"/>
    </xf>
    <xf numFmtId="0" fontId="38" fillId="0" borderId="0" xfId="0" applyFont="1" applyAlignment="1">
      <alignment vertical="center" readingOrder="1"/>
    </xf>
    <xf numFmtId="166" fontId="1" fillId="3" borderId="0" xfId="1" applyNumberFormat="1" applyFill="1"/>
    <xf numFmtId="0" fontId="37" fillId="3" borderId="0" xfId="0" applyFont="1" applyFill="1"/>
    <xf numFmtId="166" fontId="3" fillId="3" borderId="1" xfId="4" applyNumberFormat="1" applyFont="1" applyFill="1" applyBorder="1"/>
    <xf numFmtId="164" fontId="1" fillId="0" borderId="0" xfId="0" applyNumberFormat="1" applyFont="1"/>
    <xf numFmtId="0" fontId="1" fillId="3" borderId="0" xfId="0" applyFont="1" applyFill="1" applyAlignment="1">
      <alignment wrapText="1"/>
    </xf>
    <xf numFmtId="166" fontId="3" fillId="3" borderId="0" xfId="4" applyNumberFormat="1" applyFont="1" applyFill="1"/>
    <xf numFmtId="0" fontId="2" fillId="3" borderId="0" xfId="0" applyFont="1" applyFill="1" applyAlignment="1">
      <alignment wrapText="1"/>
    </xf>
    <xf numFmtId="166" fontId="0" fillId="3" borderId="1" xfId="4" applyNumberFormat="1" applyFont="1" applyFill="1" applyBorder="1"/>
    <xf numFmtId="0" fontId="0" fillId="3" borderId="0" xfId="0" applyFill="1" applyAlignment="1">
      <alignment horizontal="left" wrapText="1" indent="2"/>
    </xf>
    <xf numFmtId="166" fontId="0" fillId="3" borderId="5" xfId="4" applyNumberFormat="1" applyFont="1" applyFill="1" applyBorder="1"/>
    <xf numFmtId="166" fontId="0" fillId="3" borderId="0" xfId="4" applyNumberFormat="1" applyFont="1" applyFill="1"/>
    <xf numFmtId="0" fontId="37" fillId="4" borderId="0" xfId="0" applyFont="1" applyFill="1"/>
    <xf numFmtId="166" fontId="3" fillId="3" borderId="5" xfId="4" applyNumberFormat="1" applyFont="1" applyFill="1" applyBorder="1"/>
    <xf numFmtId="0" fontId="5" fillId="3" borderId="5" xfId="0" applyFont="1" applyFill="1" applyBorder="1" applyAlignment="1">
      <alignment horizontal="center" wrapText="1"/>
    </xf>
    <xf numFmtId="0" fontId="0" fillId="0" borderId="0" xfId="0" applyAlignment="1">
      <alignment vertical="justify" readingOrder="1"/>
    </xf>
    <xf numFmtId="0" fontId="1" fillId="0" borderId="0" xfId="0" applyFont="1" applyAlignment="1">
      <alignment horizontal="left" vertical="center" wrapText="1"/>
    </xf>
    <xf numFmtId="42" fontId="3" fillId="0" borderId="2" xfId="0" applyNumberFormat="1" applyFont="1" applyBorder="1" applyAlignment="1">
      <alignment horizontal="left" vertical="center"/>
    </xf>
    <xf numFmtId="42"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44" fontId="3" fillId="0" borderId="0" xfId="0" applyNumberFormat="1" applyFont="1"/>
    <xf numFmtId="0" fontId="8" fillId="3" borderId="0" xfId="0" applyFont="1" applyFill="1" applyAlignment="1">
      <alignment wrapText="1"/>
    </xf>
    <xf numFmtId="10" fontId="5" fillId="3" borderId="0" xfId="27" applyNumberFormat="1" applyFont="1" applyFill="1"/>
    <xf numFmtId="10" fontId="5" fillId="3" borderId="0" xfId="27" applyNumberFormat="1" applyFont="1" applyFill="1" applyBorder="1"/>
    <xf numFmtId="0" fontId="1" fillId="0" borderId="0" xfId="12" applyFont="1"/>
    <xf numFmtId="169" fontId="17" fillId="3" borderId="0" xfId="24" applyFont="1" applyFill="1" applyAlignment="1">
      <alignment horizontal="center"/>
    </xf>
    <xf numFmtId="0" fontId="2" fillId="3" borderId="0" xfId="0" applyFont="1" applyFill="1"/>
    <xf numFmtId="0" fontId="1" fillId="0" borderId="0" xfId="0" applyFont="1" applyAlignment="1">
      <alignment vertical="center" wrapText="1"/>
    </xf>
    <xf numFmtId="42" fontId="0" fillId="0" borderId="2" xfId="0" applyNumberFormat="1" applyBorder="1" applyAlignment="1">
      <alignment vertical="center"/>
    </xf>
    <xf numFmtId="42" fontId="0" fillId="0" borderId="0" xfId="0" applyNumberFormat="1" applyAlignment="1">
      <alignment vertical="center"/>
    </xf>
    <xf numFmtId="37" fontId="2" fillId="0" borderId="0" xfId="0" applyNumberFormat="1" applyFont="1" applyAlignment="1">
      <alignment wrapText="1"/>
    </xf>
    <xf numFmtId="37" fontId="2" fillId="0" borderId="0" xfId="0" quotePrefix="1" applyNumberFormat="1" applyFont="1" applyAlignment="1">
      <alignment horizontal="left" wrapText="1"/>
    </xf>
    <xf numFmtId="37" fontId="1" fillId="0" borderId="0" xfId="0" applyNumberFormat="1" applyFont="1" applyAlignment="1">
      <alignment vertical="top" wrapText="1"/>
    </xf>
    <xf numFmtId="0" fontId="2" fillId="3" borderId="24" xfId="0" applyFont="1" applyFill="1" applyBorder="1" applyAlignment="1">
      <alignment horizontal="center"/>
    </xf>
    <xf numFmtId="0" fontId="1" fillId="4" borderId="0" xfId="0" applyFont="1" applyFill="1"/>
    <xf numFmtId="166" fontId="0" fillId="4" borderId="0" xfId="4" applyNumberFormat="1" applyFont="1" applyFill="1"/>
    <xf numFmtId="0" fontId="1" fillId="0" borderId="21"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2" fillId="0" borderId="0" xfId="0" applyFont="1" applyAlignment="1">
      <alignment horizontal="center"/>
    </xf>
    <xf numFmtId="15" fontId="2" fillId="0" borderId="0" xfId="0" quotePrefix="1" applyNumberFormat="1" applyFont="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15" fontId="2" fillId="0" borderId="0" xfId="0" applyNumberFormat="1" applyFont="1" applyAlignment="1">
      <alignment horizontal="center"/>
    </xf>
    <xf numFmtId="0" fontId="1" fillId="0" borderId="0" xfId="0" applyFont="1" applyAlignment="1">
      <alignment horizontal="left" wrapText="1" indent="1"/>
    </xf>
    <xf numFmtId="0" fontId="3" fillId="0" borderId="0" xfId="0" applyFont="1" applyAlignment="1">
      <alignment horizontal="left" wrapText="1" indent="1"/>
    </xf>
    <xf numFmtId="0" fontId="0" fillId="0" borderId="0" xfId="0" applyAlignment="1">
      <alignment horizontal="left" wrapText="1" indent="1"/>
    </xf>
    <xf numFmtId="0" fontId="0" fillId="0" borderId="0" xfId="0" applyAlignment="1">
      <alignment horizontal="left" wrapText="1" indent="2"/>
    </xf>
    <xf numFmtId="0" fontId="1" fillId="0" borderId="0" xfId="0" applyFont="1" applyAlignment="1">
      <alignment horizontal="left" wrapText="1"/>
    </xf>
    <xf numFmtId="173" fontId="2" fillId="0" borderId="0" xfId="0" quotePrefix="1" applyNumberFormat="1" applyFont="1" applyAlignment="1">
      <alignment horizontal="center"/>
    </xf>
    <xf numFmtId="173" fontId="2" fillId="0" borderId="0" xfId="0" applyNumberFormat="1" applyFont="1" applyAlignment="1">
      <alignment horizontal="center"/>
    </xf>
    <xf numFmtId="0" fontId="3" fillId="0" borderId="0" xfId="0" applyFont="1" applyAlignment="1">
      <alignment horizontal="left" wrapText="1" indent="2"/>
    </xf>
    <xf numFmtId="0" fontId="3" fillId="0" borderId="0" xfId="0" applyFont="1" applyAlignment="1">
      <alignment horizontal="left" vertical="top" wrapText="1" indent="1"/>
    </xf>
    <xf numFmtId="0" fontId="3" fillId="0" borderId="19" xfId="0" applyFont="1" applyBorder="1" applyAlignment="1">
      <alignment horizontal="justify" wrapText="1"/>
    </xf>
    <xf numFmtId="0" fontId="0" fillId="0" borderId="16" xfId="0" applyBorder="1" applyAlignment="1">
      <alignment horizontal="justify" wrapText="1"/>
    </xf>
    <xf numFmtId="0" fontId="0" fillId="0" borderId="17" xfId="0" applyBorder="1" applyAlignment="1">
      <alignment horizontal="justify" wrapText="1"/>
    </xf>
    <xf numFmtId="0" fontId="0" fillId="0" borderId="14" xfId="0" applyBorder="1" applyAlignment="1">
      <alignment horizontal="justify" wrapText="1"/>
    </xf>
    <xf numFmtId="0" fontId="0" fillId="0" borderId="0" xfId="0" applyAlignment="1">
      <alignment horizontal="justify" wrapText="1"/>
    </xf>
    <xf numFmtId="0" fontId="0" fillId="0" borderId="15" xfId="0" applyBorder="1" applyAlignment="1">
      <alignment horizontal="justify" wrapText="1"/>
    </xf>
    <xf numFmtId="0" fontId="0" fillId="0" borderId="20" xfId="0" applyBorder="1" applyAlignment="1">
      <alignment horizontal="justify" wrapText="1"/>
    </xf>
    <xf numFmtId="0" fontId="0" fillId="0" borderId="9" xfId="0" applyBorder="1" applyAlignment="1">
      <alignment horizontal="justify" wrapText="1"/>
    </xf>
    <xf numFmtId="0" fontId="0" fillId="0" borderId="18" xfId="0" applyBorder="1" applyAlignment="1">
      <alignment horizontal="justify" wrapText="1"/>
    </xf>
    <xf numFmtId="0" fontId="38" fillId="0" borderId="21" xfId="0" applyFont="1" applyBorder="1" applyAlignment="1">
      <alignment horizontal="left" wrapText="1"/>
    </xf>
    <xf numFmtId="0" fontId="38" fillId="0" borderId="12" xfId="0" applyFont="1" applyBorder="1" applyAlignment="1">
      <alignment horizontal="left" wrapText="1"/>
    </xf>
    <xf numFmtId="0" fontId="38" fillId="0" borderId="13" xfId="0" applyFont="1" applyBorder="1" applyAlignment="1">
      <alignment horizontal="left" wrapText="1"/>
    </xf>
    <xf numFmtId="0" fontId="3" fillId="0" borderId="2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8" fillId="0" borderId="0" xfId="0" applyFont="1" applyAlignment="1">
      <alignment horizontal="center"/>
    </xf>
    <xf numFmtId="0" fontId="40" fillId="0" borderId="19" xfId="0" applyFont="1" applyBorder="1" applyAlignment="1">
      <alignment horizontal="left" vertical="top" wrapText="1"/>
    </xf>
    <xf numFmtId="0" fontId="40"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4" xfId="0" applyFont="1" applyBorder="1" applyAlignment="1">
      <alignment horizontal="left" vertical="top" wrapText="1"/>
    </xf>
    <xf numFmtId="0" fontId="40" fillId="0" borderId="0" xfId="0" applyFont="1" applyAlignment="1">
      <alignment horizontal="left" vertical="top" wrapText="1"/>
    </xf>
    <xf numFmtId="0" fontId="40" fillId="0" borderId="15" xfId="0" applyFont="1" applyBorder="1" applyAlignment="1">
      <alignment horizontal="left" vertical="top" wrapText="1"/>
    </xf>
    <xf numFmtId="0" fontId="40" fillId="0" borderId="20" xfId="0" applyFont="1" applyBorder="1" applyAlignment="1">
      <alignment horizontal="left" vertical="top" wrapText="1"/>
    </xf>
    <xf numFmtId="0" fontId="40" fillId="0" borderId="9" xfId="0" applyFont="1" applyBorder="1" applyAlignment="1">
      <alignment horizontal="left" vertical="top" wrapText="1"/>
    </xf>
    <xf numFmtId="0" fontId="40" fillId="0" borderId="18" xfId="0" applyFont="1" applyBorder="1" applyAlignment="1">
      <alignment horizontal="left" vertical="top" wrapText="1"/>
    </xf>
    <xf numFmtId="0" fontId="0" fillId="0" borderId="0" xfId="0" applyAlignment="1">
      <alignment horizontal="left" wrapText="1"/>
    </xf>
    <xf numFmtId="0" fontId="38" fillId="0" borderId="21" xfId="0" applyFont="1" applyBorder="1" applyAlignment="1">
      <alignment horizontal="left" vertical="center" wrapText="1" readingOrder="1"/>
    </xf>
    <xf numFmtId="0" fontId="38" fillId="0" borderId="12" xfId="0" applyFont="1" applyBorder="1" applyAlignment="1">
      <alignment horizontal="left" vertical="center" wrapText="1" readingOrder="1"/>
    </xf>
    <xf numFmtId="0" fontId="38" fillId="0" borderId="13" xfId="0" applyFont="1" applyBorder="1" applyAlignment="1">
      <alignment horizontal="left" vertical="center" wrapText="1" readingOrder="1"/>
    </xf>
    <xf numFmtId="0" fontId="3" fillId="0" borderId="0" xfId="0" applyFont="1" applyAlignment="1">
      <alignment horizontal="left" wrapText="1"/>
    </xf>
    <xf numFmtId="0" fontId="38" fillId="0" borderId="21" xfId="0" applyFont="1" applyBorder="1" applyAlignment="1">
      <alignment horizontal="left" vertical="justify" readingOrder="1"/>
    </xf>
    <xf numFmtId="0" fontId="38" fillId="0" borderId="12" xfId="0" applyFont="1" applyBorder="1" applyAlignment="1">
      <alignment horizontal="left" vertical="justify" readingOrder="1"/>
    </xf>
    <xf numFmtId="0" fontId="38" fillId="0" borderId="13" xfId="0" applyFont="1" applyBorder="1" applyAlignment="1">
      <alignment horizontal="left" vertical="justify" readingOrder="1"/>
    </xf>
    <xf numFmtId="0" fontId="18" fillId="0" borderId="0" xfId="0" applyFont="1" applyAlignment="1">
      <alignment horizontal="center"/>
    </xf>
    <xf numFmtId="0" fontId="6" fillId="0" borderId="0" xfId="23" applyFont="1" applyAlignment="1">
      <alignment horizontal="center"/>
    </xf>
    <xf numFmtId="0" fontId="6" fillId="0" borderId="0" xfId="23" quotePrefix="1" applyFont="1" applyAlignment="1">
      <alignment horizontal="center"/>
    </xf>
    <xf numFmtId="0" fontId="3" fillId="0" borderId="19" xfId="0" applyFont="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20" xfId="0" applyBorder="1" applyAlignment="1">
      <alignment wrapText="1"/>
    </xf>
    <xf numFmtId="0" fontId="0" fillId="0" borderId="9" xfId="0" applyBorder="1" applyAlignment="1">
      <alignment wrapText="1"/>
    </xf>
    <xf numFmtId="0" fontId="0" fillId="0" borderId="18" xfId="0" applyBorder="1" applyAlignment="1">
      <alignment wrapText="1"/>
    </xf>
    <xf numFmtId="0" fontId="3" fillId="3" borderId="19" xfId="0" applyFont="1" applyFill="1" applyBorder="1" applyAlignment="1">
      <alignment vertical="top" wrapText="1"/>
    </xf>
    <xf numFmtId="0" fontId="0" fillId="3" borderId="16" xfId="0" applyFill="1" applyBorder="1" applyAlignment="1">
      <alignment vertical="top" wrapText="1"/>
    </xf>
    <xf numFmtId="0" fontId="0" fillId="3" borderId="17" xfId="0" applyFill="1" applyBorder="1" applyAlignment="1">
      <alignment vertical="top" wrapText="1"/>
    </xf>
    <xf numFmtId="0" fontId="0" fillId="3" borderId="14" xfId="0" applyFill="1" applyBorder="1" applyAlignment="1">
      <alignment vertical="top" wrapText="1"/>
    </xf>
    <xf numFmtId="0" fontId="0" fillId="3" borderId="0" xfId="0" applyFill="1" applyAlignment="1">
      <alignment vertical="top" wrapText="1"/>
    </xf>
    <xf numFmtId="0" fontId="0" fillId="3" borderId="15" xfId="0" applyFill="1" applyBorder="1" applyAlignment="1">
      <alignment vertical="top" wrapText="1"/>
    </xf>
    <xf numFmtId="0" fontId="0" fillId="3" borderId="20" xfId="0" applyFill="1" applyBorder="1" applyAlignment="1">
      <alignment vertical="top" wrapText="1"/>
    </xf>
    <xf numFmtId="0" fontId="0" fillId="3" borderId="9" xfId="0" applyFill="1" applyBorder="1" applyAlignment="1">
      <alignment vertical="top" wrapText="1"/>
    </xf>
    <xf numFmtId="0" fontId="0" fillId="3" borderId="18" xfId="0" applyFill="1" applyBorder="1" applyAlignment="1">
      <alignment vertical="top" wrapText="1"/>
    </xf>
    <xf numFmtId="0" fontId="22" fillId="0" borderId="0" xfId="0" applyFont="1" applyAlignment="1">
      <alignment horizontal="center"/>
    </xf>
    <xf numFmtId="0" fontId="2" fillId="0" borderId="2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10" fontId="41" fillId="3" borderId="0" xfId="25" applyNumberFormat="1" applyFont="1" applyFill="1" applyAlignment="1">
      <alignment horizontal="left" vertical="top"/>
    </xf>
    <xf numFmtId="0" fontId="22" fillId="3" borderId="21"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41" fillId="3" borderId="0" xfId="0" applyFont="1" applyFill="1" applyAlignment="1">
      <alignment horizontal="left" vertical="top" wrapText="1"/>
    </xf>
    <xf numFmtId="0" fontId="2" fillId="3" borderId="2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2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3" borderId="0" xfId="0" applyFont="1" applyFill="1" applyAlignment="1">
      <alignment horizontal="center"/>
    </xf>
    <xf numFmtId="0" fontId="3" fillId="0" borderId="2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41" fillId="0" borderId="0" xfId="0" applyFont="1" applyAlignment="1">
      <alignment wrapText="1"/>
    </xf>
    <xf numFmtId="0" fontId="3" fillId="0" borderId="19" xfId="0" applyFont="1" applyBorder="1" applyAlignment="1">
      <alignment horizontal="justify" vertical="top" wrapText="1"/>
    </xf>
    <xf numFmtId="0" fontId="3" fillId="0" borderId="16" xfId="0" applyFont="1" applyBorder="1" applyAlignment="1">
      <alignment horizontal="justify" vertical="top" wrapText="1"/>
    </xf>
    <xf numFmtId="0" fontId="3" fillId="0" borderId="17" xfId="0" applyFont="1" applyBorder="1" applyAlignment="1">
      <alignment horizontal="justify" vertical="top" wrapText="1"/>
    </xf>
    <xf numFmtId="0" fontId="3" fillId="0" borderId="20" xfId="0" applyFont="1" applyBorder="1" applyAlignment="1">
      <alignment horizontal="justify" vertical="top" wrapText="1"/>
    </xf>
    <xf numFmtId="0" fontId="3" fillId="0" borderId="9" xfId="0" applyFont="1" applyBorder="1" applyAlignment="1">
      <alignment horizontal="justify" vertical="top" wrapText="1"/>
    </xf>
    <xf numFmtId="0" fontId="3" fillId="0" borderId="18" xfId="0" applyFont="1" applyBorder="1" applyAlignment="1">
      <alignment horizontal="justify" vertical="top" wrapText="1"/>
    </xf>
    <xf numFmtId="0" fontId="2" fillId="0" borderId="0" xfId="0" applyFont="1" applyAlignment="1">
      <alignment horizontal="center" wrapText="1"/>
    </xf>
    <xf numFmtId="0" fontId="5" fillId="0" borderId="0" xfId="0" applyFont="1" applyAlignment="1">
      <alignment horizontal="left" wrapText="1"/>
    </xf>
    <xf numFmtId="0" fontId="3" fillId="0" borderId="0" xfId="17" applyFont="1" applyAlignment="1">
      <alignment horizontal="left" wrapText="1"/>
    </xf>
    <xf numFmtId="0" fontId="3" fillId="0" borderId="0" xfId="17" applyFont="1" applyAlignment="1">
      <alignment horizontal="left"/>
    </xf>
    <xf numFmtId="0" fontId="38" fillId="0" borderId="19" xfId="0" applyFont="1" applyBorder="1" applyAlignment="1">
      <alignment horizontal="justify" vertical="center" wrapText="1"/>
    </xf>
    <xf numFmtId="0" fontId="2" fillId="0" borderId="0" xfId="12" applyFont="1" applyAlignment="1">
      <alignment horizontal="center"/>
    </xf>
    <xf numFmtId="166" fontId="5" fillId="0" borderId="0" xfId="4" applyNumberFormat="1" applyFont="1" applyFill="1" applyAlignment="1">
      <alignment horizontal="left" indent="1"/>
    </xf>
    <xf numFmtId="166" fontId="5" fillId="0" borderId="0" xfId="4" applyNumberFormat="1" applyFont="1" applyFill="1" applyAlignment="1">
      <alignment horizontal="left"/>
    </xf>
    <xf numFmtId="0" fontId="3" fillId="0" borderId="0" xfId="0" applyFont="1" applyAlignment="1" applyProtection="1">
      <alignment wrapText="1"/>
      <protection locked="0"/>
    </xf>
    <xf numFmtId="0" fontId="38" fillId="0" borderId="21" xfId="0" applyFont="1" applyBorder="1" applyAlignment="1">
      <alignment horizontal="justify" vertical="top" wrapText="1"/>
    </xf>
    <xf numFmtId="0" fontId="38" fillId="0" borderId="12" xfId="0" applyFont="1" applyBorder="1" applyAlignment="1">
      <alignment horizontal="justify" vertical="top" wrapText="1"/>
    </xf>
    <xf numFmtId="0" fontId="38" fillId="0" borderId="13" xfId="0" applyFont="1" applyBorder="1" applyAlignment="1">
      <alignment horizontal="justify" vertical="top" wrapText="1"/>
    </xf>
    <xf numFmtId="169" fontId="8" fillId="0" borderId="21" xfId="0" applyNumberFormat="1" applyFont="1" applyBorder="1" applyAlignment="1">
      <alignment horizontal="justify" vertical="top" wrapText="1"/>
    </xf>
    <xf numFmtId="169" fontId="8" fillId="0" borderId="12" xfId="0" applyNumberFormat="1" applyFont="1" applyBorder="1" applyAlignment="1">
      <alignment horizontal="justify" vertical="top" wrapText="1"/>
    </xf>
    <xf numFmtId="169" fontId="8" fillId="0" borderId="13" xfId="0" applyNumberFormat="1" applyFont="1" applyBorder="1" applyAlignment="1">
      <alignment horizontal="justify" vertical="top" wrapText="1"/>
    </xf>
    <xf numFmtId="0" fontId="2" fillId="3" borderId="24" xfId="0" applyFont="1" applyFill="1" applyBorder="1" applyAlignment="1">
      <alignment horizontal="center"/>
    </xf>
    <xf numFmtId="0" fontId="38" fillId="0" borderId="21" xfId="0" applyFont="1" applyBorder="1" applyAlignment="1">
      <alignment horizontal="justify" vertical="center" wrapText="1"/>
    </xf>
    <xf numFmtId="0" fontId="38" fillId="0" borderId="12" xfId="0" applyFont="1" applyBorder="1" applyAlignment="1">
      <alignment horizontal="justify" vertical="center" wrapText="1"/>
    </xf>
    <xf numFmtId="0" fontId="38" fillId="0" borderId="13" xfId="0" applyFont="1" applyBorder="1" applyAlignment="1">
      <alignment horizontal="justify" vertical="center" wrapText="1"/>
    </xf>
    <xf numFmtId="166" fontId="8" fillId="0" borderId="0" xfId="4" applyNumberFormat="1" applyFont="1" applyFill="1" applyAlignment="1">
      <alignment horizontal="center"/>
    </xf>
    <xf numFmtId="0" fontId="38" fillId="0" borderId="21"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3" fillId="0" borderId="21" xfId="15" applyFont="1" applyBorder="1" applyAlignment="1">
      <alignment horizontal="left" vertical="top" wrapText="1"/>
    </xf>
    <xf numFmtId="0" fontId="3" fillId="0" borderId="12" xfId="15" applyFont="1" applyBorder="1" applyAlignment="1">
      <alignment horizontal="left" vertical="top" wrapText="1"/>
    </xf>
    <xf numFmtId="0" fontId="3" fillId="0" borderId="13" xfId="15" applyFont="1" applyBorder="1" applyAlignment="1">
      <alignment horizontal="left" vertical="top" wrapText="1"/>
    </xf>
    <xf numFmtId="41" fontId="3" fillId="0" borderId="0" xfId="20" applyNumberFormat="1" applyFont="1" applyAlignment="1">
      <alignment horizontal="left"/>
    </xf>
    <xf numFmtId="41" fontId="2" fillId="0" borderId="0" xfId="20" applyNumberFormat="1" applyFont="1" applyAlignment="1">
      <alignment horizontal="center"/>
    </xf>
    <xf numFmtId="169" fontId="2" fillId="0" borderId="0" xfId="16" applyFont="1" applyAlignment="1">
      <alignment horizontal="center"/>
    </xf>
    <xf numFmtId="0" fontId="28" fillId="0" borderId="2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40" fillId="0" borderId="14" xfId="12" applyFont="1" applyBorder="1" applyAlignment="1">
      <alignment horizontal="left" vertical="center" wrapText="1"/>
    </xf>
    <xf numFmtId="0" fontId="40" fillId="0" borderId="0" xfId="12" applyFont="1" applyAlignment="1">
      <alignment horizontal="left" vertical="center" wrapText="1"/>
    </xf>
    <xf numFmtId="0" fontId="40" fillId="0" borderId="15" xfId="12" applyFont="1" applyBorder="1" applyAlignment="1">
      <alignment horizontal="left" vertical="center" wrapText="1"/>
    </xf>
    <xf numFmtId="0" fontId="40" fillId="0" borderId="20" xfId="12" applyFont="1" applyBorder="1" applyAlignment="1">
      <alignment horizontal="left" vertical="center" wrapText="1"/>
    </xf>
    <xf numFmtId="0" fontId="40" fillId="0" borderId="9" xfId="12" applyFont="1" applyBorder="1" applyAlignment="1">
      <alignment horizontal="left" vertical="center" wrapText="1"/>
    </xf>
    <xf numFmtId="0" fontId="40" fillId="0" borderId="18" xfId="12" applyFont="1" applyBorder="1" applyAlignment="1">
      <alignment horizontal="left" vertical="center" wrapText="1"/>
    </xf>
    <xf numFmtId="169" fontId="8" fillId="0" borderId="0" xfId="16" applyFont="1" applyAlignment="1">
      <alignment horizontal="center"/>
    </xf>
    <xf numFmtId="173" fontId="8" fillId="0" borderId="0" xfId="16" applyNumberFormat="1" applyFont="1" applyAlignment="1">
      <alignment horizontal="center"/>
    </xf>
    <xf numFmtId="169" fontId="5" fillId="0" borderId="22" xfId="16" applyFont="1" applyBorder="1" applyAlignment="1">
      <alignment horizontal="center"/>
    </xf>
    <xf numFmtId="169" fontId="5" fillId="0" borderId="1" xfId="16" applyFont="1" applyBorder="1" applyAlignment="1">
      <alignment horizontal="center"/>
    </xf>
    <xf numFmtId="169" fontId="1" fillId="0" borderId="21" xfId="16" applyFont="1" applyBorder="1" applyAlignment="1">
      <alignment horizontal="left" vertical="top" wrapText="1"/>
    </xf>
    <xf numFmtId="169" fontId="1" fillId="0" borderId="12" xfId="16" applyFont="1" applyBorder="1" applyAlignment="1">
      <alignment horizontal="left" vertical="top" wrapText="1"/>
    </xf>
    <xf numFmtId="169" fontId="1" fillId="0" borderId="13" xfId="16" applyFont="1" applyBorder="1" applyAlignment="1">
      <alignment horizontal="left" vertical="top" wrapText="1"/>
    </xf>
    <xf numFmtId="0" fontId="23" fillId="0" borderId="21" xfId="12" applyFont="1" applyBorder="1" applyAlignment="1">
      <alignment horizontal="left" vertical="center" wrapText="1"/>
    </xf>
    <xf numFmtId="0" fontId="23" fillId="0" borderId="12" xfId="12" applyFont="1" applyBorder="1" applyAlignment="1">
      <alignment horizontal="left" vertical="center" wrapText="1"/>
    </xf>
    <xf numFmtId="0" fontId="23" fillId="0" borderId="13" xfId="12" applyFont="1" applyBorder="1" applyAlignment="1">
      <alignment horizontal="left" vertical="center" wrapText="1"/>
    </xf>
    <xf numFmtId="169" fontId="2" fillId="0" borderId="21" xfId="24" applyFont="1" applyBorder="1" applyAlignment="1">
      <alignment horizontal="left" vertical="top" wrapText="1"/>
    </xf>
    <xf numFmtId="169" fontId="2" fillId="0" borderId="12" xfId="24" applyFont="1" applyBorder="1" applyAlignment="1">
      <alignment horizontal="left" vertical="top" wrapText="1"/>
    </xf>
    <xf numFmtId="169" fontId="2" fillId="0" borderId="13" xfId="24" applyFont="1" applyBorder="1" applyAlignment="1">
      <alignment horizontal="left" vertical="top" wrapText="1"/>
    </xf>
    <xf numFmtId="0" fontId="38" fillId="0" borderId="19" xfId="12" applyFont="1" applyBorder="1" applyAlignment="1">
      <alignment horizontal="left" vertical="center" wrapText="1"/>
    </xf>
    <xf numFmtId="0" fontId="38" fillId="0" borderId="16" xfId="12" applyFont="1" applyBorder="1" applyAlignment="1">
      <alignment horizontal="left" vertical="center" wrapText="1"/>
    </xf>
    <xf numFmtId="0" fontId="38" fillId="0" borderId="17" xfId="12" applyFont="1" applyBorder="1" applyAlignment="1">
      <alignment horizontal="left" vertical="center" wrapText="1"/>
    </xf>
    <xf numFmtId="169" fontId="5" fillId="0" borderId="0" xfId="24" applyFont="1" applyAlignment="1">
      <alignment horizontal="left" wrapText="1"/>
    </xf>
    <xf numFmtId="0" fontId="38" fillId="0" borderId="19" xfId="12" applyFont="1" applyBorder="1" applyAlignment="1">
      <alignment horizontal="left" wrapText="1"/>
    </xf>
    <xf numFmtId="0" fontId="38" fillId="0" borderId="16" xfId="12" applyFont="1" applyBorder="1" applyAlignment="1">
      <alignment horizontal="left" wrapText="1"/>
    </xf>
    <xf numFmtId="0" fontId="38" fillId="0" borderId="17" xfId="12" applyFont="1" applyBorder="1" applyAlignment="1">
      <alignment horizontal="left" wrapText="1"/>
    </xf>
    <xf numFmtId="0" fontId="40" fillId="0" borderId="20" xfId="12" applyFont="1" applyBorder="1" applyAlignment="1">
      <alignment horizontal="left" vertical="top" wrapText="1"/>
    </xf>
    <xf numFmtId="0" fontId="40" fillId="0" borderId="9" xfId="12" applyFont="1" applyBorder="1" applyAlignment="1">
      <alignment horizontal="left" vertical="top" wrapText="1"/>
    </xf>
    <xf numFmtId="0" fontId="40" fillId="0" borderId="18" xfId="12" applyFont="1" applyBorder="1" applyAlignment="1">
      <alignment horizontal="left" vertical="top" wrapText="1"/>
    </xf>
    <xf numFmtId="0" fontId="38" fillId="0" borderId="21" xfId="0" applyFont="1" applyBorder="1" applyAlignment="1">
      <alignment horizontal="left" vertical="top" wrapText="1" readingOrder="1"/>
    </xf>
    <xf numFmtId="0" fontId="38" fillId="0" borderId="12" xfId="0" applyFont="1" applyBorder="1" applyAlignment="1">
      <alignment horizontal="left" vertical="top" wrapText="1" readingOrder="1"/>
    </xf>
    <xf numFmtId="0" fontId="38" fillId="0" borderId="13" xfId="0" applyFont="1" applyBorder="1" applyAlignment="1">
      <alignment horizontal="left" vertical="top" wrapText="1" readingOrder="1"/>
    </xf>
    <xf numFmtId="37" fontId="1" fillId="0" borderId="1" xfId="0" quotePrefix="1" applyNumberFormat="1" applyFont="1" applyBorder="1" applyAlignment="1">
      <alignment horizontal="center"/>
    </xf>
    <xf numFmtId="37" fontId="1" fillId="0" borderId="1" xfId="0" applyNumberFormat="1" applyFont="1" applyBorder="1" applyAlignment="1">
      <alignment horizontal="center"/>
    </xf>
    <xf numFmtId="37" fontId="1" fillId="0" borderId="0" xfId="0" applyNumberFormat="1" applyFont="1" applyAlignment="1">
      <alignment horizontal="center" vertical="top" wrapText="1"/>
    </xf>
    <xf numFmtId="0" fontId="5" fillId="3" borderId="0" xfId="0" applyFont="1" applyFill="1" applyAlignment="1">
      <alignment horizontal="left" wrapText="1" indent="1"/>
    </xf>
    <xf numFmtId="0" fontId="0" fillId="0" borderId="0" xfId="0" applyFill="1" applyAlignment="1">
      <alignment wrapText="1"/>
    </xf>
  </cellXfs>
  <cellStyles count="28">
    <cellStyle name="Comma" xfId="1" builtinId="3"/>
    <cellStyle name="Comma [0]" xfId="2" builtinId="6"/>
    <cellStyle name="Comma [0] 2" xfId="3" xr:uid="{00000000-0005-0000-0000-000002000000}"/>
    <cellStyle name="Comma 3" xfId="4" xr:uid="{00000000-0005-0000-0000-000003000000}"/>
    <cellStyle name="Currency" xfId="5" builtinId="4"/>
    <cellStyle name="Currency [0]" xfId="6" builtinId="7"/>
    <cellStyle name="Currency [0] 2" xfId="7" xr:uid="{00000000-0005-0000-0000-000006000000}"/>
    <cellStyle name="Currency 2" xfId="8" xr:uid="{00000000-0005-0000-0000-000007000000}"/>
    <cellStyle name="Currency 3" xfId="9" xr:uid="{00000000-0005-0000-0000-000008000000}"/>
    <cellStyle name="Currency 4" xfId="10" xr:uid="{00000000-0005-0000-0000-000009000000}"/>
    <cellStyle name="Currency 5" xfId="11" xr:uid="{00000000-0005-0000-0000-00000A000000}"/>
    <cellStyle name="Normal" xfId="0" builtinId="0"/>
    <cellStyle name="Normal 2" xfId="12" xr:uid="{00000000-0005-0000-0000-00000C000000}"/>
    <cellStyle name="Normal 3" xfId="13" xr:uid="{00000000-0005-0000-0000-00000D000000}"/>
    <cellStyle name="Normal_35-B-68" xfId="14" xr:uid="{00000000-0005-0000-0000-00000E000000}"/>
    <cellStyle name="Normal_35C75" xfId="15" xr:uid="{00000000-0005-0000-0000-00000F000000}"/>
    <cellStyle name="Normal_A" xfId="16" xr:uid="{00000000-0005-0000-0000-000010000000}"/>
    <cellStyle name="Normal_Budget to Actual IS's" xfId="17" xr:uid="{00000000-0005-0000-0000-000011000000}"/>
    <cellStyle name="Normal_Budget to Actual IS's 2" xfId="18" xr:uid="{00000000-0005-0000-0000-000012000000}"/>
    <cellStyle name="Normal_CPBUDGET" xfId="19" xr:uid="{00000000-0005-0000-0000-000013000000}"/>
    <cellStyle name="Normal_EFCP" xfId="20" xr:uid="{00000000-0005-0000-0000-000014000000}"/>
    <cellStyle name="Normal_EFWSIS" xfId="21" xr:uid="{00000000-0005-0000-0000-000015000000}"/>
    <cellStyle name="Normal_Sheet2" xfId="22" xr:uid="{00000000-0005-0000-0000-000016000000}"/>
    <cellStyle name="Normal_Sheet3" xfId="23" xr:uid="{00000000-0005-0000-0000-000017000000}"/>
    <cellStyle name="Normal_TAXREC" xfId="24" xr:uid="{00000000-0005-0000-0000-000018000000}"/>
    <cellStyle name="Percent" xfId="25" builtinId="5"/>
    <cellStyle name="Percent 2" xfId="26" xr:uid="{00000000-0005-0000-0000-00001A000000}"/>
    <cellStyle name="Percent 3" xfId="27" xr:uid="{00000000-0005-0000-0000-00001B000000}"/>
  </cellStyles>
  <dxfs count="0"/>
  <tableStyles count="0" defaultTableStyle="TableStyleMedium9" defaultPivotStyle="PivotStyleLight16"/>
  <colors>
    <mruColors>
      <color rgb="FF00FF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keLorentz\Desktop\Dogwood\2%20Dogwood%20WIP\2023%20Marked%20Up%20Files\FY23%20City%20of%20Dogwood%20Governmental%20Activities%20Conversion%20Worksheet%20with%20JWL%20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nctreasurer.com/Nayak%20Preeta/Illustratives%202017/2017%20Test%20LGERS%20JEs/Joe%202017%20LGERS%20JE%20Template%20Dogwood%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Conversion Worksheet"/>
      <sheetName val="A. Revenue by function"/>
      <sheetName val="B.  Property Taxes"/>
      <sheetName val="C. Other Revenues"/>
      <sheetName val="D. Depreciation"/>
      <sheetName val="E. Capital Outlay"/>
      <sheetName val="F.  Other Cap Asset Entries"/>
      <sheetName val="G. Debt Service"/>
      <sheetName val="H. Debt Issues"/>
      <sheetName val="I.  Other Asset Entries"/>
      <sheetName val="J. Other Liability &amp; Expenses"/>
      <sheetName val="K.1  Int. Service Fd Allocation"/>
      <sheetName val="K.2  Int. Service Fd Alloca"/>
      <sheetName val="K.3 Int. Service Fd Alloca"/>
      <sheetName val="L. Eliminations-Consolidations"/>
      <sheetName val="M. Net Position Calculation"/>
      <sheetName val="N.1a LGERS Data CY"/>
      <sheetName val="N.1b LGERS Data PY"/>
      <sheetName val="N.1a 2019 summary"/>
      <sheetName val="N.1a 2018 summary"/>
      <sheetName val="N.1 GASB 68 LGERS"/>
      <sheetName val="N.1b 2017 summary"/>
      <sheetName val="N.1c LGERS Contributions FY2018"/>
      <sheetName val="N.1c LGERS Contributions FY2017"/>
      <sheetName val="N.2 GASB 68 FRSWPF"/>
      <sheetName val="O. GASB 73 LEO Entries"/>
      <sheetName val="P. GASB 75 OPEB 1 Entries"/>
      <sheetName val="P. GASB 75 OPEB 2 Entries "/>
      <sheetName val="P. GASB 75 3 OPEB Entries "/>
      <sheetName val="Q. GASB 87 Lease Entries"/>
      <sheetName val="R. GASB 96 Subscription Entries"/>
    </sheetNames>
    <sheetDataSet>
      <sheetData sheetId="0"/>
      <sheetData sheetId="1">
        <row r="8">
          <cell r="AZ8">
            <v>631843</v>
          </cell>
        </row>
        <row r="9">
          <cell r="AZ9">
            <v>57996</v>
          </cell>
        </row>
        <row r="13">
          <cell r="AZ13">
            <v>12949</v>
          </cell>
        </row>
        <row r="20">
          <cell r="AZ20">
            <v>127</v>
          </cell>
        </row>
        <row r="22">
          <cell r="AZ22">
            <v>3000</v>
          </cell>
        </row>
        <row r="26">
          <cell r="AZ26">
            <v>97300</v>
          </cell>
        </row>
        <row r="27">
          <cell r="AZ27">
            <v>3700</v>
          </cell>
        </row>
        <row r="28">
          <cell r="AZ28">
            <v>100</v>
          </cell>
        </row>
        <row r="30">
          <cell r="AZ30">
            <v>3945</v>
          </cell>
        </row>
        <row r="33">
          <cell r="AZ33">
            <v>27000</v>
          </cell>
        </row>
        <row r="37">
          <cell r="AZ37">
            <v>95797</v>
          </cell>
        </row>
        <row r="38">
          <cell r="BA38">
            <v>37089</v>
          </cell>
        </row>
        <row r="39">
          <cell r="AZ39">
            <v>72338</v>
          </cell>
        </row>
        <row r="40">
          <cell r="BA40">
            <v>21535</v>
          </cell>
        </row>
        <row r="41">
          <cell r="AZ41">
            <v>176770</v>
          </cell>
        </row>
        <row r="45">
          <cell r="AZ45">
            <v>693000</v>
          </cell>
        </row>
        <row r="47">
          <cell r="AZ47">
            <v>2598581</v>
          </cell>
          <cell r="BA47" t="str">
            <v xml:space="preserve"> </v>
          </cell>
        </row>
        <row r="48">
          <cell r="AZ48"/>
          <cell r="BA48"/>
        </row>
        <row r="49">
          <cell r="AZ49"/>
          <cell r="BA49"/>
        </row>
        <row r="50">
          <cell r="AZ50" t="str">
            <v xml:space="preserve"> </v>
          </cell>
          <cell r="BA50">
            <v>1104497</v>
          </cell>
        </row>
        <row r="51">
          <cell r="AZ51">
            <v>599494</v>
          </cell>
          <cell r="BA51" t="str">
            <v xml:space="preserve"> </v>
          </cell>
        </row>
        <row r="52">
          <cell r="AZ52"/>
          <cell r="BA52"/>
        </row>
        <row r="53">
          <cell r="AZ53"/>
          <cell r="BA53"/>
        </row>
        <row r="54">
          <cell r="AZ54" t="str">
            <v xml:space="preserve"> </v>
          </cell>
          <cell r="BA54">
            <v>436461</v>
          </cell>
        </row>
        <row r="55">
          <cell r="AZ55">
            <v>823666</v>
          </cell>
          <cell r="BA55" t="str">
            <v xml:space="preserve"> </v>
          </cell>
        </row>
        <row r="56">
          <cell r="AZ56"/>
          <cell r="BA56"/>
        </row>
        <row r="57">
          <cell r="AZ57"/>
          <cell r="BA57"/>
        </row>
        <row r="58">
          <cell r="AZ58" t="str">
            <v xml:space="preserve"> </v>
          </cell>
          <cell r="BA58">
            <v>539137</v>
          </cell>
        </row>
        <row r="59">
          <cell r="AZ59">
            <v>432551</v>
          </cell>
          <cell r="BA59" t="str">
            <v xml:space="preserve"> </v>
          </cell>
        </row>
        <row r="60">
          <cell r="AZ60"/>
          <cell r="BA60"/>
        </row>
        <row r="61">
          <cell r="AZ61"/>
          <cell r="BA61"/>
        </row>
        <row r="62">
          <cell r="AZ62" t="str">
            <v xml:space="preserve"> </v>
          </cell>
          <cell r="BA62">
            <v>300370</v>
          </cell>
        </row>
        <row r="63">
          <cell r="AZ63">
            <v>2457863</v>
          </cell>
          <cell r="BA63" t="str">
            <v xml:space="preserve"> </v>
          </cell>
        </row>
        <row r="64">
          <cell r="AZ64"/>
          <cell r="BA64"/>
        </row>
        <row r="65">
          <cell r="AZ65"/>
          <cell r="BA65"/>
        </row>
        <row r="66">
          <cell r="AZ66" t="str">
            <v xml:space="preserve"> </v>
          </cell>
          <cell r="BA66">
            <v>1055904</v>
          </cell>
        </row>
        <row r="67">
          <cell r="AZ67">
            <v>5000</v>
          </cell>
          <cell r="BA67" t="str">
            <v xml:space="preserve"> </v>
          </cell>
        </row>
        <row r="68">
          <cell r="AZ68"/>
          <cell r="BA68"/>
        </row>
        <row r="69">
          <cell r="AZ69"/>
          <cell r="BA69"/>
        </row>
        <row r="70">
          <cell r="AZ70" t="str">
            <v xml:space="preserve"> </v>
          </cell>
          <cell r="BA70">
            <v>245</v>
          </cell>
        </row>
        <row r="71">
          <cell r="AZ71">
            <v>30969</v>
          </cell>
          <cell r="BA71" t="str">
            <v xml:space="preserve"> </v>
          </cell>
        </row>
        <row r="72">
          <cell r="AZ72"/>
          <cell r="BA72">
            <v>27200</v>
          </cell>
        </row>
        <row r="73">
          <cell r="AZ73" t="str">
            <v xml:space="preserve"> </v>
          </cell>
          <cell r="BA73">
            <v>0</v>
          </cell>
        </row>
        <row r="74">
          <cell r="AZ74"/>
          <cell r="BA74"/>
        </row>
        <row r="97">
          <cell r="BA97">
            <v>128910</v>
          </cell>
        </row>
        <row r="103">
          <cell r="BA103">
            <v>6625</v>
          </cell>
        </row>
        <row r="115">
          <cell r="BA115">
            <v>2489</v>
          </cell>
        </row>
        <row r="174">
          <cell r="BA174">
            <v>4084</v>
          </cell>
        </row>
        <row r="175">
          <cell r="BA175">
            <v>5415</v>
          </cell>
        </row>
        <row r="176">
          <cell r="BA176">
            <v>53912</v>
          </cell>
        </row>
        <row r="177">
          <cell r="BA177">
            <v>25056</v>
          </cell>
        </row>
        <row r="178">
          <cell r="BA178">
            <v>133379</v>
          </cell>
        </row>
        <row r="179">
          <cell r="BA179">
            <v>4295</v>
          </cell>
        </row>
        <row r="202">
          <cell r="AY202">
            <v>33727</v>
          </cell>
        </row>
        <row r="203">
          <cell r="AY203">
            <v>0</v>
          </cell>
        </row>
        <row r="204">
          <cell r="AY204">
            <v>0</v>
          </cell>
        </row>
        <row r="207">
          <cell r="AY207">
            <v>16125</v>
          </cell>
        </row>
        <row r="208">
          <cell r="AY208">
            <v>918786</v>
          </cell>
        </row>
        <row r="210">
          <cell r="AY210">
            <v>0</v>
          </cell>
        </row>
        <row r="213">
          <cell r="AY213">
            <v>0</v>
          </cell>
        </row>
        <row r="214">
          <cell r="AY214">
            <v>132457</v>
          </cell>
        </row>
        <row r="215">
          <cell r="AY215">
            <v>0</v>
          </cell>
        </row>
        <row r="218">
          <cell r="AY218">
            <v>0</v>
          </cell>
        </row>
        <row r="219">
          <cell r="AY219">
            <v>88402</v>
          </cell>
        </row>
        <row r="220">
          <cell r="AY220">
            <v>26598</v>
          </cell>
        </row>
        <row r="223">
          <cell r="AY223">
            <v>0</v>
          </cell>
        </row>
        <row r="224">
          <cell r="AY224">
            <v>3000</v>
          </cell>
        </row>
        <row r="225">
          <cell r="AY225">
            <v>0</v>
          </cell>
        </row>
        <row r="228">
          <cell r="AY228">
            <v>26843</v>
          </cell>
        </row>
        <row r="229">
          <cell r="AY229">
            <v>412</v>
          </cell>
        </row>
        <row r="230">
          <cell r="AY230">
            <v>205000</v>
          </cell>
        </row>
        <row r="244">
          <cell r="AX244">
            <v>658660</v>
          </cell>
        </row>
        <row r="254">
          <cell r="AX254">
            <v>1368258</v>
          </cell>
        </row>
        <row r="264">
          <cell r="AX264">
            <v>515880</v>
          </cell>
        </row>
        <row r="272">
          <cell r="AX272">
            <v>117218</v>
          </cell>
        </row>
        <row r="280">
          <cell r="AX280">
            <v>280111</v>
          </cell>
        </row>
        <row r="288">
          <cell r="AX288">
            <v>78989</v>
          </cell>
        </row>
        <row r="317">
          <cell r="AX317">
            <v>8818</v>
          </cell>
        </row>
      </sheetData>
      <sheetData sheetId="2"/>
      <sheetData sheetId="3"/>
      <sheetData sheetId="4"/>
      <sheetData sheetId="5">
        <row r="53">
          <cell r="A53" t="str">
            <v>D.1</v>
          </cell>
        </row>
      </sheetData>
      <sheetData sheetId="6">
        <row r="51">
          <cell r="D51" t="str">
            <v>E.1</v>
          </cell>
        </row>
      </sheetData>
      <sheetData sheetId="7">
        <row r="214">
          <cell r="D214" t="str">
            <v>F.1</v>
          </cell>
        </row>
      </sheetData>
      <sheetData sheetId="8">
        <row r="47">
          <cell r="D47" t="str">
            <v>G.1</v>
          </cell>
        </row>
      </sheetData>
      <sheetData sheetId="9">
        <row r="77">
          <cell r="D77" t="str">
            <v>H.1</v>
          </cell>
        </row>
      </sheetData>
      <sheetData sheetId="10"/>
      <sheetData sheetId="11"/>
      <sheetData sheetId="12"/>
      <sheetData sheetId="13"/>
      <sheetData sheetId="14"/>
      <sheetData sheetId="15">
        <row r="224">
          <cell r="A224" t="str">
            <v>L.6</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WNetPos"/>
      <sheetName val="2-GWStmtAct"/>
      <sheetName val="3-GASB34GovtFundsBS"/>
      <sheetName val="4-GASB34GovtFundsIS"/>
      <sheetName val="4-Recon Change Net Pos"/>
      <sheetName val="5-GASB34GovtFundsBudget"/>
      <sheetName val="6-Net Pos-Prop"/>
      <sheetName val="7-Rev, exp-Prop"/>
      <sheetName val="8-Cash Flow-Prop"/>
    </sheetNames>
    <sheetDataSet>
      <sheetData sheetId="0">
        <row r="30">
          <cell r="A30" t="str">
            <v>Pension deferrals</v>
          </cell>
        </row>
      </sheetData>
      <sheetData sheetId="1"/>
      <sheetData sheetId="2"/>
      <sheetData sheetId="3"/>
      <sheetData sheetId="4"/>
      <sheetData sheetId="5"/>
      <sheetData sheetId="6">
        <row r="12">
          <cell r="D12">
            <v>239245</v>
          </cell>
        </row>
        <row r="16">
          <cell r="D16">
            <v>7195</v>
          </cell>
        </row>
      </sheetData>
      <sheetData sheetId="7">
        <row r="2">
          <cell r="A2" t="str">
            <v>City of Dogwood</v>
          </cell>
          <cell r="B2"/>
          <cell r="C2"/>
          <cell r="D2"/>
          <cell r="E2"/>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4"/>
  <sheetViews>
    <sheetView workbookViewId="0">
      <selection activeCell="H74" sqref="H74"/>
    </sheetView>
  </sheetViews>
  <sheetFormatPr defaultColWidth="9.140625" defaultRowHeight="12.75" x14ac:dyDescent="0.2"/>
  <cols>
    <col min="1" max="1" width="37.5703125" customWidth="1"/>
    <col min="2" max="2" width="13.5703125" customWidth="1"/>
    <col min="3" max="3" width="1.28515625" customWidth="1"/>
    <col min="4" max="4" width="13.5703125" customWidth="1"/>
    <col min="5" max="5" width="1.28515625" customWidth="1"/>
    <col min="6" max="6" width="13.5703125" customWidth="1"/>
    <col min="7" max="7" width="1.28515625" customWidth="1"/>
    <col min="8" max="8" width="15.7109375" customWidth="1"/>
    <col min="10" max="11" width="12.42578125" bestFit="1" customWidth="1"/>
    <col min="12" max="12" width="11.28515625" customWidth="1"/>
    <col min="13" max="13" width="10.42578125" bestFit="1" customWidth="1"/>
    <col min="14" max="14" width="10.85546875" customWidth="1"/>
  </cols>
  <sheetData>
    <row r="1" spans="1:13" x14ac:dyDescent="0.2">
      <c r="A1" s="777" t="s">
        <v>136</v>
      </c>
      <c r="B1" s="777"/>
      <c r="C1" s="777"/>
      <c r="D1" s="777"/>
      <c r="E1" s="777"/>
      <c r="F1" s="777"/>
      <c r="G1" s="777"/>
      <c r="H1" s="777"/>
    </row>
    <row r="2" spans="1:13" s="19" customFormat="1" x14ac:dyDescent="0.2">
      <c r="A2" s="777" t="s">
        <v>592</v>
      </c>
      <c r="B2" s="777"/>
      <c r="C2" s="777"/>
      <c r="D2" s="777"/>
      <c r="E2" s="777"/>
      <c r="F2" s="777"/>
      <c r="G2" s="777"/>
      <c r="H2" s="777"/>
    </row>
    <row r="3" spans="1:13" s="19" customFormat="1" x14ac:dyDescent="0.2">
      <c r="A3" s="778" t="s">
        <v>782</v>
      </c>
      <c r="B3" s="777"/>
      <c r="C3" s="777"/>
      <c r="D3" s="777"/>
      <c r="E3" s="777"/>
      <c r="F3" s="777"/>
      <c r="G3" s="777"/>
      <c r="H3" s="777"/>
    </row>
    <row r="4" spans="1:13" s="19" customFormat="1" x14ac:dyDescent="0.2">
      <c r="A4" s="589"/>
      <c r="B4" s="228"/>
      <c r="C4" s="228"/>
      <c r="D4" s="228"/>
      <c r="E4" s="228"/>
      <c r="F4" s="228"/>
      <c r="G4" s="228"/>
      <c r="H4" s="55" t="s">
        <v>435</v>
      </c>
    </row>
    <row r="5" spans="1:13" ht="13.5" thickBot="1" x14ac:dyDescent="0.25">
      <c r="A5" s="619"/>
      <c r="B5" s="620"/>
      <c r="C5" s="620"/>
      <c r="D5" s="619"/>
      <c r="E5" s="619"/>
      <c r="F5" s="619"/>
      <c r="G5" s="619"/>
      <c r="H5" s="619"/>
    </row>
    <row r="6" spans="1:13" x14ac:dyDescent="0.2">
      <c r="A6" s="101"/>
      <c r="B6" s="779" t="s">
        <v>418</v>
      </c>
      <c r="C6" s="779"/>
      <c r="D6" s="779"/>
      <c r="E6" s="779"/>
      <c r="F6" s="779"/>
      <c r="G6" s="228"/>
      <c r="H6" s="101"/>
    </row>
    <row r="7" spans="1:13" ht="26.25" customHeight="1" x14ac:dyDescent="0.2">
      <c r="A7" s="101"/>
      <c r="B7" s="54" t="s">
        <v>423</v>
      </c>
      <c r="C7" s="594"/>
      <c r="D7" s="54" t="s">
        <v>424</v>
      </c>
      <c r="E7" s="594"/>
      <c r="F7" s="54" t="s">
        <v>1</v>
      </c>
      <c r="G7" s="594"/>
      <c r="H7" s="54" t="s">
        <v>505</v>
      </c>
    </row>
    <row r="8" spans="1:13" x14ac:dyDescent="0.2">
      <c r="A8" s="101" t="s">
        <v>2</v>
      </c>
      <c r="B8" s="101"/>
      <c r="C8" s="101"/>
      <c r="D8" s="101"/>
      <c r="E8" s="101"/>
      <c r="F8" s="101"/>
      <c r="G8" s="101"/>
      <c r="H8" s="101"/>
    </row>
    <row r="9" spans="1:13" x14ac:dyDescent="0.2">
      <c r="A9" s="19" t="s">
        <v>42</v>
      </c>
      <c r="B9" s="101"/>
      <c r="C9" s="101"/>
      <c r="D9" s="101"/>
      <c r="E9" s="101"/>
      <c r="F9" s="101"/>
      <c r="G9" s="101"/>
      <c r="H9" s="101"/>
    </row>
    <row r="10" spans="1:13" x14ac:dyDescent="0.2">
      <c r="A10" s="33" t="s">
        <v>3</v>
      </c>
      <c r="B10" s="523">
        <f>'[1]Conversion Worksheet'!$AZ$8</f>
        <v>631843</v>
      </c>
      <c r="C10" s="523"/>
      <c r="D10" s="523">
        <f>'6-Net Pos-Prop'!F11</f>
        <v>178164.25</v>
      </c>
      <c r="E10" s="523"/>
      <c r="F10" s="419">
        <f>SUM(B10:D10)</f>
        <v>810007.25</v>
      </c>
      <c r="G10" s="419"/>
      <c r="H10" s="419">
        <f>80838-H35</f>
        <v>77038</v>
      </c>
      <c r="J10" s="232"/>
    </row>
    <row r="11" spans="1:13" x14ac:dyDescent="0.2">
      <c r="A11" s="33" t="s">
        <v>450</v>
      </c>
      <c r="B11" s="420">
        <v>62235</v>
      </c>
      <c r="C11" s="420"/>
      <c r="D11" s="30">
        <v>0</v>
      </c>
      <c r="E11" s="30"/>
      <c r="F11" s="420">
        <f t="shared" ref="F11:F21" si="0">SUM(B11:D11)</f>
        <v>62235</v>
      </c>
      <c r="G11" s="420"/>
      <c r="H11" s="420">
        <v>0</v>
      </c>
      <c r="K11" s="232"/>
    </row>
    <row r="12" spans="1:13" x14ac:dyDescent="0.2">
      <c r="A12" s="33" t="s">
        <v>452</v>
      </c>
      <c r="B12" s="420">
        <f>'[1]Conversion Worksheet'!$AZ$13</f>
        <v>12949</v>
      </c>
      <c r="C12" s="420"/>
      <c r="D12" s="420">
        <v>0</v>
      </c>
      <c r="E12" s="420"/>
      <c r="F12" s="420">
        <f t="shared" si="0"/>
        <v>12949</v>
      </c>
      <c r="G12" s="420"/>
      <c r="H12" s="420">
        <v>0</v>
      </c>
      <c r="J12" s="420"/>
    </row>
    <row r="13" spans="1:13" x14ac:dyDescent="0.2">
      <c r="A13" s="33" t="s">
        <v>748</v>
      </c>
      <c r="B13" s="420">
        <f>'[1]Conversion Worksheet'!$AZ$20</f>
        <v>127</v>
      </c>
      <c r="C13" s="420"/>
      <c r="D13" s="420">
        <f>'6-Net Pos-Prop'!F15</f>
        <v>868</v>
      </c>
      <c r="E13" s="420"/>
      <c r="F13" s="420">
        <f>SUM(B13:D13)</f>
        <v>995</v>
      </c>
      <c r="G13" s="420"/>
      <c r="H13" s="420">
        <v>0</v>
      </c>
      <c r="J13" s="420"/>
    </row>
    <row r="14" spans="1:13" x14ac:dyDescent="0.2">
      <c r="A14" s="33" t="s">
        <v>451</v>
      </c>
      <c r="B14" s="420">
        <v>10959</v>
      </c>
      <c r="C14" s="420"/>
      <c r="D14" s="420">
        <f>'6-Net Pos-Prop'!F12+'6-Net Pos-Prop'!F13</f>
        <v>314979</v>
      </c>
      <c r="E14" s="420"/>
      <c r="F14" s="420">
        <f t="shared" si="0"/>
        <v>325938</v>
      </c>
      <c r="G14" s="420"/>
      <c r="H14" s="420">
        <v>0</v>
      </c>
      <c r="J14" s="232"/>
    </row>
    <row r="15" spans="1:13" x14ac:dyDescent="0.2">
      <c r="A15" s="33" t="s">
        <v>770</v>
      </c>
      <c r="B15" s="510">
        <v>10552</v>
      </c>
      <c r="C15" s="510"/>
      <c r="D15" s="510">
        <f>'6-Net Pos-Prop'!F14</f>
        <v>13463</v>
      </c>
      <c r="E15" s="510"/>
      <c r="F15" s="510">
        <f t="shared" si="0"/>
        <v>24015</v>
      </c>
      <c r="G15" s="510"/>
      <c r="H15" s="510">
        <v>0</v>
      </c>
      <c r="J15" s="232"/>
    </row>
    <row r="16" spans="1:13" x14ac:dyDescent="0.2">
      <c r="A16" s="33" t="s">
        <v>163</v>
      </c>
      <c r="B16" s="421">
        <f>'[1]Conversion Worksheet'!$AZ$26</f>
        <v>97300</v>
      </c>
      <c r="C16" s="421"/>
      <c r="D16" s="420">
        <v>0</v>
      </c>
      <c r="E16" s="420"/>
      <c r="F16" s="420">
        <f t="shared" si="0"/>
        <v>97300</v>
      </c>
      <c r="G16" s="420"/>
      <c r="H16" s="420">
        <v>0</v>
      </c>
      <c r="M16" s="232"/>
    </row>
    <row r="17" spans="1:13" x14ac:dyDescent="0.2">
      <c r="A17" s="33" t="s">
        <v>447</v>
      </c>
      <c r="B17" s="420">
        <f>'[1]Conversion Worksheet'!$AZ$27</f>
        <v>3700</v>
      </c>
      <c r="C17" s="420"/>
      <c r="D17" s="420">
        <v>0</v>
      </c>
      <c r="E17" s="420"/>
      <c r="F17" s="420">
        <f t="shared" si="0"/>
        <v>3700</v>
      </c>
      <c r="G17" s="420"/>
      <c r="H17" s="420">
        <v>0</v>
      </c>
    </row>
    <row r="18" spans="1:13" x14ac:dyDescent="0.2">
      <c r="A18" s="33" t="s">
        <v>436</v>
      </c>
      <c r="B18" s="421">
        <f>'[1]Conversion Worksheet'!$AZ$22+'[1]Conversion Worksheet'!$AZ$28+'[1]Conversion Worksheet'!$AZ$33</f>
        <v>30100</v>
      </c>
      <c r="C18" s="421"/>
      <c r="D18" s="421">
        <f>-'6-Net Pos-Prop'!F42-'6-Net Pos-Prop'!F54+'6-Net Pos-Prop'!F76</f>
        <v>-30100</v>
      </c>
      <c r="E18" s="421"/>
      <c r="F18" s="420">
        <f t="shared" si="0"/>
        <v>0</v>
      </c>
      <c r="G18" s="420"/>
      <c r="H18" s="420">
        <v>0</v>
      </c>
      <c r="M18" s="232"/>
    </row>
    <row r="19" spans="1:13" x14ac:dyDescent="0.2">
      <c r="A19" s="33" t="s">
        <v>4</v>
      </c>
      <c r="B19" s="420">
        <f>'[1]Conversion Worksheet'!$AZ$30</f>
        <v>3945</v>
      </c>
      <c r="C19" s="420"/>
      <c r="D19" s="421">
        <f>'6-Net Pos-Prop'!F17</f>
        <v>205659</v>
      </c>
      <c r="E19" s="421"/>
      <c r="F19" s="420">
        <f t="shared" si="0"/>
        <v>209604</v>
      </c>
      <c r="G19" s="420"/>
      <c r="H19" s="420">
        <v>89692</v>
      </c>
      <c r="J19" s="232"/>
    </row>
    <row r="20" spans="1:13" x14ac:dyDescent="0.2">
      <c r="A20" s="33" t="s">
        <v>110</v>
      </c>
      <c r="B20" s="422">
        <v>0</v>
      </c>
      <c r="C20" s="422"/>
      <c r="D20" s="422">
        <f>+'[2]6-Net Pos-Prop'!D16</f>
        <v>7195</v>
      </c>
      <c r="E20" s="422"/>
      <c r="F20" s="422">
        <f t="shared" si="0"/>
        <v>7195</v>
      </c>
      <c r="G20" s="422"/>
      <c r="H20" s="422">
        <v>3361</v>
      </c>
    </row>
    <row r="21" spans="1:13" x14ac:dyDescent="0.2">
      <c r="A21" s="33" t="s">
        <v>545</v>
      </c>
      <c r="B21" s="423">
        <f>'[1]Conversion Worksheet'!$AZ$9</f>
        <v>57996</v>
      </c>
      <c r="C21" s="423"/>
      <c r="D21" s="422">
        <f>1658125+73035</f>
        <v>1731160</v>
      </c>
      <c r="E21" s="422"/>
      <c r="F21" s="422">
        <f t="shared" si="0"/>
        <v>1789156</v>
      </c>
      <c r="G21" s="422"/>
      <c r="H21" s="422">
        <v>0</v>
      </c>
      <c r="J21" s="232"/>
      <c r="K21" s="31"/>
    </row>
    <row r="22" spans="1:13" x14ac:dyDescent="0.2">
      <c r="A22" s="4" t="s">
        <v>43</v>
      </c>
      <c r="B22" s="424">
        <f>SUM(B10:B21)</f>
        <v>921706</v>
      </c>
      <c r="C22" s="422"/>
      <c r="D22" s="424">
        <f>SUM(D10:D21)</f>
        <v>2421388.25</v>
      </c>
      <c r="E22" s="422"/>
      <c r="F22" s="424">
        <f>SUM(F10:F21)</f>
        <v>3343094.25</v>
      </c>
      <c r="G22" s="422"/>
      <c r="H22" s="424">
        <f>SUM(H10:H21)</f>
        <v>170091</v>
      </c>
    </row>
    <row r="23" spans="1:13" ht="6.75" customHeight="1" x14ac:dyDescent="0.2">
      <c r="B23" s="420"/>
      <c r="C23" s="420"/>
      <c r="D23" s="420"/>
      <c r="E23" s="420"/>
      <c r="F23" s="420"/>
      <c r="G23" s="420"/>
      <c r="H23" s="420"/>
    </row>
    <row r="24" spans="1:13" x14ac:dyDescent="0.2">
      <c r="A24" s="231" t="s">
        <v>518</v>
      </c>
      <c r="B24" s="422"/>
      <c r="C24" s="422"/>
      <c r="D24" s="422"/>
      <c r="E24" s="422"/>
      <c r="F24" s="422"/>
      <c r="G24" s="422"/>
      <c r="H24" s="420"/>
      <c r="K24" s="19"/>
    </row>
    <row r="25" spans="1:13" x14ac:dyDescent="0.2">
      <c r="A25" s="33" t="s">
        <v>771</v>
      </c>
      <c r="B25" s="511">
        <f>53063.29-10552.41</f>
        <v>42510.880000000005</v>
      </c>
      <c r="C25" s="511"/>
      <c r="D25" s="511">
        <f>'6-Net Pos-Prop'!F23</f>
        <v>44269</v>
      </c>
      <c r="E25" s="511"/>
      <c r="F25" s="510">
        <f>SUM(B25:D25)</f>
        <v>86779.88</v>
      </c>
      <c r="G25" s="510"/>
      <c r="H25" s="510">
        <v>0</v>
      </c>
      <c r="K25" s="19"/>
    </row>
    <row r="26" spans="1:13" x14ac:dyDescent="0.2">
      <c r="A26" s="33" t="s">
        <v>527</v>
      </c>
      <c r="B26" s="420"/>
      <c r="C26" s="420"/>
      <c r="D26" s="420"/>
      <c r="E26" s="420"/>
      <c r="F26" s="420"/>
      <c r="G26" s="420"/>
      <c r="H26" s="420"/>
    </row>
    <row r="27" spans="1:13" x14ac:dyDescent="0.2">
      <c r="A27" s="1" t="s">
        <v>541</v>
      </c>
      <c r="B27" s="420">
        <f>'[1]Conversion Worksheet'!$AZ$41+'[1]Conversion Worksheet'!$AZ$45</f>
        <v>869770</v>
      </c>
      <c r="C27" s="420"/>
      <c r="D27" s="420">
        <f>'6-Net Pos-Prop'!F25</f>
        <v>3067949</v>
      </c>
      <c r="E27" s="420"/>
      <c r="F27" s="420">
        <f>SUM(B27:D27)</f>
        <v>3937719</v>
      </c>
      <c r="G27" s="420"/>
      <c r="H27" s="420">
        <v>0</v>
      </c>
    </row>
    <row r="28" spans="1:13" ht="13.15" customHeight="1" x14ac:dyDescent="0.2">
      <c r="A28" s="1" t="s">
        <v>437</v>
      </c>
      <c r="B28" s="511">
        <f>SUM('[1]Conversion Worksheet'!$AZ$47:$AZ$74)-SUM('[1]Conversion Worksheet'!$BA$47:$BA$74)</f>
        <v>3484310</v>
      </c>
      <c r="C28" s="511"/>
      <c r="D28" s="422">
        <f>'6-Net Pos-Prop'!F26</f>
        <v>10489728</v>
      </c>
      <c r="E28" s="422"/>
      <c r="F28" s="420">
        <f>SUM(B28:D28)</f>
        <v>13974038</v>
      </c>
      <c r="G28" s="420"/>
      <c r="H28" s="420">
        <v>87375</v>
      </c>
    </row>
    <row r="29" spans="1:13" ht="13.15" customHeight="1" x14ac:dyDescent="0.2">
      <c r="A29" s="231" t="s">
        <v>769</v>
      </c>
      <c r="B29" s="512">
        <f>'[1]Conversion Worksheet'!$AZ$37-'[1]Conversion Worksheet'!$BA$38+'[1]Conversion Worksheet'!$AZ$39-'[1]Conversion Worksheet'!$BA$40</f>
        <v>109511</v>
      </c>
      <c r="C29" s="511"/>
      <c r="D29" s="512">
        <v>28291</v>
      </c>
      <c r="E29" s="511"/>
      <c r="F29" s="425">
        <f>SUM(B29:D29)</f>
        <v>137802</v>
      </c>
      <c r="G29" s="422"/>
      <c r="H29" s="425">
        <v>0</v>
      </c>
      <c r="M29" s="417"/>
    </row>
    <row r="30" spans="1:13" x14ac:dyDescent="0.2">
      <c r="A30" s="32" t="s">
        <v>438</v>
      </c>
      <c r="B30" s="425">
        <f>SUM(B27:B29)</f>
        <v>4463591</v>
      </c>
      <c r="C30" s="422"/>
      <c r="D30" s="425">
        <f>SUM(D27:D29)</f>
        <v>13585968</v>
      </c>
      <c r="E30" s="422"/>
      <c r="F30" s="425">
        <f>SUM(B30:D30)</f>
        <v>18049559</v>
      </c>
      <c r="G30" s="422"/>
      <c r="H30" s="425">
        <f>SUM(H27:H29)</f>
        <v>87375</v>
      </c>
      <c r="M30" s="417"/>
    </row>
    <row r="31" spans="1:13" x14ac:dyDescent="0.2">
      <c r="A31" s="32" t="s">
        <v>736</v>
      </c>
      <c r="B31" s="512">
        <f>B25+B30</f>
        <v>4506101.88</v>
      </c>
      <c r="C31" s="511"/>
      <c r="D31" s="512">
        <f>D25+D30</f>
        <v>13630237</v>
      </c>
      <c r="E31" s="511"/>
      <c r="F31" s="512">
        <f>F25+F30</f>
        <v>18136338.879999999</v>
      </c>
      <c r="G31" s="511"/>
      <c r="H31" s="512">
        <f>H25+H30</f>
        <v>87375</v>
      </c>
      <c r="M31" s="417"/>
    </row>
    <row r="32" spans="1:13" x14ac:dyDescent="0.2">
      <c r="A32" s="235" t="s">
        <v>5</v>
      </c>
      <c r="B32" s="426">
        <f>B31+B22</f>
        <v>5427807.8799999999</v>
      </c>
      <c r="C32" s="597"/>
      <c r="D32" s="426">
        <f>D31+D22</f>
        <v>16051625.25</v>
      </c>
      <c r="E32" s="597"/>
      <c r="F32" s="426">
        <f>F31+F22</f>
        <v>21479433.129999999</v>
      </c>
      <c r="G32" s="597"/>
      <c r="H32" s="426">
        <f>H31+H22</f>
        <v>257466</v>
      </c>
      <c r="J32" s="31"/>
      <c r="M32" s="417"/>
    </row>
    <row r="33" spans="1:13" ht="7.35" customHeight="1" x14ac:dyDescent="0.2">
      <c r="A33" s="235"/>
      <c r="B33" s="427"/>
      <c r="C33" s="427"/>
      <c r="D33" s="427"/>
      <c r="E33" s="427"/>
      <c r="F33" s="427"/>
      <c r="G33" s="427"/>
      <c r="H33" s="427"/>
    </row>
    <row r="34" spans="1:13" s="293" customFormat="1" x14ac:dyDescent="0.2">
      <c r="A34" s="101" t="s">
        <v>609</v>
      </c>
      <c r="B34" s="428"/>
      <c r="C34" s="428"/>
      <c r="D34" s="428"/>
      <c r="E34" s="428"/>
      <c r="F34" s="428"/>
      <c r="G34" s="428"/>
      <c r="H34" s="428"/>
    </row>
    <row r="35" spans="1:13" s="293" customFormat="1" x14ac:dyDescent="0.2">
      <c r="A35" s="520" t="s">
        <v>635</v>
      </c>
      <c r="B35" s="423">
        <f>0.605*121450+0.605*(-121450+2874+2313-847+328974-65795+128000-263179-1104)+(-3758-124242-27238-58985-847+13134+386974+47878-2702-77395-9851+83602+125000)*0.605+(3250+7800+100)+0.605*(9547+11501-222756-848+120000-125000)+(-3250+9565-7800-100+8000+125)+(0.605*(155000+81037+5678+124223+50106-120000))-1+(17024+8028+4119-9565-16031)</f>
        <v>366896.87</v>
      </c>
      <c r="C35" s="423"/>
      <c r="D35" s="423">
        <f>121450*0.395+0.395*(-121450+2874+2313-847+328974-65795+128000-263179-1104)+0.395*(-3758-124242-27238-58985-847+13134+386974+47878-2702-77395-9851+83602+125000)+0.395*(9547+11501-222756-848+120000-125000)+(0.395*(155000+81037+5678+124223+50106-120000))+100</f>
        <v>225761.13</v>
      </c>
      <c r="E35" s="423"/>
      <c r="F35" s="423">
        <f>SUM(B35:D35)</f>
        <v>592658</v>
      </c>
      <c r="G35" s="423"/>
      <c r="H35" s="449">
        <f>3450+(208-3658+1149+12739-2548+3800-1149-10191)</f>
        <v>3800</v>
      </c>
      <c r="J35" s="294"/>
      <c r="K35" s="448"/>
    </row>
    <row r="36" spans="1:13" s="293" customFormat="1" x14ac:dyDescent="0.2">
      <c r="A36" s="520" t="s">
        <v>696</v>
      </c>
      <c r="B36" s="423">
        <f>(19588+45000+50)*0.605+1</f>
        <v>39106.99</v>
      </c>
      <c r="C36" s="423"/>
      <c r="D36" s="423">
        <f>25515+3</f>
        <v>25518</v>
      </c>
      <c r="E36" s="423"/>
      <c r="F36" s="423">
        <f>SUM(B36:D36)</f>
        <v>64624.99</v>
      </c>
      <c r="G36" s="423"/>
      <c r="H36" s="423">
        <v>0</v>
      </c>
      <c r="J36" s="294"/>
      <c r="K36" s="448"/>
    </row>
    <row r="37" spans="1:13" s="293" customFormat="1" x14ac:dyDescent="0.2">
      <c r="A37" s="287" t="s">
        <v>619</v>
      </c>
      <c r="B37" s="423">
        <v>0</v>
      </c>
      <c r="C37" s="423"/>
      <c r="D37" s="423">
        <v>157614</v>
      </c>
      <c r="E37" s="423"/>
      <c r="F37" s="423">
        <f>SUM(B37:D37)</f>
        <v>157614</v>
      </c>
      <c r="G37" s="423"/>
      <c r="H37" s="423">
        <v>0</v>
      </c>
      <c r="J37" s="294"/>
    </row>
    <row r="38" spans="1:13" s="293" customFormat="1" x14ac:dyDescent="0.2">
      <c r="A38" s="295" t="s">
        <v>608</v>
      </c>
      <c r="B38" s="429">
        <f>SUM(B35:B37)</f>
        <v>406003.86</v>
      </c>
      <c r="C38" s="423"/>
      <c r="D38" s="429">
        <f>SUM(D35:D37)</f>
        <v>408893.13</v>
      </c>
      <c r="E38" s="423"/>
      <c r="F38" s="429">
        <f>SUM(B38:D38)</f>
        <v>814896.99</v>
      </c>
      <c r="G38" s="423"/>
      <c r="H38" s="429">
        <f>SUM(H35:H37)</f>
        <v>3800</v>
      </c>
      <c r="J38" s="19"/>
      <c r="K38" s="19"/>
    </row>
    <row r="39" spans="1:13" ht="7.35" customHeight="1" x14ac:dyDescent="0.2">
      <c r="A39" s="295"/>
    </row>
    <row r="40" spans="1:13" x14ac:dyDescent="0.2">
      <c r="A40" s="101" t="s">
        <v>6</v>
      </c>
      <c r="K40" s="31"/>
      <c r="L40" s="31"/>
    </row>
    <row r="41" spans="1:13" x14ac:dyDescent="0.2">
      <c r="A41" s="19" t="s">
        <v>46</v>
      </c>
      <c r="J41" s="30"/>
      <c r="K41" s="30"/>
      <c r="L41" s="30"/>
    </row>
    <row r="42" spans="1:13" x14ac:dyDescent="0.2">
      <c r="A42" s="251" t="s">
        <v>18</v>
      </c>
      <c r="B42" s="430">
        <f>'[1]Conversion Worksheet'!$BA$97</f>
        <v>128910</v>
      </c>
      <c r="C42" s="430"/>
      <c r="D42" s="430">
        <f>'6-Net Pos-Prop'!F40</f>
        <v>264967</v>
      </c>
      <c r="E42" s="430"/>
      <c r="F42" s="430">
        <f t="shared" ref="F42:F47" si="1">SUM(B42:D42)</f>
        <v>393877</v>
      </c>
      <c r="G42" s="430"/>
      <c r="H42" s="430">
        <v>42720</v>
      </c>
      <c r="K42" s="31"/>
      <c r="L42" s="31"/>
      <c r="M42" s="31"/>
    </row>
    <row r="43" spans="1:13" x14ac:dyDescent="0.2">
      <c r="A43" s="33" t="s">
        <v>453</v>
      </c>
      <c r="B43" s="510">
        <f>'[1]Conversion Worksheet'!$BA$115</f>
        <v>2489</v>
      </c>
      <c r="C43" s="510"/>
      <c r="D43" s="420">
        <v>528</v>
      </c>
      <c r="E43" s="420"/>
      <c r="F43" s="420">
        <f t="shared" si="1"/>
        <v>3017</v>
      </c>
      <c r="G43" s="420"/>
      <c r="H43" s="420">
        <v>0</v>
      </c>
    </row>
    <row r="44" spans="1:13" x14ac:dyDescent="0.2">
      <c r="A44" s="287" t="s">
        <v>113</v>
      </c>
      <c r="B44" s="510">
        <v>0</v>
      </c>
      <c r="C44" s="510"/>
      <c r="D44" s="420">
        <v>675000</v>
      </c>
      <c r="E44" s="420"/>
      <c r="F44" s="420">
        <f t="shared" si="1"/>
        <v>675000</v>
      </c>
      <c r="G44" s="420"/>
      <c r="H44" s="420"/>
    </row>
    <row r="45" spans="1:13" x14ac:dyDescent="0.2">
      <c r="A45" s="33" t="s">
        <v>455</v>
      </c>
      <c r="B45" s="420">
        <v>0</v>
      </c>
      <c r="C45" s="420"/>
      <c r="D45" s="420">
        <v>0</v>
      </c>
      <c r="E45" s="420"/>
      <c r="F45" s="420">
        <f t="shared" si="1"/>
        <v>0</v>
      </c>
      <c r="G45" s="420"/>
      <c r="H45" s="420">
        <v>3700</v>
      </c>
    </row>
    <row r="46" spans="1:13" x14ac:dyDescent="0.2">
      <c r="A46" s="33" t="s">
        <v>456</v>
      </c>
      <c r="B46" s="420">
        <f>'[1]Conversion Worksheet'!$BA$103</f>
        <v>6625</v>
      </c>
      <c r="C46" s="420"/>
      <c r="D46" s="420">
        <v>0</v>
      </c>
      <c r="E46" s="420"/>
      <c r="F46" s="420">
        <f t="shared" si="1"/>
        <v>6625</v>
      </c>
      <c r="G46" s="420"/>
      <c r="H46" s="420">
        <v>18251</v>
      </c>
      <c r="L46" s="30"/>
    </row>
    <row r="47" spans="1:13" x14ac:dyDescent="0.2">
      <c r="A47" s="33" t="s">
        <v>517</v>
      </c>
      <c r="B47" s="510">
        <f>10000+5000+8380+37750+5000+6168+21367</f>
        <v>93665</v>
      </c>
      <c r="C47" s="510"/>
      <c r="D47" s="421">
        <f>SUM('6-Net Pos-Prop'!F44:F47)</f>
        <v>513784</v>
      </c>
      <c r="E47" s="421"/>
      <c r="F47" s="510">
        <f t="shared" si="1"/>
        <v>607449</v>
      </c>
      <c r="G47" s="510"/>
      <c r="H47" s="420">
        <v>4560</v>
      </c>
    </row>
    <row r="48" spans="1:13" x14ac:dyDescent="0.2">
      <c r="A48" s="33" t="s">
        <v>448</v>
      </c>
      <c r="B48" s="425">
        <v>0</v>
      </c>
      <c r="C48" s="422"/>
      <c r="D48" s="425">
        <f>'6-Net Pos-Prop'!F49+'6-Net Pos-Prop'!F50</f>
        <v>188592</v>
      </c>
      <c r="E48" s="422"/>
      <c r="F48" s="425">
        <f>+B48+D48</f>
        <v>188592</v>
      </c>
      <c r="G48" s="422"/>
      <c r="H48" s="425">
        <v>0</v>
      </c>
    </row>
    <row r="49" spans="1:12" x14ac:dyDescent="0.2">
      <c r="A49" s="4" t="s">
        <v>48</v>
      </c>
      <c r="B49" s="420">
        <f>SUM(B42:B48)</f>
        <v>231689</v>
      </c>
      <c r="C49" s="422"/>
      <c r="D49" s="420">
        <f>SUM(D42:D48)</f>
        <v>1642871</v>
      </c>
      <c r="E49" s="422"/>
      <c r="F49" s="420">
        <f>SUM(F42:F48)</f>
        <v>1874560</v>
      </c>
      <c r="G49" s="422"/>
      <c r="H49" s="420">
        <f>SUM(H42:H48)</f>
        <v>69231</v>
      </c>
      <c r="J49" s="420"/>
      <c r="K49" s="420"/>
      <c r="L49" s="30"/>
    </row>
    <row r="50" spans="1:12" ht="7.35" customHeight="1" x14ac:dyDescent="0.2">
      <c r="B50" s="420"/>
      <c r="C50" s="422"/>
      <c r="D50" s="420"/>
      <c r="E50" s="422"/>
      <c r="F50" s="420"/>
      <c r="G50" s="422"/>
      <c r="H50" s="420"/>
    </row>
    <row r="51" spans="1:12" ht="15" customHeight="1" x14ac:dyDescent="0.2">
      <c r="A51" t="s">
        <v>473</v>
      </c>
      <c r="B51" s="420"/>
      <c r="C51" s="422"/>
      <c r="D51" s="420"/>
      <c r="E51" s="422"/>
      <c r="F51" s="420"/>
      <c r="G51" s="422"/>
      <c r="H51" s="420"/>
    </row>
    <row r="52" spans="1:12" hidden="1" x14ac:dyDescent="0.2">
      <c r="A52" s="33" t="s">
        <v>657</v>
      </c>
      <c r="B52" s="421">
        <f>130959*0.605+44719+0.605*(-124242-13554+16661+13134+386974+47878+97395+1)-44719+0.605*(-208410)+(0.605*307973)-3</f>
        <v>396132.245</v>
      </c>
      <c r="C52" s="423"/>
      <c r="D52" s="421">
        <f>130959*0.395+0.395*(-124242-13554+16661+13134+386974+47878+97395+1)+0.395*(-208410)+(0.395*307973)</f>
        <v>258633.755</v>
      </c>
      <c r="E52" s="423"/>
      <c r="F52" s="421">
        <f>SUM(B52:D52)</f>
        <v>654766</v>
      </c>
      <c r="G52" s="423"/>
      <c r="H52" s="421">
        <f>5071</f>
        <v>5071</v>
      </c>
      <c r="J52" s="469"/>
    </row>
    <row r="53" spans="1:12" hidden="1" x14ac:dyDescent="0.2">
      <c r="A53" s="33" t="s">
        <v>671</v>
      </c>
      <c r="B53" s="421">
        <f>44719+198653-44719+(-198653+215657)+(219382-215657)</f>
        <v>219382</v>
      </c>
      <c r="C53" s="423"/>
      <c r="D53" s="421">
        <v>0</v>
      </c>
      <c r="E53" s="423"/>
      <c r="F53" s="421">
        <f>SUM(B53:D53)</f>
        <v>219382</v>
      </c>
      <c r="G53" s="423"/>
      <c r="H53" s="421">
        <v>0</v>
      </c>
      <c r="J53" s="30"/>
      <c r="K53" s="460"/>
    </row>
    <row r="54" spans="1:12" hidden="1" x14ac:dyDescent="0.2">
      <c r="A54" s="33" t="s">
        <v>695</v>
      </c>
      <c r="B54" s="421">
        <f>1197321*0.605</f>
        <v>724379.20499999996</v>
      </c>
      <c r="C54" s="423"/>
      <c r="D54" s="421">
        <f>B54/0.605*0.395-0.31</f>
        <v>472941.48500000004</v>
      </c>
      <c r="E54" s="423"/>
      <c r="F54" s="421">
        <f>SUM(B54:D54)</f>
        <v>1197320.69</v>
      </c>
      <c r="G54" s="423"/>
      <c r="H54" s="421"/>
      <c r="J54" s="30"/>
      <c r="L54" s="30"/>
    </row>
    <row r="55" spans="1:12" ht="18" hidden="1" customHeight="1" x14ac:dyDescent="0.2">
      <c r="A55" s="287" t="s">
        <v>439</v>
      </c>
      <c r="B55" s="423">
        <f>200000+60000+61906+50633+169623-10000-10000-37750-14548-21367</f>
        <v>448497</v>
      </c>
      <c r="C55" s="423"/>
      <c r="D55" s="423">
        <f>'6-Net Pos-Prop'!F55+'6-Net Pos-Prop'!F56+'6-Net Pos-Prop'!F59+'6-Net Pos-Prop'!F60</f>
        <v>3469692</v>
      </c>
      <c r="E55" s="423"/>
      <c r="F55" s="423">
        <f>SUM(B55:D55)</f>
        <v>3918189</v>
      </c>
      <c r="G55" s="423"/>
      <c r="H55" s="423">
        <v>0</v>
      </c>
      <c r="L55" s="31"/>
    </row>
    <row r="56" spans="1:12" x14ac:dyDescent="0.2">
      <c r="A56" s="287" t="s">
        <v>439</v>
      </c>
      <c r="B56" s="431">
        <f>SUM(B52:B55)</f>
        <v>1788390.45</v>
      </c>
      <c r="C56" s="423"/>
      <c r="D56" s="431">
        <f>SUM(D52:D55)</f>
        <v>4201267.24</v>
      </c>
      <c r="E56" s="423"/>
      <c r="F56" s="431">
        <f>SUM(F52:F55)</f>
        <v>5989657.6899999995</v>
      </c>
      <c r="G56" s="423"/>
      <c r="H56" s="431">
        <v>82040</v>
      </c>
      <c r="J56" s="30"/>
      <c r="L56" s="31"/>
    </row>
    <row r="57" spans="1:12" x14ac:dyDescent="0.2">
      <c r="A57" s="4" t="s">
        <v>7</v>
      </c>
      <c r="B57" s="424">
        <f>B49+B56</f>
        <v>2020079.45</v>
      </c>
      <c r="C57" s="422"/>
      <c r="D57" s="424">
        <f>D49+D56</f>
        <v>5844138.2400000002</v>
      </c>
      <c r="E57" s="422"/>
      <c r="F57" s="424">
        <f>F49+F56</f>
        <v>7864217.6899999995</v>
      </c>
      <c r="G57" s="422"/>
      <c r="H57" s="424">
        <f>H49+H56</f>
        <v>151271</v>
      </c>
      <c r="J57" s="422"/>
    </row>
    <row r="58" spans="1:12" ht="7.35" customHeight="1" x14ac:dyDescent="0.2">
      <c r="A58" s="4"/>
      <c r="B58" s="422"/>
      <c r="C58" s="422"/>
      <c r="D58" s="422"/>
      <c r="E58" s="422"/>
      <c r="F58" s="422"/>
      <c r="G58" s="422"/>
      <c r="H58" s="422"/>
    </row>
    <row r="59" spans="1:12" s="293" customFormat="1" x14ac:dyDescent="0.2">
      <c r="A59" s="101" t="s">
        <v>594</v>
      </c>
      <c r="B59" s="423"/>
      <c r="C59" s="423"/>
      <c r="D59" s="423"/>
      <c r="E59" s="423"/>
      <c r="F59" s="423"/>
      <c r="G59" s="423"/>
      <c r="H59" s="423"/>
    </row>
    <row r="60" spans="1:12" s="293" customFormat="1" x14ac:dyDescent="0.2">
      <c r="A60" s="520" t="s">
        <v>602</v>
      </c>
      <c r="B60" s="423">
        <v>15502</v>
      </c>
      <c r="C60" s="423"/>
      <c r="D60" s="423">
        <v>0</v>
      </c>
      <c r="E60" s="423"/>
      <c r="F60" s="423">
        <f>SUM(B60:D60)</f>
        <v>15502</v>
      </c>
      <c r="G60" s="423"/>
      <c r="H60" s="423">
        <v>0</v>
      </c>
      <c r="K60" s="395"/>
    </row>
    <row r="61" spans="1:12" s="293" customFormat="1" x14ac:dyDescent="0.2">
      <c r="A61" s="520" t="s">
        <v>742</v>
      </c>
      <c r="B61" s="423">
        <v>53002</v>
      </c>
      <c r="C61" s="423"/>
      <c r="D61" s="423">
        <f>'6-Net Pos-Prop'!F67</f>
        <v>51321</v>
      </c>
      <c r="E61" s="423"/>
      <c r="F61" s="423">
        <f>SUM(B61:D61)</f>
        <v>104323</v>
      </c>
      <c r="G61" s="423"/>
      <c r="H61" s="423">
        <v>0</v>
      </c>
      <c r="K61" s="395"/>
    </row>
    <row r="62" spans="1:12" s="392" customFormat="1" x14ac:dyDescent="0.2">
      <c r="A62" s="520" t="s">
        <v>635</v>
      </c>
      <c r="B62" s="423">
        <f>0.605*(-119478+119478-5080+1018+9884-1981+23355+497339-4680-99468)+0.605*(129+2746-4713-100154-963+1104+21061-4370-1104-263179)+0.605*(-1458-31097-1728+7045-4225-89789-963-3917+13554-16661-810+83601)+(1006)+0.605*(-9638+9976)+(-1006+5420)-(0.605*(6427+4699))+2+(4160-5420)</f>
        <v>12455.339999999993</v>
      </c>
      <c r="C62" s="423"/>
      <c r="D62" s="423">
        <f>420388*0.395+(129+2746-4713-100154-963+1104+21061-4370-1104-263179)*0.395+0.395*(-1458-31097-1728+7045-4225-89789-963-3917+13554-16661-810+83601)+(0.395*(-9638+9976))+(0.395*(-6427-4699))</f>
        <v>5415.0549999999948</v>
      </c>
      <c r="E62" s="423"/>
      <c r="F62" s="423">
        <f>SUM(B62:D62)</f>
        <v>17870.39499999999</v>
      </c>
      <c r="G62" s="423"/>
      <c r="H62" s="423">
        <f>698-140-603+121+846+18020-170-3604+(51+1097-182-3878-19+441+955-51+816-169-1149-10191)</f>
        <v>2889</v>
      </c>
      <c r="J62" s="469"/>
      <c r="K62" s="395"/>
    </row>
    <row r="63" spans="1:12" s="392" customFormat="1" x14ac:dyDescent="0.2">
      <c r="A63" s="520" t="s">
        <v>696</v>
      </c>
      <c r="B63" s="423">
        <f>+(6063)*0.605</f>
        <v>3668.1149999999998</v>
      </c>
      <c r="C63" s="423"/>
      <c r="D63" s="423">
        <f>B63/0.605*0.395</f>
        <v>2394.8850000000002</v>
      </c>
      <c r="E63" s="423"/>
      <c r="F63" s="423">
        <f>SUM(B63:D63)</f>
        <v>6063</v>
      </c>
      <c r="G63" s="423"/>
      <c r="H63" s="423">
        <v>0</v>
      </c>
      <c r="J63" s="469"/>
      <c r="K63" s="395"/>
    </row>
    <row r="64" spans="1:12" s="392" customFormat="1" x14ac:dyDescent="0.2">
      <c r="A64" s="588" t="s">
        <v>564</v>
      </c>
      <c r="B64" s="423">
        <v>106458</v>
      </c>
      <c r="C64" s="423"/>
      <c r="D64" s="423">
        <v>0</v>
      </c>
      <c r="E64" s="423"/>
      <c r="F64" s="423">
        <v>0</v>
      </c>
      <c r="G64" s="423"/>
      <c r="H64" s="423">
        <v>0</v>
      </c>
      <c r="J64" s="469"/>
      <c r="K64" s="395"/>
    </row>
    <row r="65" spans="1:14" s="293" customFormat="1" x14ac:dyDescent="0.2">
      <c r="A65" s="310" t="s">
        <v>595</v>
      </c>
      <c r="B65" s="429">
        <f>SUM(B60:B64)</f>
        <v>191085.45500000002</v>
      </c>
      <c r="C65" s="423"/>
      <c r="D65" s="429">
        <f>SUM(D60:D64)</f>
        <v>59130.939999999995</v>
      </c>
      <c r="E65" s="423"/>
      <c r="F65" s="429">
        <f>SUM(F60:F64)</f>
        <v>143758.39499999999</v>
      </c>
      <c r="G65" s="423"/>
      <c r="H65" s="429">
        <f>SUM(H60:H64)</f>
        <v>2889</v>
      </c>
    </row>
    <row r="66" spans="1:14" ht="7.35" customHeight="1" x14ac:dyDescent="0.2"/>
    <row r="67" spans="1:14" s="293" customFormat="1" x14ac:dyDescent="0.2">
      <c r="A67" s="101" t="s">
        <v>596</v>
      </c>
      <c r="B67" s="19"/>
      <c r="C67" s="19"/>
      <c r="D67" s="19"/>
      <c r="E67" s="19"/>
      <c r="F67" s="19"/>
      <c r="G67" s="19"/>
      <c r="H67" s="19"/>
      <c r="J67"/>
      <c r="K67" s="395"/>
    </row>
    <row r="68" spans="1:14" x14ac:dyDescent="0.2">
      <c r="A68" s="230" t="s">
        <v>607</v>
      </c>
      <c r="B68" s="421">
        <v>4091052</v>
      </c>
      <c r="C68" s="423"/>
      <c r="D68" s="421">
        <f>'6-Net Pos-Prop'!F71</f>
        <v>10674717</v>
      </c>
      <c r="E68" s="423"/>
      <c r="F68" s="421">
        <f>SUM(B68:D68)</f>
        <v>14765769</v>
      </c>
      <c r="G68" s="423"/>
      <c r="H68" s="421">
        <v>87375</v>
      </c>
      <c r="K68" s="232"/>
      <c r="L68" s="232"/>
    </row>
    <row r="69" spans="1:14" x14ac:dyDescent="0.2">
      <c r="A69" s="19" t="s">
        <v>440</v>
      </c>
      <c r="B69" s="421"/>
      <c r="C69" s="423"/>
      <c r="D69" s="421"/>
      <c r="E69" s="423"/>
      <c r="F69" s="421"/>
      <c r="G69" s="423"/>
      <c r="H69" s="421"/>
      <c r="K69" s="232"/>
      <c r="L69" s="232"/>
    </row>
    <row r="70" spans="1:14" x14ac:dyDescent="0.2">
      <c r="A70" s="287" t="s">
        <v>590</v>
      </c>
      <c r="B70" s="421">
        <f>'[1]Conversion Worksheet'!$BA$177</f>
        <v>25056</v>
      </c>
      <c r="C70" s="423"/>
      <c r="D70" s="421">
        <v>0</v>
      </c>
      <c r="E70" s="423"/>
      <c r="F70" s="421">
        <f t="shared" ref="F70:F75" si="2">SUM(B70:D70)</f>
        <v>25056</v>
      </c>
      <c r="G70" s="423"/>
      <c r="H70" s="421">
        <v>0</v>
      </c>
      <c r="J70" s="463"/>
      <c r="K70" s="232"/>
    </row>
    <row r="71" spans="1:14" x14ac:dyDescent="0.2">
      <c r="A71" s="287" t="s">
        <v>574</v>
      </c>
      <c r="B71" s="421">
        <f>'[1]Conversion Worksheet'!$BA$178</f>
        <v>133379</v>
      </c>
      <c r="C71" s="423"/>
      <c r="D71" s="421">
        <v>0</v>
      </c>
      <c r="E71" s="423"/>
      <c r="F71" s="421">
        <f t="shared" si="2"/>
        <v>133379</v>
      </c>
      <c r="G71" s="423"/>
      <c r="H71" s="421">
        <v>0</v>
      </c>
      <c r="J71" s="232"/>
      <c r="L71" s="232"/>
      <c r="N71" s="232"/>
    </row>
    <row r="72" spans="1:14" x14ac:dyDescent="0.2">
      <c r="A72" s="287" t="s">
        <v>567</v>
      </c>
      <c r="B72" s="421">
        <f>'[1]Conversion Worksheet'!$BA$176</f>
        <v>53912</v>
      </c>
      <c r="C72" s="423"/>
      <c r="D72" s="421">
        <v>0</v>
      </c>
      <c r="E72" s="423"/>
      <c r="F72" s="421">
        <f t="shared" si="2"/>
        <v>53912</v>
      </c>
      <c r="G72" s="423"/>
      <c r="H72" s="421">
        <v>0</v>
      </c>
      <c r="J72" s="19"/>
    </row>
    <row r="73" spans="1:14" x14ac:dyDescent="0.2">
      <c r="A73" s="287" t="s">
        <v>570</v>
      </c>
      <c r="B73" s="421">
        <f>'[1]Conversion Worksheet'!$BA$174+'[1]Conversion Worksheet'!$BA$175+'[1]Conversion Worksheet'!$BA$179</f>
        <v>13794</v>
      </c>
      <c r="C73" s="423"/>
      <c r="D73" s="421">
        <v>0</v>
      </c>
      <c r="E73" s="423"/>
      <c r="F73" s="421">
        <f t="shared" si="2"/>
        <v>13794</v>
      </c>
      <c r="G73" s="423"/>
      <c r="H73" s="421">
        <v>96700</v>
      </c>
      <c r="J73" s="403"/>
      <c r="K73" s="31"/>
      <c r="M73" s="30"/>
    </row>
    <row r="74" spans="1:14" x14ac:dyDescent="0.2">
      <c r="A74" s="287" t="s">
        <v>663</v>
      </c>
      <c r="B74" s="421">
        <v>0</v>
      </c>
      <c r="C74" s="423"/>
      <c r="D74" s="421">
        <v>109725</v>
      </c>
      <c r="E74" s="423"/>
      <c r="F74" s="421">
        <f t="shared" si="2"/>
        <v>109725</v>
      </c>
      <c r="G74" s="423"/>
      <c r="H74" s="421">
        <v>0</v>
      </c>
      <c r="J74" s="403"/>
      <c r="K74" s="31"/>
      <c r="M74" s="30"/>
    </row>
    <row r="75" spans="1:14" x14ac:dyDescent="0.2">
      <c r="A75" s="19" t="s">
        <v>51</v>
      </c>
      <c r="B75" s="431">
        <f>B32+B38-B57-B65-SUM(B67:B73)</f>
        <v>-694546.16500000004</v>
      </c>
      <c r="C75" s="423"/>
      <c r="D75" s="431">
        <f>+D32-D57-D68-SUM(D70:D74)+D38-D65</f>
        <v>-227192.80000000022</v>
      </c>
      <c r="E75" s="423"/>
      <c r="F75" s="431">
        <f t="shared" si="2"/>
        <v>-921738.96500000032</v>
      </c>
      <c r="G75" s="423"/>
      <c r="H75" s="431">
        <v>0</v>
      </c>
      <c r="J75" s="403"/>
      <c r="K75" s="30"/>
      <c r="M75" s="30"/>
    </row>
    <row r="76" spans="1:14" s="293" customFormat="1" ht="13.5" thickBot="1" x14ac:dyDescent="0.25">
      <c r="A76" s="19" t="s">
        <v>597</v>
      </c>
      <c r="B76" s="432">
        <f>SUM(B68:B75)</f>
        <v>3622646.835</v>
      </c>
      <c r="C76" s="444"/>
      <c r="D76" s="517">
        <f>SUM(D68:D75)</f>
        <v>10557249.199999999</v>
      </c>
      <c r="E76" s="598"/>
      <c r="F76" s="432">
        <f>SUM(F68:F75)</f>
        <v>14179896.035</v>
      </c>
      <c r="G76" s="444"/>
      <c r="H76" s="432">
        <f>SUM(H68:H75)</f>
        <v>184075</v>
      </c>
      <c r="I76" s="407"/>
      <c r="J76" s="294"/>
      <c r="K76" s="370"/>
    </row>
    <row r="77" spans="1:14" ht="9.75" customHeight="1" thickTop="1" x14ac:dyDescent="0.2">
      <c r="A77" s="19"/>
      <c r="B77" s="19"/>
      <c r="C77" s="19"/>
      <c r="D77" s="19"/>
      <c r="E77" s="19"/>
      <c r="F77" s="19"/>
      <c r="G77" s="19"/>
      <c r="H77" s="19"/>
    </row>
    <row r="78" spans="1:14" ht="12.75" customHeight="1" x14ac:dyDescent="0.2">
      <c r="A78" t="s">
        <v>8</v>
      </c>
    </row>
    <row r="79" spans="1:14" ht="9.75" customHeight="1" thickBot="1" x14ac:dyDescent="0.25">
      <c r="B79" s="232"/>
      <c r="C79" s="232"/>
      <c r="D79" s="232"/>
      <c r="E79" s="232"/>
    </row>
    <row r="80" spans="1:14" ht="40.5" customHeight="1" thickBot="1" x14ac:dyDescent="0.25">
      <c r="A80" s="774" t="s">
        <v>862</v>
      </c>
      <c r="B80" s="775"/>
      <c r="C80" s="775"/>
      <c r="D80" s="775"/>
      <c r="E80" s="775"/>
      <c r="F80" s="775"/>
      <c r="G80" s="775"/>
      <c r="H80" s="776"/>
    </row>
    <row r="81" spans="2:8" x14ac:dyDescent="0.2">
      <c r="B81" s="30"/>
      <c r="C81" s="30"/>
      <c r="D81" s="30"/>
      <c r="E81" s="30"/>
      <c r="F81" s="30"/>
      <c r="G81" s="30"/>
      <c r="H81" s="30"/>
    </row>
    <row r="82" spans="2:8" x14ac:dyDescent="0.2">
      <c r="B82" s="232"/>
      <c r="C82" s="232"/>
      <c r="D82" s="232"/>
      <c r="E82" s="232"/>
      <c r="F82" s="232"/>
      <c r="G82" s="232"/>
      <c r="H82" s="232"/>
    </row>
    <row r="83" spans="2:8" x14ac:dyDescent="0.2">
      <c r="B83" s="232"/>
      <c r="C83" s="232"/>
    </row>
    <row r="84" spans="2:8" x14ac:dyDescent="0.2">
      <c r="B84" s="401"/>
      <c r="C84" s="401"/>
    </row>
  </sheetData>
  <mergeCells count="5">
    <mergeCell ref="A80:H80"/>
    <mergeCell ref="A1:H1"/>
    <mergeCell ref="A2:H2"/>
    <mergeCell ref="A3:H3"/>
    <mergeCell ref="B6:F6"/>
  </mergeCells>
  <printOptions horizontalCentered="1"/>
  <pageMargins left="0.7" right="0.7" top="0.5" bottom="0.5" header="0.3" footer="0.3"/>
  <pageSetup scale="76" fitToWidth="0" orientation="portrait" r:id="rId1"/>
  <ignoredErrors>
    <ignoredError sqref="F38 F30"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6"/>
  <sheetViews>
    <sheetView workbookViewId="0"/>
  </sheetViews>
  <sheetFormatPr defaultColWidth="9.140625" defaultRowHeight="12.75" x14ac:dyDescent="0.2"/>
  <cols>
    <col min="1" max="1" width="13.7109375" customWidth="1"/>
    <col min="2" max="2" width="1.85546875" customWidth="1"/>
    <col min="3" max="3" width="8.28515625" customWidth="1"/>
    <col min="4" max="4" width="2" customWidth="1"/>
    <col min="5" max="5" width="15.7109375" bestFit="1" customWidth="1"/>
    <col min="6" max="6" width="2.42578125" customWidth="1"/>
    <col min="7" max="7" width="14.5703125" bestFit="1" customWidth="1"/>
    <col min="8" max="8" width="3.140625" customWidth="1"/>
    <col min="9" max="9" width="10" customWidth="1"/>
    <col min="10" max="10" width="2" customWidth="1"/>
    <col min="11" max="11" width="9.140625" customWidth="1"/>
    <col min="12" max="12" width="1.42578125" customWidth="1"/>
    <col min="13" max="13" width="12.140625" bestFit="1" customWidth="1"/>
  </cols>
  <sheetData>
    <row r="1" spans="1:14" s="19" customFormat="1" ht="15" x14ac:dyDescent="0.25">
      <c r="A1" s="327" t="s">
        <v>136</v>
      </c>
      <c r="B1" s="327"/>
      <c r="C1" s="327"/>
      <c r="D1" s="327"/>
      <c r="E1" s="327"/>
      <c r="F1" s="327"/>
      <c r="G1" s="327"/>
      <c r="H1" s="327"/>
      <c r="I1" s="327"/>
      <c r="J1" s="327"/>
      <c r="K1" s="328"/>
      <c r="L1" s="328"/>
      <c r="M1" s="328"/>
      <c r="N1" s="381"/>
    </row>
    <row r="2" spans="1:14" s="101" customFormat="1" ht="15" x14ac:dyDescent="0.25">
      <c r="A2" s="327" t="s">
        <v>137</v>
      </c>
      <c r="B2" s="330"/>
      <c r="C2" s="330"/>
      <c r="D2" s="330"/>
      <c r="E2" s="330"/>
      <c r="F2" s="330"/>
      <c r="G2" s="330"/>
      <c r="H2" s="330"/>
      <c r="I2" s="330"/>
      <c r="J2" s="330"/>
      <c r="K2" s="382"/>
      <c r="L2" s="382"/>
      <c r="M2" s="382"/>
      <c r="N2" s="383"/>
    </row>
    <row r="3" spans="1:14" s="19" customFormat="1" ht="15" x14ac:dyDescent="0.25">
      <c r="A3" s="327" t="s">
        <v>138</v>
      </c>
      <c r="B3" s="330"/>
      <c r="C3" s="330"/>
      <c r="D3" s="330"/>
      <c r="E3" s="330"/>
      <c r="F3" s="330"/>
      <c r="G3" s="330"/>
      <c r="H3" s="330"/>
      <c r="I3" s="330"/>
      <c r="J3" s="330"/>
      <c r="K3" s="382"/>
      <c r="L3" s="382"/>
      <c r="M3" s="382"/>
      <c r="N3" s="383"/>
    </row>
    <row r="4" spans="1:14" s="19" customFormat="1" x14ac:dyDescent="0.2">
      <c r="A4" s="328"/>
      <c r="B4" s="382"/>
      <c r="C4" s="382"/>
      <c r="D4" s="382"/>
      <c r="E4" s="382"/>
      <c r="F4" s="382"/>
      <c r="G4" s="382"/>
      <c r="H4" s="382"/>
      <c r="I4" s="382"/>
      <c r="J4" s="382"/>
      <c r="K4" s="382"/>
      <c r="L4" s="382"/>
      <c r="M4" s="382"/>
      <c r="N4" s="383"/>
    </row>
    <row r="5" spans="1:14" s="19" customFormat="1" ht="15" x14ac:dyDescent="0.25">
      <c r="A5" s="327" t="s">
        <v>139</v>
      </c>
      <c r="B5" s="382"/>
      <c r="C5" s="382"/>
      <c r="D5" s="382"/>
      <c r="E5" s="382"/>
      <c r="F5" s="382"/>
      <c r="G5" s="329"/>
      <c r="H5" s="329"/>
      <c r="I5" s="329"/>
      <c r="J5" s="329"/>
      <c r="K5" s="382"/>
      <c r="L5" s="382"/>
      <c r="M5" s="382"/>
      <c r="N5" s="383"/>
    </row>
    <row r="6" spans="1:14" ht="14.25" thickBot="1" x14ac:dyDescent="0.3">
      <c r="A6" s="224"/>
      <c r="B6" s="225"/>
      <c r="C6" s="225"/>
      <c r="D6" s="225"/>
      <c r="E6" s="225"/>
      <c r="F6" s="225"/>
      <c r="G6" s="225"/>
      <c r="H6" s="225"/>
      <c r="I6" s="225"/>
      <c r="J6" s="225"/>
      <c r="K6" s="225"/>
      <c r="L6" s="225"/>
      <c r="M6" s="225"/>
      <c r="N6" s="223"/>
    </row>
    <row r="7" spans="1:14" ht="13.5" x14ac:dyDescent="0.25">
      <c r="A7" s="226"/>
      <c r="B7" s="223"/>
      <c r="C7" s="223"/>
      <c r="D7" s="223"/>
      <c r="E7" s="223"/>
      <c r="F7" s="223"/>
      <c r="G7" s="223"/>
      <c r="H7" s="223"/>
      <c r="I7" s="223"/>
      <c r="J7" s="223"/>
      <c r="K7" s="223"/>
      <c r="L7" s="223"/>
      <c r="M7" s="223"/>
      <c r="N7" s="223"/>
    </row>
    <row r="8" spans="1:14" ht="13.5" x14ac:dyDescent="0.25">
      <c r="A8" s="315"/>
      <c r="B8" s="315"/>
      <c r="C8" s="315"/>
      <c r="D8" s="315"/>
      <c r="E8" s="315" t="s">
        <v>140</v>
      </c>
      <c r="F8" s="315"/>
      <c r="G8" s="315"/>
      <c r="H8" s="315"/>
      <c r="I8" s="315"/>
      <c r="J8" s="315"/>
      <c r="K8" s="315"/>
      <c r="L8" s="315"/>
      <c r="M8" s="315"/>
      <c r="N8" s="227"/>
    </row>
    <row r="9" spans="1:14" ht="13.5" x14ac:dyDescent="0.25">
      <c r="A9" s="315"/>
      <c r="B9" s="315"/>
      <c r="C9" s="315" t="s">
        <v>141</v>
      </c>
      <c r="D9" s="315"/>
      <c r="E9" s="315" t="s">
        <v>142</v>
      </c>
      <c r="F9" s="315"/>
      <c r="G9" s="315" t="s">
        <v>143</v>
      </c>
      <c r="H9" s="315"/>
      <c r="I9" s="315"/>
      <c r="J9" s="315"/>
      <c r="K9" s="315"/>
      <c r="L9" s="315"/>
      <c r="M9" s="315" t="s">
        <v>144</v>
      </c>
      <c r="N9" s="227"/>
    </row>
    <row r="10" spans="1:14" ht="13.5" x14ac:dyDescent="0.25">
      <c r="A10" s="315" t="s">
        <v>141</v>
      </c>
      <c r="B10" s="315"/>
      <c r="C10" s="315" t="s">
        <v>145</v>
      </c>
      <c r="D10" s="315"/>
      <c r="E10" s="316" t="s">
        <v>146</v>
      </c>
      <c r="F10" s="315"/>
      <c r="G10" s="315" t="s">
        <v>147</v>
      </c>
      <c r="H10" s="315"/>
      <c r="I10" s="315" t="s">
        <v>148</v>
      </c>
      <c r="J10" s="315"/>
      <c r="K10" s="315" t="s">
        <v>149</v>
      </c>
      <c r="L10" s="315"/>
      <c r="M10" s="315" t="s">
        <v>150</v>
      </c>
      <c r="N10" s="227"/>
    </row>
    <row r="11" spans="1:14" ht="13.5" x14ac:dyDescent="0.25">
      <c r="A11" s="315" t="s">
        <v>151</v>
      </c>
      <c r="B11" s="315"/>
      <c r="C11" s="315" t="s">
        <v>62</v>
      </c>
      <c r="D11" s="315"/>
      <c r="E11" s="315" t="s">
        <v>152</v>
      </c>
      <c r="F11" s="315"/>
      <c r="G11" s="315" t="s">
        <v>153</v>
      </c>
      <c r="H11" s="315"/>
      <c r="I11" s="315" t="s">
        <v>154</v>
      </c>
      <c r="J11" s="315"/>
      <c r="K11" s="315" t="s">
        <v>155</v>
      </c>
      <c r="L11" s="315"/>
      <c r="M11" s="315" t="s">
        <v>155</v>
      </c>
      <c r="N11" s="227"/>
    </row>
    <row r="12" spans="1:14" ht="13.5" x14ac:dyDescent="0.25">
      <c r="A12" s="317" t="s">
        <v>156</v>
      </c>
      <c r="B12" s="315"/>
      <c r="C12" s="317" t="s">
        <v>157</v>
      </c>
      <c r="D12" s="315"/>
      <c r="E12" s="317" t="s">
        <v>158</v>
      </c>
      <c r="F12" s="315"/>
      <c r="G12" s="317" t="s">
        <v>159</v>
      </c>
      <c r="H12" s="315"/>
      <c r="I12" s="317" t="s">
        <v>160</v>
      </c>
      <c r="J12" s="315"/>
      <c r="K12" s="317" t="s">
        <v>161</v>
      </c>
      <c r="L12" s="315"/>
      <c r="M12" s="317" t="s">
        <v>162</v>
      </c>
      <c r="N12" s="227"/>
    </row>
    <row r="13" spans="1:14" ht="13.5" x14ac:dyDescent="0.25">
      <c r="A13" s="318"/>
      <c r="B13" s="318"/>
      <c r="C13" s="318"/>
      <c r="D13" s="318"/>
      <c r="E13" s="318"/>
      <c r="F13" s="318"/>
      <c r="G13" s="318"/>
      <c r="H13" s="318"/>
      <c r="I13" s="318"/>
      <c r="J13" s="318"/>
      <c r="K13" s="318"/>
      <c r="L13" s="318"/>
      <c r="M13" s="318"/>
      <c r="N13" s="223"/>
    </row>
    <row r="14" spans="1:14" s="19" customFormat="1" ht="13.5" x14ac:dyDescent="0.25">
      <c r="A14" s="319">
        <v>40543</v>
      </c>
      <c r="B14" s="318"/>
      <c r="C14" s="91">
        <v>0</v>
      </c>
      <c r="D14" s="318"/>
      <c r="E14" s="320">
        <v>26457</v>
      </c>
      <c r="F14" s="321"/>
      <c r="G14" s="321">
        <v>26457</v>
      </c>
      <c r="H14" s="318"/>
      <c r="I14" s="322">
        <v>0</v>
      </c>
      <c r="J14" s="318"/>
      <c r="K14" s="323">
        <v>110452</v>
      </c>
      <c r="L14" s="318"/>
      <c r="M14" s="324">
        <v>0.24</v>
      </c>
      <c r="N14" s="223"/>
    </row>
    <row r="15" spans="1:14" s="19" customFormat="1" ht="13.5" x14ac:dyDescent="0.25">
      <c r="A15" s="319">
        <v>40908</v>
      </c>
      <c r="B15" s="318"/>
      <c r="C15" s="91">
        <v>0</v>
      </c>
      <c r="D15" s="325"/>
      <c r="E15" s="326">
        <v>29938</v>
      </c>
      <c r="F15" s="325"/>
      <c r="G15" s="325">
        <v>29938</v>
      </c>
      <c r="H15" s="318"/>
      <c r="I15" s="322">
        <v>0</v>
      </c>
      <c r="J15" s="318"/>
      <c r="K15" s="326">
        <v>113746</v>
      </c>
      <c r="L15" s="318"/>
      <c r="M15" s="324">
        <v>0.26320046419214743</v>
      </c>
      <c r="N15" s="223"/>
    </row>
    <row r="16" spans="1:14" s="19" customFormat="1" ht="13.5" x14ac:dyDescent="0.25">
      <c r="A16" s="319">
        <v>41274</v>
      </c>
      <c r="B16" s="318"/>
      <c r="C16" s="91">
        <v>0</v>
      </c>
      <c r="D16" s="325"/>
      <c r="E16" s="325">
        <v>36960</v>
      </c>
      <c r="F16" s="325"/>
      <c r="G16" s="325">
        <v>36960</v>
      </c>
      <c r="H16" s="318"/>
      <c r="I16" s="322">
        <v>0</v>
      </c>
      <c r="J16" s="318"/>
      <c r="K16" s="325">
        <v>126034</v>
      </c>
      <c r="L16" s="318"/>
      <c r="M16" s="324">
        <v>0.29325420124728246</v>
      </c>
      <c r="N16" s="223"/>
    </row>
    <row r="17" spans="1:14" s="19" customFormat="1" ht="13.5" x14ac:dyDescent="0.25">
      <c r="A17" s="319">
        <v>41639</v>
      </c>
      <c r="B17" s="318"/>
      <c r="C17" s="91">
        <v>0</v>
      </c>
      <c r="D17" s="318"/>
      <c r="E17" s="325">
        <v>41067</v>
      </c>
      <c r="F17" s="318"/>
      <c r="G17" s="325">
        <v>41067</v>
      </c>
      <c r="H17" s="318"/>
      <c r="I17" s="322">
        <v>0</v>
      </c>
      <c r="J17" s="318"/>
      <c r="K17" s="325">
        <v>132668</v>
      </c>
      <c r="L17" s="318"/>
      <c r="M17" s="324">
        <v>0.30954714022974644</v>
      </c>
      <c r="N17" s="223"/>
    </row>
    <row r="18" spans="1:14" s="19" customFormat="1" ht="13.5" x14ac:dyDescent="0.25">
      <c r="A18" s="319">
        <v>42004</v>
      </c>
      <c r="B18" s="318"/>
      <c r="C18" s="91">
        <v>0</v>
      </c>
      <c r="D18" s="318"/>
      <c r="E18" s="325">
        <v>45630</v>
      </c>
      <c r="F18" s="318"/>
      <c r="G18" s="325">
        <v>45630</v>
      </c>
      <c r="H18" s="318"/>
      <c r="I18" s="322">
        <v>0</v>
      </c>
      <c r="J18" s="318"/>
      <c r="K18" s="325">
        <v>139650</v>
      </c>
      <c r="L18" s="318"/>
      <c r="M18" s="324">
        <v>0.3267454350161117</v>
      </c>
      <c r="N18" s="223"/>
    </row>
    <row r="19" spans="1:14" s="19" customFormat="1" ht="13.5" x14ac:dyDescent="0.25">
      <c r="A19" s="319">
        <v>42369</v>
      </c>
      <c r="B19" s="318"/>
      <c r="C19" s="91">
        <v>0</v>
      </c>
      <c r="D19" s="318"/>
      <c r="E19" s="325">
        <v>50700</v>
      </c>
      <c r="F19" s="318"/>
      <c r="G19" s="325">
        <v>50700</v>
      </c>
      <c r="H19" s="318"/>
      <c r="I19" s="322">
        <v>0</v>
      </c>
      <c r="J19" s="318"/>
      <c r="K19" s="325">
        <v>147000</v>
      </c>
      <c r="L19" s="318"/>
      <c r="M19" s="324">
        <v>0.3448979591836735</v>
      </c>
      <c r="N19" s="223"/>
    </row>
    <row r="20" spans="1:14" ht="13.5" x14ac:dyDescent="0.25">
      <c r="A20" s="318"/>
      <c r="B20" s="318"/>
      <c r="C20" s="318"/>
      <c r="D20" s="318"/>
      <c r="E20" s="318"/>
      <c r="F20" s="318"/>
      <c r="G20" s="318"/>
      <c r="H20" s="318"/>
      <c r="I20" s="318"/>
      <c r="J20" s="318"/>
      <c r="K20" s="318"/>
      <c r="L20" s="318"/>
      <c r="M20" s="318"/>
      <c r="N20" s="223"/>
    </row>
    <row r="21" spans="1:14" ht="14.25" thickBot="1" x14ac:dyDescent="0.3">
      <c r="A21" s="223"/>
      <c r="B21" s="223"/>
      <c r="C21" s="223"/>
      <c r="D21" s="223"/>
      <c r="E21" s="223"/>
      <c r="F21" s="223"/>
      <c r="G21" s="223"/>
      <c r="H21" s="223"/>
      <c r="I21" s="223"/>
      <c r="J21" s="223"/>
      <c r="K21" s="223"/>
      <c r="L21" s="223"/>
      <c r="M21" s="223"/>
      <c r="N21" s="223"/>
    </row>
    <row r="22" spans="1:14" x14ac:dyDescent="0.2">
      <c r="A22" s="836" t="s">
        <v>668</v>
      </c>
      <c r="B22" s="837"/>
      <c r="C22" s="837"/>
      <c r="D22" s="837"/>
      <c r="E22" s="837"/>
      <c r="F22" s="837"/>
      <c r="G22" s="837"/>
      <c r="H22" s="837"/>
      <c r="I22" s="837"/>
      <c r="J22" s="837"/>
      <c r="K22" s="837"/>
      <c r="L22" s="837"/>
      <c r="M22" s="838"/>
    </row>
    <row r="23" spans="1:14" x14ac:dyDescent="0.2">
      <c r="A23" s="839"/>
      <c r="B23" s="840"/>
      <c r="C23" s="840"/>
      <c r="D23" s="840"/>
      <c r="E23" s="840"/>
      <c r="F23" s="840"/>
      <c r="G23" s="840"/>
      <c r="H23" s="840"/>
      <c r="I23" s="840"/>
      <c r="J23" s="840"/>
      <c r="K23" s="840"/>
      <c r="L23" s="840"/>
      <c r="M23" s="841"/>
    </row>
    <row r="24" spans="1:14" ht="13.5" thickBot="1" x14ac:dyDescent="0.25">
      <c r="A24" s="842"/>
      <c r="B24" s="843"/>
      <c r="C24" s="843"/>
      <c r="D24" s="843"/>
      <c r="E24" s="843"/>
      <c r="F24" s="843"/>
      <c r="G24" s="843"/>
      <c r="H24" s="843"/>
      <c r="I24" s="843"/>
      <c r="J24" s="843"/>
      <c r="K24" s="843"/>
      <c r="L24" s="843"/>
      <c r="M24" s="844"/>
    </row>
    <row r="25" spans="1:14" ht="13.5" x14ac:dyDescent="0.25">
      <c r="B25" s="216"/>
      <c r="C25" s="215"/>
      <c r="D25" s="216"/>
      <c r="E25" s="216"/>
      <c r="F25" s="216"/>
      <c r="G25" s="216"/>
      <c r="H25" s="216"/>
      <c r="I25" s="216"/>
      <c r="J25" s="216"/>
      <c r="K25" s="217"/>
      <c r="L25" s="217"/>
    </row>
    <row r="26" spans="1:14" ht="14.25" thickBot="1" x14ac:dyDescent="0.3">
      <c r="B26" s="250"/>
      <c r="J26" s="216"/>
      <c r="K26" s="217"/>
      <c r="L26" s="217"/>
    </row>
    <row r="27" spans="1:14" x14ac:dyDescent="0.2">
      <c r="A27" s="827" t="s">
        <v>669</v>
      </c>
      <c r="B27" s="828"/>
      <c r="C27" s="828"/>
      <c r="D27" s="828"/>
      <c r="E27" s="828"/>
      <c r="F27" s="828"/>
      <c r="G27" s="828"/>
      <c r="H27" s="828"/>
      <c r="I27" s="828"/>
      <c r="J27" s="828"/>
      <c r="K27" s="828"/>
      <c r="L27" s="828"/>
      <c r="M27" s="829"/>
    </row>
    <row r="28" spans="1:14" x14ac:dyDescent="0.2">
      <c r="A28" s="830"/>
      <c r="B28" s="831"/>
      <c r="C28" s="831"/>
      <c r="D28" s="831"/>
      <c r="E28" s="831"/>
      <c r="F28" s="831"/>
      <c r="G28" s="831"/>
      <c r="H28" s="831"/>
      <c r="I28" s="831"/>
      <c r="J28" s="831"/>
      <c r="K28" s="831"/>
      <c r="L28" s="831"/>
      <c r="M28" s="832"/>
    </row>
    <row r="29" spans="1:14" ht="13.5" thickBot="1" x14ac:dyDescent="0.25">
      <c r="A29" s="833"/>
      <c r="B29" s="834"/>
      <c r="C29" s="834"/>
      <c r="D29" s="834"/>
      <c r="E29" s="834"/>
      <c r="F29" s="834"/>
      <c r="G29" s="834"/>
      <c r="H29" s="834"/>
      <c r="I29" s="834"/>
      <c r="J29" s="834"/>
      <c r="K29" s="834"/>
      <c r="L29" s="834"/>
      <c r="M29" s="835"/>
    </row>
    <row r="30" spans="1:14" x14ac:dyDescent="0.2">
      <c r="J30" s="218"/>
      <c r="K30" s="217"/>
      <c r="L30" s="217"/>
    </row>
    <row r="31" spans="1:14" x14ac:dyDescent="0.2">
      <c r="J31" s="218"/>
      <c r="K31" s="217"/>
      <c r="L31" s="217"/>
    </row>
    <row r="32" spans="1:14" x14ac:dyDescent="0.2">
      <c r="J32" s="218"/>
      <c r="K32" s="217"/>
      <c r="L32" s="217"/>
    </row>
    <row r="33" spans="2:12" x14ac:dyDescent="0.2">
      <c r="J33" s="218"/>
      <c r="K33" s="217"/>
      <c r="L33" s="217"/>
    </row>
    <row r="34" spans="2:12" ht="13.5" x14ac:dyDescent="0.25">
      <c r="B34" s="216"/>
      <c r="C34" s="216"/>
      <c r="D34" s="216"/>
      <c r="E34" s="216"/>
      <c r="F34" s="216"/>
      <c r="G34" s="216"/>
      <c r="H34" s="216"/>
      <c r="I34" s="216"/>
      <c r="J34" s="218"/>
      <c r="K34" s="217"/>
      <c r="L34" s="217"/>
    </row>
    <row r="35" spans="2:12" ht="13.5" x14ac:dyDescent="0.25">
      <c r="B35" s="216"/>
      <c r="C35" s="216"/>
      <c r="D35" s="216"/>
      <c r="E35" s="216"/>
      <c r="F35" s="216"/>
      <c r="G35" s="216"/>
      <c r="H35" s="216"/>
      <c r="I35" s="216"/>
      <c r="J35" s="218"/>
      <c r="K35" s="217"/>
      <c r="L35" s="217"/>
    </row>
    <row r="36" spans="2:12" ht="13.5" x14ac:dyDescent="0.25">
      <c r="B36" s="216"/>
      <c r="C36" s="216"/>
      <c r="D36" s="216"/>
      <c r="E36" s="216"/>
      <c r="F36" s="216" t="s">
        <v>172</v>
      </c>
      <c r="G36" s="216"/>
      <c r="H36" s="216"/>
      <c r="I36" s="216"/>
      <c r="J36" s="218"/>
      <c r="K36" s="217"/>
      <c r="L36" s="217"/>
    </row>
    <row r="37" spans="2:12" ht="13.5" x14ac:dyDescent="0.25">
      <c r="B37" s="216"/>
      <c r="C37" s="216"/>
      <c r="D37" s="216"/>
      <c r="E37" s="216"/>
      <c r="F37" s="216"/>
      <c r="G37" s="216"/>
      <c r="H37" s="216"/>
      <c r="I37" s="216"/>
      <c r="J37" s="218"/>
      <c r="K37" s="217"/>
      <c r="L37" s="217"/>
    </row>
    <row r="38" spans="2:12" ht="13.5" x14ac:dyDescent="0.25">
      <c r="B38" s="216"/>
      <c r="C38" s="216"/>
      <c r="D38" s="216"/>
      <c r="E38" s="216"/>
      <c r="F38" s="216"/>
      <c r="G38" s="216"/>
      <c r="H38" s="216"/>
      <c r="I38" s="216"/>
      <c r="J38" s="218"/>
      <c r="K38" s="217"/>
      <c r="L38" s="217"/>
    </row>
    <row r="39" spans="2:12" ht="13.5" x14ac:dyDescent="0.25">
      <c r="B39" s="216"/>
      <c r="C39" s="216"/>
      <c r="D39" s="216"/>
      <c r="E39" s="216"/>
      <c r="F39" s="216"/>
      <c r="G39" s="216"/>
      <c r="H39" s="216"/>
      <c r="I39" s="216"/>
      <c r="J39" s="218"/>
      <c r="K39" s="217"/>
      <c r="L39" s="217"/>
    </row>
    <row r="40" spans="2:12" ht="13.5" x14ac:dyDescent="0.25">
      <c r="B40" s="216"/>
      <c r="C40" s="216"/>
      <c r="D40" s="216"/>
      <c r="E40" s="216"/>
      <c r="F40" s="216"/>
      <c r="G40" s="216"/>
      <c r="H40" s="216"/>
      <c r="I40" s="216"/>
      <c r="J40" s="218"/>
      <c r="K40" s="217"/>
      <c r="L40" s="217"/>
    </row>
    <row r="41" spans="2:12" ht="13.5" x14ac:dyDescent="0.25">
      <c r="B41" s="216"/>
      <c r="C41" s="216"/>
      <c r="D41" s="216"/>
      <c r="E41" s="216"/>
      <c r="F41" s="216"/>
      <c r="G41" s="216"/>
      <c r="H41" s="216"/>
      <c r="I41" s="216"/>
      <c r="J41" s="218"/>
      <c r="K41" s="217"/>
      <c r="L41" s="217"/>
    </row>
    <row r="42" spans="2:12" ht="13.5" x14ac:dyDescent="0.25">
      <c r="B42" s="216"/>
      <c r="C42" s="216"/>
      <c r="D42" s="216"/>
      <c r="E42" s="216"/>
      <c r="F42" s="219"/>
      <c r="G42" s="216"/>
      <c r="H42" s="216"/>
      <c r="I42" s="220"/>
      <c r="J42" s="218"/>
      <c r="K42" s="217"/>
      <c r="L42" s="217"/>
    </row>
    <row r="43" spans="2:12" ht="13.5" x14ac:dyDescent="0.25">
      <c r="B43" s="216"/>
      <c r="C43" s="216"/>
      <c r="D43" s="216"/>
      <c r="E43" s="216"/>
      <c r="F43" s="216"/>
      <c r="G43" s="216"/>
      <c r="H43" s="216"/>
      <c r="I43" s="221"/>
      <c r="J43" s="216"/>
      <c r="K43" s="217"/>
      <c r="L43" s="217"/>
    </row>
    <row r="44" spans="2:12" ht="13.5" x14ac:dyDescent="0.25">
      <c r="B44" s="216"/>
      <c r="C44" s="216"/>
      <c r="L44" s="217"/>
    </row>
    <row r="45" spans="2:12" ht="13.5" x14ac:dyDescent="0.25">
      <c r="B45" s="216"/>
      <c r="C45" s="216"/>
      <c r="L45" s="217"/>
    </row>
    <row r="46" spans="2:12" ht="13.5" x14ac:dyDescent="0.25">
      <c r="B46" s="216"/>
      <c r="C46" s="216"/>
      <c r="L46" s="217"/>
    </row>
    <row r="47" spans="2:12" ht="13.5" x14ac:dyDescent="0.25">
      <c r="B47" s="216"/>
      <c r="C47" s="216"/>
      <c r="L47" s="217"/>
    </row>
    <row r="48" spans="2:12" ht="13.5" x14ac:dyDescent="0.25">
      <c r="B48" s="216"/>
      <c r="C48" s="216"/>
      <c r="D48" s="216"/>
      <c r="E48" s="216"/>
      <c r="F48" s="219"/>
      <c r="G48" s="216"/>
      <c r="H48" s="216"/>
      <c r="I48" s="216"/>
      <c r="J48" s="216"/>
      <c r="K48" s="217"/>
      <c r="L48" s="217"/>
    </row>
    <row r="49" spans="2:12" ht="13.5" x14ac:dyDescent="0.25">
      <c r="B49" s="216"/>
      <c r="C49" s="216"/>
      <c r="L49" s="253"/>
    </row>
    <row r="50" spans="2:12" ht="13.5" x14ac:dyDescent="0.25">
      <c r="B50" s="216"/>
      <c r="C50" s="216"/>
      <c r="L50" s="253"/>
    </row>
    <row r="51" spans="2:12" ht="13.5" x14ac:dyDescent="0.25">
      <c r="B51" s="216"/>
      <c r="C51" s="216"/>
      <c r="L51" s="217"/>
    </row>
    <row r="52" spans="2:12" ht="13.5" x14ac:dyDescent="0.25">
      <c r="B52" s="216"/>
      <c r="C52" s="216"/>
      <c r="L52" s="217"/>
    </row>
    <row r="53" spans="2:12" x14ac:dyDescent="0.2">
      <c r="B53" s="825"/>
      <c r="C53" s="826"/>
      <c r="D53" s="826"/>
      <c r="E53" s="826"/>
      <c r="F53" s="826"/>
      <c r="G53" s="826"/>
      <c r="H53" s="826"/>
      <c r="I53" s="826"/>
      <c r="J53" s="826"/>
      <c r="K53" s="217"/>
      <c r="L53" s="217"/>
    </row>
    <row r="54" spans="2:12" ht="13.5" x14ac:dyDescent="0.25">
      <c r="B54" s="216"/>
      <c r="C54" s="216"/>
      <c r="D54" s="216"/>
      <c r="E54" s="216"/>
      <c r="F54" s="216"/>
      <c r="G54" s="216"/>
      <c r="H54" s="216"/>
      <c r="I54" s="216"/>
      <c r="J54" s="216"/>
      <c r="K54" s="222"/>
      <c r="L54" s="222"/>
    </row>
    <row r="55" spans="2:12" ht="13.5" x14ac:dyDescent="0.25">
      <c r="B55" s="216"/>
      <c r="C55" s="216"/>
      <c r="D55" s="216"/>
      <c r="E55" s="216"/>
      <c r="F55" s="216"/>
      <c r="G55" s="216"/>
      <c r="H55" s="216"/>
      <c r="I55" s="216"/>
      <c r="J55" s="216"/>
      <c r="K55" s="222"/>
      <c r="L55" s="222"/>
    </row>
    <row r="56" spans="2:12" ht="13.5" x14ac:dyDescent="0.25">
      <c r="B56" s="216"/>
      <c r="C56" s="216"/>
      <c r="D56" s="216"/>
      <c r="E56" s="216"/>
      <c r="F56" s="216"/>
      <c r="G56" s="216"/>
      <c r="H56" s="216"/>
      <c r="I56" s="216"/>
      <c r="J56" s="216"/>
      <c r="K56" s="222"/>
      <c r="L56" s="222"/>
    </row>
  </sheetData>
  <customSheetViews>
    <customSheetView guid="{AB48C5D7-99F4-4378-A0F9-05018B348977}">
      <selection activeCell="J22" sqref="J22"/>
      <pageMargins left="0.75" right="0.75" top="1" bottom="1" header="0.5" footer="0.5"/>
      <pageSetup scale="79" firstPageNumber="89" orientation="portrait" useFirstPageNumber="1" r:id="rId1"/>
      <headerFooter alignWithMargins="0"/>
    </customSheetView>
  </customSheetViews>
  <mergeCells count="3">
    <mergeCell ref="B53:J53"/>
    <mergeCell ref="A27:M29"/>
    <mergeCell ref="A22:M24"/>
  </mergeCells>
  <phoneticPr fontId="0" type="noConversion"/>
  <pageMargins left="0.75" right="0.75" top="1" bottom="1" header="0.5" footer="0.5"/>
  <pageSetup scale="79" firstPageNumber="89" orientation="portrait" useFirstPageNumber="1"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pageSetUpPr fitToPage="1"/>
  </sheetPr>
  <dimension ref="A1:AK61"/>
  <sheetViews>
    <sheetView zoomScale="110" zoomScaleNormal="110" workbookViewId="0">
      <selection sqref="A1:AK27"/>
    </sheetView>
  </sheetViews>
  <sheetFormatPr defaultColWidth="8.85546875" defaultRowHeight="12.75" x14ac:dyDescent="0.2"/>
  <cols>
    <col min="1" max="1" width="35.85546875" style="19" customWidth="1"/>
    <col min="2" max="2" width="11.28515625" style="19" customWidth="1"/>
    <col min="3" max="3" width="1.28515625" style="19" customWidth="1"/>
    <col min="4" max="4" width="11.28515625" style="19" customWidth="1"/>
    <col min="5" max="5" width="1.28515625" style="19" customWidth="1"/>
    <col min="6" max="6" width="11.28515625" style="19" customWidth="1"/>
    <col min="7" max="7" width="1.28515625" style="19" customWidth="1"/>
    <col min="8" max="8" width="11.28515625" style="19" customWidth="1"/>
    <col min="9" max="9" width="1.28515625" style="19" customWidth="1"/>
    <col min="10" max="10" width="11.28515625" style="19" customWidth="1"/>
    <col min="11" max="11" width="1.28515625" style="19" customWidth="1"/>
    <col min="12" max="12" width="11.28515625" style="19" customWidth="1"/>
    <col min="13" max="13" width="1.28515625" style="19" customWidth="1"/>
    <col min="14" max="14" width="11.28515625" style="19" customWidth="1"/>
    <col min="15" max="15" width="1.28515625" style="19" customWidth="1"/>
    <col min="16" max="16" width="12.7109375" style="19" customWidth="1"/>
    <col min="17" max="17" width="1.28515625" style="19" customWidth="1"/>
    <col min="18" max="18" width="11.28515625" style="19" hidden="1" customWidth="1"/>
    <col min="19" max="19" width="1.28515625" style="19" hidden="1" customWidth="1"/>
    <col min="20" max="20" width="8.85546875" style="19" hidden="1" customWidth="1"/>
    <col min="21" max="21" width="1.28515625" style="19" hidden="1" customWidth="1"/>
    <col min="22" max="22" width="8.85546875" style="19" hidden="1" customWidth="1"/>
    <col min="23" max="23" width="1.28515625" style="19" hidden="1" customWidth="1"/>
    <col min="24" max="24" width="8.85546875" style="19" hidden="1" customWidth="1"/>
    <col min="25" max="25" width="1.28515625" style="19" hidden="1" customWidth="1"/>
    <col min="26" max="26" width="8.85546875" style="19" hidden="1" customWidth="1"/>
    <col min="27" max="27" width="1.28515625" style="19" hidden="1" customWidth="1"/>
    <col min="28" max="28" width="8.85546875" style="19" hidden="1" customWidth="1"/>
    <col min="29" max="29" width="1.28515625" style="19" hidden="1" customWidth="1"/>
    <col min="30" max="30" width="8.85546875" style="19" hidden="1" customWidth="1"/>
    <col min="31" max="31" width="1.28515625" style="19" hidden="1" customWidth="1"/>
    <col min="32" max="32" width="0.42578125" style="19" hidden="1" customWidth="1"/>
    <col min="33" max="34" width="0" style="19" hidden="1" customWidth="1"/>
    <col min="35" max="35" width="11.28515625" style="19" customWidth="1"/>
    <col min="36" max="36" width="1.28515625" style="19" customWidth="1"/>
    <col min="37" max="37" width="11.28515625" style="19" customWidth="1"/>
    <col min="38" max="16384" width="8.85546875" style="19"/>
  </cols>
  <sheetData>
    <row r="1" spans="1:37" x14ac:dyDescent="0.2">
      <c r="A1" s="777" t="s">
        <v>136</v>
      </c>
      <c r="B1" s="777"/>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c r="AG1" s="777"/>
      <c r="AH1" s="777"/>
      <c r="AI1" s="777"/>
      <c r="AJ1" s="777"/>
      <c r="AK1" s="777"/>
    </row>
    <row r="2" spans="1:37" x14ac:dyDescent="0.2">
      <c r="A2" s="777" t="s">
        <v>790</v>
      </c>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row>
    <row r="3" spans="1:37" x14ac:dyDescent="0.2">
      <c r="A3" s="777" t="s">
        <v>885</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row>
    <row r="4" spans="1:37" ht="12.75" customHeight="1" x14ac:dyDescent="0.25">
      <c r="A4" s="845"/>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row>
    <row r="7" spans="1:37" x14ac:dyDescent="0.2">
      <c r="B7" s="56">
        <v>2025</v>
      </c>
      <c r="D7" s="56">
        <v>2024</v>
      </c>
      <c r="F7" s="56">
        <v>2023</v>
      </c>
      <c r="H7" s="56">
        <v>2022</v>
      </c>
      <c r="J7" s="56">
        <v>2021</v>
      </c>
      <c r="L7" s="56">
        <v>2020</v>
      </c>
      <c r="N7" s="56">
        <v>2019</v>
      </c>
      <c r="O7" s="301"/>
      <c r="P7" s="56">
        <v>2018</v>
      </c>
      <c r="Q7" s="301"/>
      <c r="R7" s="301">
        <v>2013</v>
      </c>
      <c r="S7" s="301">
        <v>2012</v>
      </c>
      <c r="T7" s="301">
        <v>2012</v>
      </c>
      <c r="U7" s="301">
        <v>2011</v>
      </c>
      <c r="V7" s="301">
        <v>2011</v>
      </c>
      <c r="W7" s="301"/>
      <c r="X7" s="301">
        <v>2010</v>
      </c>
      <c r="Y7" s="301"/>
      <c r="Z7" s="301">
        <v>2009</v>
      </c>
      <c r="AA7" s="301"/>
      <c r="AB7" s="301">
        <v>2008</v>
      </c>
      <c r="AC7" s="301"/>
      <c r="AD7" s="301">
        <v>2007</v>
      </c>
      <c r="AE7" s="301"/>
      <c r="AF7" s="301">
        <v>2006</v>
      </c>
      <c r="AI7" s="56">
        <v>2017</v>
      </c>
      <c r="AJ7" s="301"/>
      <c r="AK7" s="56">
        <v>2016</v>
      </c>
    </row>
    <row r="8" spans="1:37" ht="25.5" x14ac:dyDescent="0.2">
      <c r="A8" s="606" t="s">
        <v>791</v>
      </c>
      <c r="B8" s="384">
        <v>2.7599999999999999E-4</v>
      </c>
      <c r="C8" s="230"/>
      <c r="D8" s="384">
        <v>2.2699999999999999E-4</v>
      </c>
      <c r="E8" s="230"/>
      <c r="F8" s="384">
        <v>2.6160000000000002E-4</v>
      </c>
      <c r="G8" s="230"/>
      <c r="H8" s="384">
        <v>2.9179999999999999E-4</v>
      </c>
      <c r="I8" s="230"/>
      <c r="J8" s="384">
        <v>2.8959999999999999E-4</v>
      </c>
      <c r="K8" s="230"/>
      <c r="L8" s="384">
        <v>2.898E-4</v>
      </c>
      <c r="M8" s="385"/>
      <c r="N8" s="384">
        <v>2.9798999999999998E-4</v>
      </c>
      <c r="P8" s="629">
        <v>2.8909999999999999E-3</v>
      </c>
      <c r="R8" s="384"/>
      <c r="T8" s="384"/>
      <c r="V8" s="384"/>
      <c r="X8" s="384"/>
      <c r="Z8" s="384"/>
      <c r="AB8" s="384"/>
      <c r="AD8" s="384"/>
      <c r="AF8" s="384"/>
      <c r="AI8" s="629">
        <v>2.8909999999999999E-3</v>
      </c>
      <c r="AK8" s="629">
        <v>2.8909999999999999E-3</v>
      </c>
    </row>
    <row r="9" spans="1:37" ht="25.5" x14ac:dyDescent="0.2">
      <c r="A9" s="606" t="s">
        <v>792</v>
      </c>
      <c r="B9" s="305">
        <v>654766</v>
      </c>
      <c r="C9" s="230"/>
      <c r="D9" s="305">
        <v>346796</v>
      </c>
      <c r="E9" s="230"/>
      <c r="F9" s="305">
        <v>555206</v>
      </c>
      <c r="G9" s="230"/>
      <c r="H9" s="305">
        <v>130958</v>
      </c>
      <c r="I9" s="230"/>
      <c r="J9" s="305">
        <v>127938</v>
      </c>
      <c r="K9" s="230"/>
      <c r="L9" s="305">
        <v>-170909</v>
      </c>
      <c r="N9" s="305">
        <v>350204</v>
      </c>
      <c r="P9" s="305">
        <v>284254</v>
      </c>
      <c r="R9" s="387"/>
      <c r="T9" s="387"/>
      <c r="V9" s="387"/>
      <c r="X9" s="387"/>
      <c r="Z9" s="387"/>
      <c r="AB9" s="387"/>
      <c r="AD9" s="387"/>
      <c r="AF9" s="387"/>
      <c r="AI9" s="305">
        <v>258442</v>
      </c>
      <c r="AK9" s="305">
        <v>257652</v>
      </c>
    </row>
    <row r="10" spans="1:37" x14ac:dyDescent="0.2">
      <c r="A10" s="582" t="s">
        <v>684</v>
      </c>
      <c r="B10" s="305">
        <f>'RSI - LGERS2'!D12</f>
        <v>1534526.8542199486</v>
      </c>
      <c r="D10" s="305">
        <f>'RSI - LGERS2'!F12</f>
        <v>1850442</v>
      </c>
      <c r="F10" s="305">
        <f>'RSI - LGERS2'!H12</f>
        <v>1698336</v>
      </c>
      <c r="H10" s="305">
        <f>'RSI - LGERS2'!J12</f>
        <v>1689436</v>
      </c>
      <c r="J10" s="305">
        <f>'RSI - LGERS2'!L12</f>
        <v>1757029.05</v>
      </c>
      <c r="L10" s="305">
        <f>'RSI - LGERS2'!N12</f>
        <v>1673361</v>
      </c>
      <c r="N10" s="305">
        <v>1593542</v>
      </c>
      <c r="P10" s="305">
        <v>1548652</v>
      </c>
      <c r="R10" s="387"/>
      <c r="T10" s="387"/>
      <c r="V10" s="387"/>
      <c r="X10" s="387"/>
      <c r="Z10" s="387"/>
      <c r="AB10" s="387"/>
      <c r="AD10" s="387"/>
      <c r="AF10" s="387"/>
      <c r="AI10" s="305">
        <v>1458562</v>
      </c>
      <c r="AK10" s="305">
        <v>1548652</v>
      </c>
    </row>
    <row r="11" spans="1:37" ht="38.25" x14ac:dyDescent="0.2">
      <c r="A11" s="605" t="s">
        <v>793</v>
      </c>
      <c r="B11" s="398">
        <f>B9/B10</f>
        <v>0.42668917666666673</v>
      </c>
      <c r="C11" s="303"/>
      <c r="D11" s="398">
        <f>D9/D10</f>
        <v>0.18741252090041191</v>
      </c>
      <c r="E11" s="303"/>
      <c r="F11" s="398">
        <f>F9/F10</f>
        <v>0.32691175362236918</v>
      </c>
      <c r="G11" s="303"/>
      <c r="H11" s="398">
        <f>H9/H10</f>
        <v>7.7515810009967823E-2</v>
      </c>
      <c r="I11" s="303"/>
      <c r="J11" s="398">
        <f>J9/J10</f>
        <v>7.2814960003080201E-2</v>
      </c>
      <c r="K11" s="303"/>
      <c r="L11" s="398">
        <f>L9/L10</f>
        <v>-0.10213516390067655</v>
      </c>
      <c r="M11" s="388"/>
      <c r="N11" s="398">
        <f>N9/N10</f>
        <v>0.21976452456226445</v>
      </c>
      <c r="P11" s="398">
        <f>P9/P10</f>
        <v>0.18354930610621367</v>
      </c>
      <c r="R11" s="386"/>
      <c r="T11" s="386"/>
      <c r="V11" s="386"/>
      <c r="X11" s="386"/>
      <c r="Z11" s="386"/>
      <c r="AB11" s="386"/>
      <c r="AD11" s="386"/>
      <c r="AF11" s="386"/>
      <c r="AI11" s="398">
        <f>AI9/AI10</f>
        <v>0.17718958810115717</v>
      </c>
      <c r="AK11" s="587">
        <f>AK9/AK10</f>
        <v>0.16637178656018267</v>
      </c>
    </row>
    <row r="12" spans="1:37" ht="25.5" x14ac:dyDescent="0.2">
      <c r="A12" s="605" t="s">
        <v>631</v>
      </c>
      <c r="B12" s="628">
        <v>0.86899999999999999</v>
      </c>
      <c r="C12" s="303"/>
      <c r="D12" s="628">
        <v>0.88200000000000001</v>
      </c>
      <c r="E12" s="303"/>
      <c r="F12" s="628">
        <v>0.90700000000000003</v>
      </c>
      <c r="G12" s="303"/>
      <c r="H12" s="628">
        <v>0.878</v>
      </c>
      <c r="I12" s="303"/>
      <c r="J12" s="628">
        <v>0.89400000000000002</v>
      </c>
      <c r="K12" s="303"/>
      <c r="L12" s="628">
        <v>0.9002</v>
      </c>
      <c r="M12" s="388"/>
      <c r="N12" s="628">
        <v>0.91979999999999995</v>
      </c>
      <c r="P12" s="628">
        <v>0.94179999999999997</v>
      </c>
      <c r="R12" s="386"/>
      <c r="T12" s="386"/>
      <c r="V12" s="386"/>
      <c r="X12" s="386"/>
      <c r="Z12" s="386"/>
      <c r="AB12" s="386"/>
      <c r="AD12" s="386"/>
      <c r="AF12" s="386"/>
      <c r="AI12" s="628">
        <v>0.91469999999999996</v>
      </c>
      <c r="AK12" s="628">
        <v>0.98089999999999999</v>
      </c>
    </row>
    <row r="16" spans="1:37" x14ac:dyDescent="0.2">
      <c r="A16" s="643" t="s">
        <v>794</v>
      </c>
    </row>
    <row r="17" spans="1:37" x14ac:dyDescent="0.2">
      <c r="A17" s="2" t="s">
        <v>795</v>
      </c>
    </row>
    <row r="18" spans="1:37" x14ac:dyDescent="0.2">
      <c r="A18" s="627" t="s">
        <v>796</v>
      </c>
      <c r="B18" s="541"/>
    </row>
    <row r="19" spans="1:37" x14ac:dyDescent="0.2">
      <c r="A19" s="2"/>
    </row>
    <row r="21" spans="1:37" ht="13.5" thickBot="1" x14ac:dyDescent="0.25"/>
    <row r="22" spans="1:37" ht="13.15" customHeight="1" thickBot="1" x14ac:dyDescent="0.25">
      <c r="A22" s="849" t="s">
        <v>884</v>
      </c>
      <c r="B22" s="850"/>
      <c r="C22" s="850"/>
      <c r="D22" s="850"/>
      <c r="E22" s="850"/>
      <c r="F22" s="850"/>
      <c r="G22" s="850"/>
      <c r="H22" s="850"/>
      <c r="I22" s="850"/>
      <c r="J22" s="850"/>
      <c r="K22" s="850"/>
      <c r="L22" s="850"/>
      <c r="M22" s="850"/>
      <c r="N22" s="850"/>
      <c r="O22" s="850"/>
      <c r="P22" s="851"/>
      <c r="Q22" s="101"/>
      <c r="R22" s="101"/>
      <c r="S22" s="101"/>
      <c r="T22" s="101"/>
      <c r="U22" s="101"/>
      <c r="V22" s="101"/>
      <c r="W22" s="101"/>
      <c r="X22" s="101"/>
      <c r="Y22" s="101"/>
      <c r="Z22" s="101"/>
      <c r="AA22" s="101"/>
      <c r="AB22" s="101"/>
      <c r="AC22" s="101"/>
      <c r="AD22" s="101"/>
      <c r="AE22" s="101"/>
      <c r="AF22" s="101"/>
      <c r="AG22" s="101"/>
      <c r="AH22" s="101"/>
      <c r="AI22" s="101"/>
      <c r="AJ22" s="231"/>
    </row>
    <row r="23" spans="1:37" ht="13.5" thickBot="1" x14ac:dyDescent="0.25">
      <c r="A23" s="506"/>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J23" s="506"/>
    </row>
    <row r="24" spans="1:37" ht="13.15" customHeight="1" thickBot="1" x14ac:dyDescent="0.25">
      <c r="A24" s="803" t="s">
        <v>653</v>
      </c>
      <c r="B24" s="804"/>
      <c r="C24" s="804"/>
      <c r="D24" s="804"/>
      <c r="E24" s="804"/>
      <c r="F24" s="804"/>
      <c r="G24" s="804"/>
      <c r="H24" s="804"/>
      <c r="I24" s="804"/>
      <c r="J24" s="804"/>
      <c r="K24" s="804"/>
      <c r="L24" s="804"/>
      <c r="M24" s="804"/>
      <c r="N24" s="804"/>
      <c r="O24" s="804"/>
      <c r="P24" s="805"/>
      <c r="Q24" s="230"/>
      <c r="R24" s="230"/>
      <c r="S24" s="230"/>
      <c r="T24" s="230"/>
      <c r="U24" s="230"/>
      <c r="V24" s="230"/>
      <c r="W24" s="230"/>
      <c r="X24" s="230"/>
      <c r="Y24" s="230"/>
      <c r="Z24" s="230"/>
      <c r="AA24" s="230"/>
      <c r="AB24" s="230"/>
      <c r="AC24" s="230"/>
      <c r="AD24" s="230"/>
      <c r="AE24" s="230"/>
      <c r="AF24" s="230"/>
      <c r="AG24" s="230"/>
      <c r="AH24" s="230"/>
      <c r="AI24" s="230"/>
      <c r="AJ24" s="626"/>
      <c r="AK24" s="231"/>
    </row>
    <row r="25" spans="1:37" ht="13.5" thickBot="1" x14ac:dyDescent="0.25">
      <c r="A25" s="506"/>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J25" s="506"/>
    </row>
    <row r="26" spans="1:37" ht="81.75" customHeight="1" thickBot="1" x14ac:dyDescent="0.25">
      <c r="A26" s="846" t="s">
        <v>786</v>
      </c>
      <c r="B26" s="847"/>
      <c r="C26" s="847"/>
      <c r="D26" s="847"/>
      <c r="E26" s="847"/>
      <c r="F26" s="847"/>
      <c r="G26" s="847"/>
      <c r="H26" s="847"/>
      <c r="I26" s="847"/>
      <c r="J26" s="847"/>
      <c r="K26" s="847"/>
      <c r="L26" s="847"/>
      <c r="M26" s="847"/>
      <c r="N26" s="847"/>
      <c r="O26" s="847"/>
      <c r="P26" s="848"/>
      <c r="Q26" s="231"/>
      <c r="R26" s="231"/>
      <c r="S26" s="231"/>
      <c r="T26" s="231"/>
      <c r="U26" s="231"/>
      <c r="V26" s="231"/>
      <c r="W26" s="231"/>
      <c r="X26" s="231"/>
      <c r="Y26" s="231"/>
      <c r="Z26" s="231"/>
      <c r="AA26" s="231"/>
      <c r="AB26" s="231"/>
      <c r="AC26" s="231"/>
      <c r="AD26" s="231"/>
      <c r="AE26" s="231"/>
      <c r="AF26" s="231"/>
      <c r="AG26" s="231"/>
      <c r="AH26" s="231"/>
      <c r="AI26" s="231"/>
      <c r="AJ26" s="231"/>
    </row>
    <row r="27" spans="1:37" x14ac:dyDescent="0.2">
      <c r="A27"/>
      <c r="B27"/>
      <c r="C27"/>
      <c r="D27"/>
      <c r="E27"/>
      <c r="F27"/>
      <c r="G27"/>
      <c r="H27"/>
      <c r="I27"/>
      <c r="J27"/>
      <c r="K27"/>
      <c r="L27"/>
      <c r="M27"/>
      <c r="N27"/>
      <c r="O27"/>
      <c r="P27"/>
      <c r="Q27"/>
      <c r="R27"/>
      <c r="S27"/>
      <c r="T27"/>
      <c r="U27"/>
      <c r="V27"/>
      <c r="W27"/>
      <c r="X27"/>
      <c r="Y27"/>
      <c r="Z27"/>
      <c r="AA27"/>
      <c r="AB27"/>
      <c r="AC27"/>
      <c r="AD27"/>
      <c r="AE27"/>
      <c r="AF27"/>
      <c r="AG27"/>
      <c r="AJ27"/>
    </row>
    <row r="28" spans="1:37" x14ac:dyDescent="0.2">
      <c r="A28"/>
      <c r="B28"/>
      <c r="C28"/>
      <c r="D28"/>
      <c r="E28"/>
      <c r="F28"/>
      <c r="G28"/>
      <c r="H28"/>
      <c r="I28"/>
      <c r="J28"/>
      <c r="K28"/>
      <c r="L28"/>
      <c r="M28"/>
      <c r="N28"/>
      <c r="O28"/>
      <c r="P28"/>
      <c r="Q28"/>
      <c r="R28"/>
      <c r="S28"/>
      <c r="T28"/>
      <c r="U28"/>
      <c r="V28"/>
      <c r="W28"/>
      <c r="X28"/>
      <c r="Y28"/>
      <c r="Z28"/>
      <c r="AA28"/>
      <c r="AB28"/>
      <c r="AC28"/>
      <c r="AD28"/>
      <c r="AE28"/>
      <c r="AF28"/>
      <c r="AG28"/>
      <c r="AJ28"/>
    </row>
    <row r="29" spans="1:37" x14ac:dyDescent="0.2">
      <c r="A29"/>
      <c r="B29"/>
      <c r="C29"/>
      <c r="D29"/>
      <c r="E29"/>
      <c r="F29"/>
      <c r="G29"/>
      <c r="H29"/>
      <c r="I29"/>
      <c r="J29"/>
      <c r="K29"/>
      <c r="L29"/>
      <c r="M29"/>
      <c r="N29"/>
      <c r="O29"/>
      <c r="P29"/>
      <c r="Q29"/>
      <c r="R29"/>
      <c r="S29"/>
      <c r="T29"/>
      <c r="U29"/>
      <c r="V29"/>
      <c r="W29"/>
      <c r="X29"/>
      <c r="Y29"/>
      <c r="Z29"/>
      <c r="AA29"/>
      <c r="AB29"/>
      <c r="AC29"/>
      <c r="AD29"/>
      <c r="AE29"/>
      <c r="AF29"/>
      <c r="AG29"/>
      <c r="AJ29"/>
    </row>
    <row r="30" spans="1:37" x14ac:dyDescent="0.2">
      <c r="A30"/>
      <c r="B30"/>
      <c r="C30"/>
      <c r="D30"/>
      <c r="E30"/>
      <c r="F30"/>
      <c r="G30"/>
      <c r="H30"/>
      <c r="I30"/>
      <c r="J30"/>
      <c r="K30"/>
      <c r="L30"/>
      <c r="M30"/>
      <c r="N30"/>
      <c r="O30"/>
      <c r="P30"/>
      <c r="Q30"/>
      <c r="R30"/>
      <c r="S30"/>
      <c r="T30"/>
      <c r="U30"/>
      <c r="V30"/>
      <c r="W30"/>
      <c r="X30"/>
      <c r="Y30"/>
      <c r="Z30"/>
      <c r="AA30"/>
      <c r="AB30"/>
      <c r="AC30"/>
      <c r="AD30"/>
      <c r="AE30"/>
      <c r="AF30"/>
      <c r="AG30"/>
      <c r="AJ30"/>
    </row>
    <row r="31" spans="1:37" x14ac:dyDescent="0.2">
      <c r="A31"/>
      <c r="B31"/>
      <c r="C31"/>
      <c r="D31"/>
      <c r="E31"/>
      <c r="F31"/>
      <c r="G31"/>
      <c r="H31"/>
      <c r="I31"/>
      <c r="J31"/>
      <c r="K31"/>
      <c r="L31"/>
      <c r="M31"/>
      <c r="N31"/>
      <c r="O31"/>
      <c r="P31"/>
      <c r="Q31"/>
      <c r="R31"/>
      <c r="S31"/>
      <c r="T31"/>
      <c r="U31"/>
      <c r="V31"/>
      <c r="W31"/>
      <c r="X31"/>
      <c r="Y31"/>
      <c r="Z31"/>
      <c r="AA31"/>
      <c r="AB31"/>
      <c r="AC31"/>
      <c r="AD31"/>
      <c r="AE31"/>
      <c r="AF31"/>
      <c r="AG31"/>
      <c r="AJ31"/>
    </row>
    <row r="32" spans="1:37" x14ac:dyDescent="0.2">
      <c r="A32"/>
      <c r="B32"/>
      <c r="C32"/>
      <c r="D32"/>
      <c r="E32"/>
      <c r="F32"/>
      <c r="G32"/>
      <c r="H32"/>
      <c r="I32"/>
      <c r="J32"/>
      <c r="K32"/>
      <c r="L32"/>
      <c r="M32"/>
      <c r="N32"/>
      <c r="O32"/>
      <c r="P32"/>
      <c r="Q32"/>
      <c r="R32"/>
      <c r="S32"/>
      <c r="T32"/>
      <c r="U32"/>
      <c r="V32"/>
      <c r="W32"/>
      <c r="X32"/>
      <c r="Y32"/>
      <c r="Z32"/>
      <c r="AA32"/>
      <c r="AB32"/>
      <c r="AC32"/>
      <c r="AD32"/>
      <c r="AE32"/>
      <c r="AF32"/>
      <c r="AG32"/>
      <c r="AJ32"/>
    </row>
    <row r="33" spans="1:16" x14ac:dyDescent="0.2">
      <c r="A33" s="399"/>
      <c r="B33" s="399"/>
      <c r="C33" s="399"/>
      <c r="D33" s="399"/>
      <c r="E33" s="399"/>
      <c r="F33" s="399"/>
      <c r="G33" s="399"/>
      <c r="H33" s="399"/>
      <c r="I33" s="399"/>
      <c r="J33" s="399"/>
      <c r="K33" s="399"/>
      <c r="L33" s="399"/>
      <c r="M33" s="399"/>
      <c r="N33" s="399"/>
      <c r="O33" s="399"/>
      <c r="P33" s="399"/>
    </row>
    <row r="61" spans="1:2" x14ac:dyDescent="0.2">
      <c r="A61" s="541"/>
      <c r="B61" s="541"/>
    </row>
  </sheetData>
  <mergeCells count="7">
    <mergeCell ref="A4:AF4"/>
    <mergeCell ref="A1:AK1"/>
    <mergeCell ref="A2:AK2"/>
    <mergeCell ref="A3:AK3"/>
    <mergeCell ref="A26:P26"/>
    <mergeCell ref="A24:P24"/>
    <mergeCell ref="A22:P22"/>
  </mergeCells>
  <printOptions horizontalCentered="1"/>
  <pageMargins left="0.7" right="0.7" top="0.75" bottom="0.75" header="0.3" footer="0.3"/>
  <pageSetup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pageSetUpPr fitToPage="1"/>
  </sheetPr>
  <dimension ref="A1:AK64"/>
  <sheetViews>
    <sheetView topLeftCell="A9" workbookViewId="0">
      <selection activeCell="AO27" sqref="AO27"/>
    </sheetView>
  </sheetViews>
  <sheetFormatPr defaultColWidth="8.85546875" defaultRowHeight="12.75" x14ac:dyDescent="0.2"/>
  <cols>
    <col min="1" max="1" width="30.85546875" style="19" customWidth="1"/>
    <col min="2" max="2" width="11.5703125" style="19" customWidth="1"/>
    <col min="3" max="3" width="1.28515625" style="19" customWidth="1"/>
    <col min="4" max="4" width="11.5703125" style="19" customWidth="1"/>
    <col min="5" max="5" width="1.28515625" style="19" customWidth="1"/>
    <col min="6" max="6" width="11.5703125" style="19" customWidth="1"/>
    <col min="7" max="7" width="1.28515625" style="19" customWidth="1"/>
    <col min="8" max="8" width="11.5703125" style="19" customWidth="1"/>
    <col min="9" max="9" width="1.28515625" style="19" customWidth="1"/>
    <col min="10" max="10" width="11.5703125" style="19" customWidth="1"/>
    <col min="11" max="11" width="1.28515625" style="19" customWidth="1"/>
    <col min="12" max="12" width="11.5703125" style="19" customWidth="1"/>
    <col min="13" max="13" width="1.28515625" style="19" customWidth="1"/>
    <col min="14" max="14" width="11.5703125" style="19" customWidth="1"/>
    <col min="15" max="15" width="1.28515625" style="19" customWidth="1"/>
    <col min="16" max="16" width="11.5703125" style="19" customWidth="1"/>
    <col min="17" max="17" width="1.28515625" style="19" customWidth="1"/>
    <col min="18" max="18" width="12.140625" style="19" hidden="1" customWidth="1"/>
    <col min="19" max="19" width="1.28515625" style="19" hidden="1" customWidth="1"/>
    <col min="20" max="20" width="5" style="19" hidden="1" customWidth="1"/>
    <col min="21" max="21" width="1.28515625" style="19" hidden="1" customWidth="1"/>
    <col min="22" max="22" width="5" style="19" hidden="1" customWidth="1"/>
    <col min="23" max="23" width="1.28515625" style="19" hidden="1" customWidth="1"/>
    <col min="24" max="24" width="5" style="19" hidden="1" customWidth="1"/>
    <col min="25" max="25" width="1.28515625" style="19" hidden="1" customWidth="1"/>
    <col min="26" max="26" width="5" style="19" hidden="1" customWidth="1"/>
    <col min="27" max="27" width="1.28515625" style="19" hidden="1" customWidth="1"/>
    <col min="28" max="28" width="5" style="19" hidden="1" customWidth="1"/>
    <col min="29" max="29" width="1.28515625" style="19" hidden="1" customWidth="1"/>
    <col min="30" max="30" width="5" style="19" hidden="1" customWidth="1"/>
    <col min="31" max="31" width="1.28515625" style="19" hidden="1" customWidth="1"/>
    <col min="32" max="32" width="5" style="19" hidden="1" customWidth="1"/>
    <col min="33" max="33" width="1.42578125" style="19" hidden="1" customWidth="1"/>
    <col min="34" max="34" width="5" style="19" hidden="1" customWidth="1"/>
    <col min="35" max="35" width="11.5703125" style="19" customWidth="1"/>
    <col min="36" max="36" width="1.28515625" style="19" customWidth="1"/>
    <col min="37" max="37" width="11.5703125" style="19" customWidth="1"/>
    <col min="38" max="16384" width="8.85546875" style="19"/>
  </cols>
  <sheetData>
    <row r="1" spans="1:37" ht="12.75" customHeight="1" x14ac:dyDescent="0.2">
      <c r="A1" s="777" t="s">
        <v>136</v>
      </c>
      <c r="B1" s="777"/>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c r="AG1" s="777"/>
      <c r="AH1" s="777"/>
      <c r="AI1" s="777"/>
      <c r="AJ1" s="777"/>
      <c r="AK1" s="777"/>
    </row>
    <row r="2" spans="1:37" ht="12.75" customHeight="1" x14ac:dyDescent="0.2">
      <c r="A2" s="777" t="s">
        <v>797</v>
      </c>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row>
    <row r="3" spans="1:37" ht="12.75" customHeight="1" x14ac:dyDescent="0.2">
      <c r="A3" s="777" t="s">
        <v>885</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row>
    <row r="4" spans="1:37" ht="12.75" customHeight="1" x14ac:dyDescent="0.25">
      <c r="A4" s="777"/>
      <c r="B4" s="777"/>
      <c r="C4" s="777"/>
      <c r="D4" s="777"/>
      <c r="E4" s="777"/>
      <c r="F4" s="777"/>
      <c r="G4" s="777"/>
      <c r="H4" s="777"/>
      <c r="I4" s="777"/>
      <c r="J4" s="777"/>
      <c r="K4" s="777"/>
      <c r="L4" s="777"/>
      <c r="M4" s="777"/>
      <c r="N4" s="777"/>
      <c r="O4" s="777"/>
      <c r="P4" s="777"/>
      <c r="Q4" s="777"/>
      <c r="R4" s="845"/>
      <c r="S4" s="845"/>
      <c r="T4" s="845"/>
      <c r="U4" s="845"/>
      <c r="V4" s="845"/>
      <c r="W4" s="845"/>
      <c r="X4" s="845"/>
      <c r="Y4" s="845"/>
      <c r="Z4" s="845"/>
      <c r="AA4" s="845"/>
      <c r="AB4" s="845"/>
      <c r="AC4" s="845"/>
      <c r="AD4" s="845"/>
      <c r="AE4" s="845"/>
      <c r="AF4" s="845"/>
    </row>
    <row r="5" spans="1:37" ht="12.75" customHeight="1" x14ac:dyDescent="0.25">
      <c r="A5" s="228"/>
      <c r="B5" s="228"/>
      <c r="C5" s="228"/>
      <c r="D5" s="228"/>
      <c r="E5" s="228"/>
      <c r="F5" s="228"/>
      <c r="G5" s="228"/>
      <c r="H5" s="228"/>
      <c r="I5" s="228"/>
      <c r="J5" s="228"/>
      <c r="K5" s="228"/>
      <c r="L5" s="228"/>
      <c r="M5" s="228"/>
      <c r="N5" s="228"/>
      <c r="O5" s="228"/>
      <c r="P5" s="228"/>
      <c r="Q5" s="228"/>
      <c r="R5" s="521"/>
      <c r="S5" s="521"/>
      <c r="T5" s="521"/>
      <c r="U5" s="521"/>
      <c r="V5" s="521"/>
      <c r="W5" s="521"/>
      <c r="X5" s="521"/>
      <c r="Y5" s="521"/>
      <c r="Z5" s="521"/>
      <c r="AA5" s="521"/>
      <c r="AB5" s="521"/>
      <c r="AC5" s="521"/>
      <c r="AD5" s="521"/>
      <c r="AE5" s="521"/>
      <c r="AF5" s="521"/>
      <c r="AJ5" s="521"/>
    </row>
    <row r="6" spans="1:37" ht="12.75" customHeight="1" x14ac:dyDescent="0.2"/>
    <row r="7" spans="1:37" x14ac:dyDescent="0.2">
      <c r="B7" s="56">
        <v>2025</v>
      </c>
      <c r="D7" s="56">
        <v>2024</v>
      </c>
      <c r="F7" s="56">
        <v>2023</v>
      </c>
      <c r="H7" s="56">
        <v>2022</v>
      </c>
      <c r="J7" s="56">
        <v>2021</v>
      </c>
      <c r="L7" s="56">
        <v>2020</v>
      </c>
      <c r="N7" s="56">
        <v>2019</v>
      </c>
      <c r="O7" s="301"/>
      <c r="P7" s="56">
        <v>2018</v>
      </c>
      <c r="Q7" s="301"/>
      <c r="R7" s="56">
        <v>2015</v>
      </c>
      <c r="S7" s="301"/>
      <c r="T7" s="301">
        <v>2012</v>
      </c>
      <c r="U7" s="301"/>
      <c r="V7" s="301">
        <v>2011</v>
      </c>
      <c r="W7" s="301"/>
      <c r="X7" s="301">
        <v>2010</v>
      </c>
      <c r="Y7" s="301"/>
      <c r="Z7" s="301">
        <v>2009</v>
      </c>
      <c r="AA7" s="301"/>
      <c r="AB7" s="301">
        <v>2008</v>
      </c>
      <c r="AC7" s="301"/>
      <c r="AD7" s="301">
        <v>2007</v>
      </c>
      <c r="AE7" s="301"/>
      <c r="AF7" s="301">
        <v>2006</v>
      </c>
      <c r="AI7" s="56">
        <v>2017</v>
      </c>
      <c r="AJ7" s="301"/>
      <c r="AK7" s="56">
        <v>2016</v>
      </c>
    </row>
    <row r="8" spans="1:37" x14ac:dyDescent="0.2">
      <c r="A8" s="19" t="s">
        <v>632</v>
      </c>
      <c r="B8" s="305">
        <v>155000</v>
      </c>
      <c r="D8" s="305">
        <v>120000</v>
      </c>
      <c r="F8" s="305">
        <v>125000</v>
      </c>
      <c r="H8" s="305">
        <v>128000</v>
      </c>
      <c r="J8" s="305">
        <v>127000</v>
      </c>
      <c r="L8" s="305">
        <v>125000</v>
      </c>
      <c r="M8" s="385"/>
      <c r="N8" s="305">
        <v>119478</v>
      </c>
      <c r="P8" s="305">
        <v>118546</v>
      </c>
      <c r="R8" s="305">
        <v>118546</v>
      </c>
      <c r="T8" s="305"/>
      <c r="V8" s="305"/>
      <c r="X8" s="305"/>
      <c r="Z8" s="305"/>
      <c r="AB8" s="305"/>
      <c r="AD8" s="305"/>
      <c r="AF8" s="305"/>
      <c r="AI8" s="305">
        <v>115000</v>
      </c>
      <c r="AK8" s="583">
        <v>113000</v>
      </c>
    </row>
    <row r="9" spans="1:37" ht="25.5" x14ac:dyDescent="0.2">
      <c r="A9" s="230" t="s">
        <v>633</v>
      </c>
      <c r="B9" s="267">
        <v>155000</v>
      </c>
      <c r="C9" s="230"/>
      <c r="D9" s="267">
        <v>120000</v>
      </c>
      <c r="E9" s="230"/>
      <c r="F9" s="267">
        <v>125000</v>
      </c>
      <c r="G9" s="230"/>
      <c r="H9" s="267">
        <f>H8</f>
        <v>128000</v>
      </c>
      <c r="I9" s="230"/>
      <c r="J9" s="267">
        <f>J8</f>
        <v>127000</v>
      </c>
      <c r="K9" s="230"/>
      <c r="L9" s="267">
        <v>125000</v>
      </c>
      <c r="N9" s="267">
        <v>119478</v>
      </c>
      <c r="P9" s="267">
        <v>118546</v>
      </c>
      <c r="R9" s="267">
        <v>118546</v>
      </c>
      <c r="T9" s="267"/>
      <c r="V9" s="267"/>
      <c r="X9" s="267"/>
      <c r="Z9" s="267"/>
      <c r="AB9" s="267"/>
      <c r="AD9" s="267"/>
      <c r="AF9" s="267"/>
      <c r="AI9" s="267">
        <v>115000</v>
      </c>
      <c r="AK9" s="584">
        <v>116000</v>
      </c>
    </row>
    <row r="10" spans="1:37" ht="13.5" thickBot="1" x14ac:dyDescent="0.25">
      <c r="A10" s="303" t="s">
        <v>634</v>
      </c>
      <c r="B10" s="307">
        <f>B8-B9</f>
        <v>0</v>
      </c>
      <c r="C10" s="303"/>
      <c r="D10" s="307">
        <f>D8-D9</f>
        <v>0</v>
      </c>
      <c r="E10" s="303"/>
      <c r="F10" s="307">
        <f>F8-F9</f>
        <v>0</v>
      </c>
      <c r="G10" s="303"/>
      <c r="H10" s="307">
        <f>H8-H9</f>
        <v>0</v>
      </c>
      <c r="I10" s="303"/>
      <c r="J10" s="307">
        <f>J8-J9</f>
        <v>0</v>
      </c>
      <c r="K10" s="303"/>
      <c r="L10" s="307">
        <f>L8-L9</f>
        <v>0</v>
      </c>
      <c r="M10" s="389"/>
      <c r="N10" s="307">
        <v>0</v>
      </c>
      <c r="P10" s="307">
        <v>0</v>
      </c>
      <c r="R10" s="307">
        <v>0</v>
      </c>
      <c r="S10" s="389"/>
      <c r="T10" s="307">
        <f>T8-T9</f>
        <v>0</v>
      </c>
      <c r="U10" s="389"/>
      <c r="V10" s="307">
        <f>V8-V9</f>
        <v>0</v>
      </c>
      <c r="W10" s="389"/>
      <c r="X10" s="307">
        <f>X8-X9</f>
        <v>0</v>
      </c>
      <c r="Y10" s="389"/>
      <c r="Z10" s="307">
        <f>Z8-Z9</f>
        <v>0</v>
      </c>
      <c r="AA10" s="389"/>
      <c r="AB10" s="307">
        <f>AB8-AB9</f>
        <v>0</v>
      </c>
      <c r="AC10" s="389"/>
      <c r="AD10" s="307">
        <f>AD8-AD9</f>
        <v>0</v>
      </c>
      <c r="AE10" s="389"/>
      <c r="AF10" s="307">
        <f>AF8-AF9</f>
        <v>0</v>
      </c>
      <c r="AI10" s="307">
        <v>0</v>
      </c>
      <c r="AK10" s="307">
        <v>0</v>
      </c>
    </row>
    <row r="11" spans="1:37" ht="13.5" thickTop="1" x14ac:dyDescent="0.2">
      <c r="A11" s="303"/>
      <c r="B11" s="305"/>
      <c r="C11" s="303"/>
      <c r="D11" s="305"/>
      <c r="E11" s="303"/>
      <c r="F11" s="305"/>
      <c r="G11" s="303"/>
      <c r="H11" s="305"/>
      <c r="I11" s="303"/>
      <c r="J11" s="305"/>
      <c r="K11" s="303"/>
      <c r="L11" s="305"/>
      <c r="M11" s="758"/>
      <c r="N11" s="305"/>
      <c r="P11" s="305"/>
      <c r="R11" s="305"/>
      <c r="S11" s="758"/>
      <c r="T11" s="305"/>
      <c r="U11" s="758"/>
      <c r="V11" s="305"/>
      <c r="W11" s="758"/>
      <c r="X11" s="305"/>
      <c r="Y11" s="758"/>
      <c r="Z11" s="305"/>
      <c r="AA11" s="758"/>
      <c r="AB11" s="305"/>
      <c r="AC11" s="758"/>
      <c r="AD11" s="305"/>
      <c r="AE11" s="758"/>
      <c r="AF11" s="305"/>
      <c r="AI11" s="305"/>
      <c r="AK11" s="305"/>
    </row>
    <row r="12" spans="1:37" x14ac:dyDescent="0.2">
      <c r="A12" s="772" t="s">
        <v>684</v>
      </c>
      <c r="B12" s="305">
        <f>B8/B13</f>
        <v>1923076.923076923</v>
      </c>
      <c r="D12" s="305">
        <f>D8/D13</f>
        <v>1534526.8542199486</v>
      </c>
      <c r="F12" s="305">
        <v>1850442</v>
      </c>
      <c r="H12" s="305">
        <v>1698336</v>
      </c>
      <c r="J12" s="305">
        <v>1689436</v>
      </c>
      <c r="L12" s="305">
        <v>1757029.05</v>
      </c>
      <c r="N12" s="305">
        <v>1673361</v>
      </c>
      <c r="P12" s="305">
        <v>1593542</v>
      </c>
      <c r="R12" s="305">
        <v>1593542</v>
      </c>
      <c r="T12" s="305"/>
      <c r="V12" s="305"/>
      <c r="X12" s="305"/>
      <c r="Z12" s="305"/>
      <c r="AB12" s="305"/>
      <c r="AD12" s="305"/>
      <c r="AF12" s="305"/>
      <c r="AI12" s="305">
        <v>1559342</v>
      </c>
      <c r="AK12" s="583">
        <v>1360543</v>
      </c>
    </row>
    <row r="13" spans="1:37" ht="25.5" x14ac:dyDescent="0.2">
      <c r="A13" s="303" t="s">
        <v>673</v>
      </c>
      <c r="B13" s="486">
        <v>8.0600000000000005E-2</v>
      </c>
      <c r="C13" s="303"/>
      <c r="D13" s="486">
        <v>7.8200000000000006E-2</v>
      </c>
      <c r="E13" s="303"/>
      <c r="F13" s="486">
        <f>IF(F12=0," ",F9/F12)</f>
        <v>6.7551428253357845E-2</v>
      </c>
      <c r="G13" s="303"/>
      <c r="H13" s="486">
        <f>IF(H12=0," ",H9/H12)</f>
        <v>7.5367889510673983E-2</v>
      </c>
      <c r="I13" s="303"/>
      <c r="J13" s="486">
        <f>IF(J12=0," ",J9/J12)</f>
        <v>7.5173016320239414E-2</v>
      </c>
      <c r="K13" s="303"/>
      <c r="L13" s="486">
        <f>IF(L12=0," ",L9/L12)</f>
        <v>7.1142819181048825E-2</v>
      </c>
      <c r="M13" s="388"/>
      <c r="N13" s="486">
        <v>7.1400014700952155E-2</v>
      </c>
      <c r="P13" s="486">
        <f>IF(P12=0," ",P9/P12)</f>
        <v>7.4391512743310184E-2</v>
      </c>
      <c r="R13" s="486">
        <f>IF(R12=0," ",R9/R12)</f>
        <v>7.4391512743310184E-2</v>
      </c>
      <c r="T13" s="101" t="str">
        <f>IF(T12=0," ",T9/T12)</f>
        <v xml:space="preserve"> </v>
      </c>
      <c r="V13" s="101" t="str">
        <f>IF(V12=0," ",V9/V12)</f>
        <v xml:space="preserve"> </v>
      </c>
      <c r="X13" s="101" t="str">
        <f>IF(X12=0," ",X9/X12)</f>
        <v xml:space="preserve"> </v>
      </c>
      <c r="Z13" s="101" t="str">
        <f>IF(Z12=0," ",Z9/Z12)</f>
        <v xml:space="preserve"> </v>
      </c>
      <c r="AB13" s="101" t="str">
        <f>IF(AB12=0," ",AB9/AB12)</f>
        <v xml:space="preserve"> </v>
      </c>
      <c r="AD13" s="101" t="str">
        <f>IF(AD12=0," ",AD9/AD12)</f>
        <v xml:space="preserve"> </v>
      </c>
      <c r="AF13" s="101" t="str">
        <f>IF(AF12=0," ",AF9/AF12)</f>
        <v xml:space="preserve"> </v>
      </c>
      <c r="AI13" s="486">
        <f>IF(AI12=0," ",AI9/AI12)</f>
        <v>7.374905569143908E-2</v>
      </c>
      <c r="AK13" s="388">
        <f>IF(AK12=0," ",AK9/AK12)</f>
        <v>8.5260076307768301E-2</v>
      </c>
    </row>
    <row r="14" spans="1:37" x14ac:dyDescent="0.2">
      <c r="A14" s="303"/>
      <c r="B14" s="486"/>
      <c r="C14" s="303"/>
      <c r="D14" s="486"/>
      <c r="E14" s="303"/>
      <c r="F14" s="486"/>
      <c r="G14" s="303"/>
      <c r="H14" s="486"/>
      <c r="I14" s="303"/>
      <c r="J14" s="486"/>
      <c r="K14" s="303"/>
      <c r="L14" s="486"/>
      <c r="M14" s="388"/>
      <c r="N14" s="486"/>
      <c r="P14" s="486"/>
      <c r="R14" s="486"/>
      <c r="T14" s="101"/>
      <c r="V14" s="101"/>
      <c r="X14" s="101"/>
      <c r="Z14" s="101"/>
      <c r="AB14" s="101"/>
      <c r="AD14" s="101"/>
      <c r="AF14" s="101"/>
      <c r="AI14" s="486"/>
      <c r="AK14" s="388"/>
    </row>
    <row r="15" spans="1:37" x14ac:dyDescent="0.2">
      <c r="A15" s="303"/>
      <c r="B15" s="486"/>
      <c r="C15" s="303"/>
      <c r="D15" s="486"/>
      <c r="E15" s="303"/>
      <c r="F15" s="486"/>
      <c r="G15" s="303"/>
      <c r="H15" s="486"/>
      <c r="I15" s="303"/>
      <c r="J15" s="486"/>
      <c r="K15" s="303"/>
      <c r="L15" s="486"/>
      <c r="M15" s="388"/>
      <c r="N15" s="486"/>
      <c r="P15" s="486"/>
      <c r="R15" s="486"/>
      <c r="T15" s="101"/>
      <c r="V15" s="101"/>
      <c r="X15" s="101"/>
      <c r="Z15" s="101"/>
      <c r="AB15" s="101"/>
      <c r="AD15" s="101"/>
      <c r="AF15" s="101"/>
      <c r="AI15" s="486"/>
      <c r="AK15" s="388"/>
    </row>
    <row r="16" spans="1:37" x14ac:dyDescent="0.2">
      <c r="A16" s="303"/>
      <c r="B16" s="486"/>
      <c r="C16" s="303"/>
      <c r="D16" s="486"/>
      <c r="E16" s="303"/>
      <c r="F16" s="486"/>
      <c r="G16" s="303"/>
      <c r="H16" s="486"/>
      <c r="I16" s="303"/>
      <c r="J16" s="486"/>
      <c r="K16" s="303"/>
      <c r="L16" s="486"/>
      <c r="M16" s="388"/>
      <c r="N16" s="486"/>
      <c r="P16" s="486"/>
      <c r="R16" s="486"/>
      <c r="T16" s="101"/>
      <c r="V16" s="101"/>
      <c r="X16" s="101"/>
      <c r="Z16" s="101"/>
      <c r="AB16" s="101"/>
      <c r="AD16" s="101"/>
      <c r="AF16" s="101"/>
      <c r="AI16" s="486"/>
      <c r="AK16" s="388"/>
    </row>
    <row r="17" spans="1:37" x14ac:dyDescent="0.2">
      <c r="A17" s="630" t="s">
        <v>686</v>
      </c>
      <c r="B17" s="631"/>
      <c r="C17" s="632"/>
      <c r="D17" s="631"/>
      <c r="E17" s="631"/>
      <c r="F17" s="631"/>
      <c r="G17" s="632"/>
      <c r="H17" s="631"/>
      <c r="I17" s="633"/>
      <c r="J17" s="631"/>
      <c r="K17" s="634"/>
      <c r="L17" s="631"/>
      <c r="M17" s="634"/>
      <c r="N17" s="631"/>
      <c r="O17" s="634"/>
      <c r="P17" s="631"/>
      <c r="Q17" s="634"/>
      <c r="R17" s="631"/>
      <c r="S17" s="634"/>
      <c r="T17" s="631"/>
      <c r="V17" s="101"/>
      <c r="X17" s="101"/>
      <c r="Z17" s="101"/>
      <c r="AB17" s="101"/>
      <c r="AD17" s="101"/>
      <c r="AF17" s="101"/>
      <c r="AI17" s="486"/>
      <c r="AK17" s="388"/>
    </row>
    <row r="18" spans="1:37" ht="12.75" customHeight="1" x14ac:dyDescent="0.2">
      <c r="A18" s="856" t="s">
        <v>798</v>
      </c>
      <c r="B18" s="856"/>
      <c r="C18" s="856"/>
      <c r="D18" s="856"/>
      <c r="E18" s="856"/>
      <c r="F18" s="856"/>
      <c r="G18" s="856"/>
      <c r="H18" s="856"/>
      <c r="I18" s="856"/>
      <c r="J18" s="856"/>
      <c r="K18" s="856"/>
      <c r="L18" s="856"/>
      <c r="M18" s="856"/>
      <c r="N18" s="856"/>
      <c r="O18" s="856"/>
      <c r="P18" s="856"/>
      <c r="Q18" s="856"/>
      <c r="R18" s="856"/>
      <c r="S18" s="856"/>
      <c r="T18" s="856"/>
      <c r="V18" s="101"/>
      <c r="X18" s="101"/>
      <c r="Z18" s="101"/>
      <c r="AB18" s="101"/>
      <c r="AD18" s="101"/>
      <c r="AF18" s="101"/>
      <c r="AI18" s="486"/>
      <c r="AK18" s="388"/>
    </row>
    <row r="19" spans="1:37" x14ac:dyDescent="0.2">
      <c r="A19" s="635" t="s">
        <v>799</v>
      </c>
      <c r="B19" s="852" t="s">
        <v>800</v>
      </c>
      <c r="C19" s="852"/>
      <c r="D19" s="852"/>
      <c r="E19" s="852"/>
      <c r="F19" s="852"/>
      <c r="G19" s="852"/>
      <c r="H19" s="852"/>
      <c r="I19" s="852"/>
      <c r="J19" s="852"/>
      <c r="K19" s="852"/>
      <c r="L19" s="852"/>
      <c r="M19" s="634"/>
      <c r="N19" s="631"/>
      <c r="O19" s="634"/>
      <c r="P19" s="631"/>
      <c r="Q19" s="634"/>
      <c r="R19" s="631"/>
      <c r="S19" s="634"/>
      <c r="T19" s="631"/>
      <c r="V19" s="101"/>
      <c r="X19" s="101"/>
      <c r="Z19" s="101"/>
      <c r="AB19" s="101"/>
      <c r="AD19" s="101"/>
      <c r="AF19" s="101"/>
      <c r="AI19" s="486"/>
      <c r="AK19" s="388"/>
    </row>
    <row r="20" spans="1:37" x14ac:dyDescent="0.2">
      <c r="A20" s="635" t="s">
        <v>801</v>
      </c>
      <c r="B20" s="852" t="s">
        <v>802</v>
      </c>
      <c r="C20" s="852"/>
      <c r="D20" s="852"/>
      <c r="E20" s="852"/>
      <c r="F20" s="852"/>
      <c r="G20" s="852"/>
      <c r="H20" s="852"/>
      <c r="I20" s="852"/>
      <c r="J20" s="852"/>
      <c r="K20" s="852"/>
      <c r="L20" s="852"/>
      <c r="M20" s="634"/>
      <c r="N20" s="631"/>
      <c r="O20" s="634"/>
      <c r="P20" s="631"/>
      <c r="Q20" s="634"/>
      <c r="R20" s="631"/>
      <c r="S20" s="634"/>
      <c r="T20" s="631"/>
      <c r="V20" s="101"/>
      <c r="X20" s="101"/>
      <c r="Z20" s="101"/>
      <c r="AB20" s="101"/>
      <c r="AD20" s="101"/>
      <c r="AF20" s="101"/>
      <c r="AI20" s="486"/>
      <c r="AK20" s="388"/>
    </row>
    <row r="21" spans="1:37" x14ac:dyDescent="0.2">
      <c r="A21" s="635"/>
      <c r="B21" s="636"/>
      <c r="C21" s="636"/>
      <c r="D21" s="636"/>
      <c r="E21" s="636"/>
      <c r="F21" s="636"/>
      <c r="G21" s="636"/>
      <c r="H21" s="636"/>
      <c r="I21" s="636"/>
      <c r="J21" s="636"/>
      <c r="K21" s="636"/>
      <c r="L21" s="636"/>
      <c r="M21" s="634"/>
      <c r="N21" s="631"/>
      <c r="O21" s="634"/>
      <c r="P21" s="631"/>
      <c r="Q21" s="634"/>
      <c r="R21" s="631"/>
      <c r="S21" s="634"/>
      <c r="T21" s="631"/>
      <c r="V21" s="101"/>
      <c r="X21" s="101"/>
      <c r="Z21" s="101"/>
      <c r="AB21" s="101"/>
      <c r="AD21" s="101"/>
      <c r="AF21" s="101"/>
      <c r="AI21" s="486"/>
      <c r="AK21" s="388"/>
    </row>
    <row r="22" spans="1:37" ht="12.75" customHeight="1" x14ac:dyDescent="0.2">
      <c r="A22" s="856" t="s">
        <v>803</v>
      </c>
      <c r="B22" s="856"/>
      <c r="C22" s="856"/>
      <c r="D22" s="856"/>
      <c r="E22" s="856"/>
      <c r="F22" s="856"/>
      <c r="G22" s="856"/>
      <c r="H22" s="856"/>
      <c r="I22" s="856"/>
      <c r="J22" s="856"/>
      <c r="K22" s="856"/>
      <c r="L22" s="856"/>
      <c r="M22" s="856"/>
      <c r="N22" s="856"/>
      <c r="O22" s="856"/>
      <c r="P22" s="856"/>
      <c r="Q22" s="856"/>
      <c r="R22" s="856"/>
      <c r="S22" s="856"/>
      <c r="T22" s="856"/>
      <c r="V22" s="101"/>
      <c r="X22" s="101"/>
      <c r="Z22" s="101"/>
      <c r="AB22" s="101"/>
      <c r="AD22" s="101"/>
      <c r="AF22" s="101"/>
      <c r="AI22" s="486"/>
      <c r="AK22" s="388"/>
    </row>
    <row r="23" spans="1:37" x14ac:dyDescent="0.2">
      <c r="A23" s="635"/>
      <c r="B23" s="636"/>
      <c r="C23" s="636"/>
      <c r="D23" s="636"/>
      <c r="E23" s="636"/>
      <c r="F23" s="636"/>
      <c r="G23" s="636"/>
      <c r="H23" s="636"/>
      <c r="I23" s="636"/>
      <c r="J23" s="636"/>
      <c r="K23" s="636"/>
      <c r="L23" s="636"/>
      <c r="M23" s="634"/>
      <c r="N23" s="631"/>
      <c r="O23" s="634"/>
      <c r="P23" s="631"/>
      <c r="Q23" s="634"/>
      <c r="R23" s="631"/>
      <c r="S23" s="634"/>
      <c r="T23" s="631"/>
      <c r="V23" s="101"/>
      <c r="X23" s="101"/>
      <c r="Z23" s="101"/>
      <c r="AB23" s="101"/>
      <c r="AD23" s="101"/>
      <c r="AF23" s="101"/>
      <c r="AI23" s="486"/>
      <c r="AK23" s="388"/>
    </row>
    <row r="24" spans="1:37" ht="12.75" customHeight="1" x14ac:dyDescent="0.2">
      <c r="A24" s="856" t="s">
        <v>804</v>
      </c>
      <c r="B24" s="856"/>
      <c r="C24" s="856"/>
      <c r="D24" s="856"/>
      <c r="E24" s="856"/>
      <c r="F24" s="856"/>
      <c r="G24" s="856"/>
      <c r="H24" s="856"/>
      <c r="I24" s="856"/>
      <c r="J24" s="856"/>
      <c r="K24" s="856"/>
      <c r="L24" s="856"/>
      <c r="M24" s="856"/>
      <c r="N24" s="856"/>
      <c r="O24" s="856"/>
      <c r="P24" s="856"/>
      <c r="Q24" s="856"/>
      <c r="R24" s="856"/>
      <c r="S24" s="856"/>
      <c r="T24" s="856"/>
      <c r="V24" s="101"/>
      <c r="X24" s="101"/>
      <c r="Z24" s="101"/>
      <c r="AB24" s="101"/>
      <c r="AD24" s="101"/>
      <c r="AF24" s="101"/>
      <c r="AI24" s="486"/>
      <c r="AK24" s="388"/>
    </row>
    <row r="25" spans="1:37" x14ac:dyDescent="0.2">
      <c r="A25" s="635" t="s">
        <v>805</v>
      </c>
      <c r="B25" s="852" t="s">
        <v>806</v>
      </c>
      <c r="C25" s="852"/>
      <c r="D25" s="852"/>
      <c r="E25" s="852"/>
      <c r="F25" s="852"/>
      <c r="G25" s="852"/>
      <c r="H25" s="852"/>
      <c r="I25" s="852"/>
      <c r="J25" s="852"/>
      <c r="K25" s="852"/>
      <c r="L25" s="852"/>
      <c r="M25" s="634"/>
      <c r="N25" s="631"/>
      <c r="O25" s="634"/>
      <c r="P25" s="631"/>
      <c r="Q25" s="634"/>
      <c r="R25" s="631"/>
      <c r="S25" s="634"/>
      <c r="T25" s="631"/>
    </row>
    <row r="26" spans="1:37" x14ac:dyDescent="0.2">
      <c r="A26" s="635" t="s">
        <v>807</v>
      </c>
      <c r="B26" s="852" t="s">
        <v>808</v>
      </c>
      <c r="C26" s="852"/>
      <c r="D26" s="852"/>
      <c r="E26" s="852"/>
      <c r="F26" s="852"/>
      <c r="G26" s="852"/>
      <c r="H26" s="852"/>
      <c r="I26" s="852"/>
      <c r="J26" s="852"/>
      <c r="K26" s="852"/>
      <c r="L26" s="852"/>
      <c r="M26" s="634"/>
      <c r="N26" s="631"/>
      <c r="O26" s="634"/>
      <c r="P26" s="631"/>
      <c r="Q26" s="634"/>
      <c r="R26" s="631"/>
      <c r="S26" s="634"/>
      <c r="T26" s="631"/>
    </row>
    <row r="27" spans="1:37" ht="12.75" customHeight="1" x14ac:dyDescent="0.2">
      <c r="A27" s="635" t="s">
        <v>809</v>
      </c>
      <c r="B27" s="631"/>
      <c r="C27" s="632"/>
      <c r="D27" s="631"/>
      <c r="E27" s="631"/>
      <c r="F27" s="631"/>
      <c r="G27" s="632"/>
      <c r="H27" s="631"/>
      <c r="I27" s="633"/>
      <c r="J27" s="631"/>
      <c r="K27" s="634"/>
      <c r="L27" s="631"/>
      <c r="M27" s="634"/>
      <c r="N27" s="631"/>
      <c r="O27" s="634"/>
      <c r="P27" s="631"/>
      <c r="Q27" s="634"/>
      <c r="R27" s="631"/>
      <c r="S27" s="634"/>
      <c r="T27" s="631"/>
      <c r="U27" s="230"/>
      <c r="V27" s="230"/>
      <c r="W27" s="230"/>
      <c r="X27" s="230"/>
      <c r="Y27" s="230"/>
      <c r="Z27" s="230"/>
      <c r="AA27" s="230"/>
      <c r="AB27" s="230"/>
      <c r="AC27" s="230"/>
      <c r="AD27" s="230"/>
      <c r="AE27" s="230"/>
    </row>
    <row r="28" spans="1:37" x14ac:dyDescent="0.2">
      <c r="A28" s="637" t="s">
        <v>810</v>
      </c>
      <c r="B28" s="852">
        <v>0.03</v>
      </c>
      <c r="C28" s="852"/>
      <c r="D28" s="852"/>
      <c r="E28" s="852"/>
      <c r="F28" s="852"/>
      <c r="G28" s="852"/>
      <c r="H28" s="852"/>
      <c r="I28" s="852"/>
      <c r="J28" s="852"/>
      <c r="K28" s="852"/>
      <c r="L28" s="852"/>
      <c r="M28" s="634"/>
      <c r="N28" s="631"/>
      <c r="O28" s="634"/>
      <c r="P28" s="631"/>
      <c r="Q28" s="634"/>
      <c r="R28" s="631"/>
      <c r="S28" s="634"/>
      <c r="T28" s="631"/>
    </row>
    <row r="29" spans="1:37" x14ac:dyDescent="0.2">
      <c r="A29" s="637" t="s">
        <v>811</v>
      </c>
      <c r="B29" s="852">
        <v>7.0000000000000007E-2</v>
      </c>
      <c r="C29" s="852"/>
      <c r="D29" s="852"/>
      <c r="E29" s="852"/>
      <c r="F29" s="852"/>
      <c r="G29" s="852"/>
      <c r="H29" s="852"/>
      <c r="I29" s="852"/>
      <c r="J29" s="852"/>
      <c r="K29" s="852"/>
      <c r="L29" s="852"/>
      <c r="M29" s="634"/>
      <c r="N29" s="631"/>
      <c r="O29" s="634"/>
      <c r="P29" s="631"/>
      <c r="Q29" s="634"/>
      <c r="R29" s="631"/>
      <c r="S29" s="634"/>
      <c r="T29" s="631"/>
    </row>
    <row r="30" spans="1:37" x14ac:dyDescent="0.2">
      <c r="A30" s="637" t="s">
        <v>812</v>
      </c>
      <c r="B30" s="852">
        <v>5.0000000000000001E-3</v>
      </c>
      <c r="C30" s="852"/>
      <c r="D30" s="852"/>
      <c r="E30" s="852"/>
      <c r="F30" s="852"/>
      <c r="G30" s="852"/>
      <c r="H30" s="852"/>
      <c r="I30" s="852"/>
      <c r="J30" s="852"/>
      <c r="K30" s="852"/>
      <c r="L30" s="852"/>
      <c r="M30" s="634"/>
      <c r="N30" s="631"/>
      <c r="O30" s="634"/>
      <c r="P30" s="631"/>
      <c r="Q30" s="634"/>
      <c r="R30" s="631"/>
      <c r="S30" s="634"/>
      <c r="T30" s="631"/>
    </row>
    <row r="31" spans="1:37" x14ac:dyDescent="0.2">
      <c r="A31" s="637" t="s">
        <v>813</v>
      </c>
      <c r="B31" s="852">
        <v>3.5000000000000003E-2</v>
      </c>
      <c r="C31" s="852"/>
      <c r="D31" s="852"/>
      <c r="E31" s="852"/>
      <c r="F31" s="852"/>
      <c r="G31" s="852"/>
      <c r="H31" s="852"/>
      <c r="I31" s="852"/>
      <c r="J31" s="852"/>
      <c r="K31" s="852"/>
      <c r="L31" s="852"/>
      <c r="M31" s="634"/>
      <c r="N31" s="631"/>
      <c r="O31" s="634"/>
      <c r="P31" s="631"/>
      <c r="Q31" s="634"/>
      <c r="R31" s="631"/>
      <c r="S31" s="634"/>
      <c r="T31" s="631"/>
    </row>
    <row r="32" spans="1:37" x14ac:dyDescent="0.2">
      <c r="A32" s="637" t="s">
        <v>814</v>
      </c>
      <c r="B32" s="852" t="s">
        <v>815</v>
      </c>
      <c r="C32" s="852"/>
      <c r="D32" s="852"/>
      <c r="E32" s="852"/>
      <c r="F32" s="852"/>
      <c r="G32" s="852"/>
      <c r="H32" s="852"/>
      <c r="I32" s="852"/>
      <c r="J32" s="852"/>
      <c r="K32" s="852"/>
      <c r="L32" s="852"/>
      <c r="M32" s="634"/>
      <c r="N32" s="631"/>
      <c r="O32" s="634"/>
      <c r="P32" s="631"/>
      <c r="Q32" s="634"/>
      <c r="R32" s="631"/>
      <c r="S32" s="634"/>
      <c r="T32" s="631"/>
    </row>
    <row r="33" spans="1:17" x14ac:dyDescent="0.2">
      <c r="A33"/>
      <c r="B33"/>
      <c r="C33"/>
      <c r="D33"/>
      <c r="E33"/>
      <c r="F33"/>
      <c r="G33"/>
      <c r="H33"/>
      <c r="I33"/>
      <c r="J33"/>
      <c r="K33"/>
      <c r="L33"/>
      <c r="M33"/>
      <c r="N33"/>
      <c r="O33"/>
      <c r="P33"/>
    </row>
    <row r="34" spans="1:17" ht="13.5" thickBot="1" x14ac:dyDescent="0.25">
      <c r="A34"/>
      <c r="B34"/>
      <c r="C34"/>
      <c r="D34"/>
      <c r="E34"/>
      <c r="F34"/>
      <c r="G34"/>
      <c r="H34"/>
      <c r="I34"/>
      <c r="J34"/>
      <c r="K34"/>
      <c r="L34"/>
      <c r="M34"/>
      <c r="N34"/>
      <c r="O34"/>
      <c r="P34"/>
    </row>
    <row r="35" spans="1:17" ht="80.25" customHeight="1" thickBot="1" x14ac:dyDescent="0.25">
      <c r="A35" s="846" t="s">
        <v>888</v>
      </c>
      <c r="B35" s="847"/>
      <c r="C35" s="847"/>
      <c r="D35" s="847"/>
      <c r="E35" s="847"/>
      <c r="F35" s="847"/>
      <c r="G35" s="847"/>
      <c r="H35" s="847"/>
      <c r="I35" s="847"/>
      <c r="J35" s="847"/>
      <c r="K35" s="847"/>
      <c r="L35" s="847"/>
      <c r="M35" s="847"/>
      <c r="N35" s="847"/>
      <c r="O35" s="847"/>
      <c r="P35" s="847"/>
      <c r="Q35" s="848"/>
    </row>
    <row r="36" spans="1:17" ht="13.5" thickBot="1" x14ac:dyDescent="0.25"/>
    <row r="37" spans="1:17" ht="42.75" customHeight="1" thickBot="1" x14ac:dyDescent="0.25">
      <c r="A37" s="853" t="s">
        <v>816</v>
      </c>
      <c r="B37" s="854"/>
      <c r="C37" s="854"/>
      <c r="D37" s="854"/>
      <c r="E37" s="854"/>
      <c r="F37" s="854"/>
      <c r="G37" s="854"/>
      <c r="H37" s="854"/>
      <c r="I37" s="854"/>
      <c r="J37" s="854"/>
      <c r="K37" s="854"/>
      <c r="L37" s="854"/>
      <c r="M37" s="854"/>
      <c r="N37" s="854"/>
      <c r="O37" s="854"/>
      <c r="P37" s="855"/>
    </row>
    <row r="64" spans="1:2" x14ac:dyDescent="0.2">
      <c r="A64" s="541"/>
      <c r="B64" s="541"/>
    </row>
  </sheetData>
  <mergeCells count="19">
    <mergeCell ref="A1:AK1"/>
    <mergeCell ref="A2:AK2"/>
    <mergeCell ref="A3:AK3"/>
    <mergeCell ref="A35:Q35"/>
    <mergeCell ref="A18:T18"/>
    <mergeCell ref="B19:L19"/>
    <mergeCell ref="B20:L20"/>
    <mergeCell ref="A22:T22"/>
    <mergeCell ref="A24:T24"/>
    <mergeCell ref="B25:L25"/>
    <mergeCell ref="B26:L26"/>
    <mergeCell ref="B28:L28"/>
    <mergeCell ref="B29:L29"/>
    <mergeCell ref="B30:L30"/>
    <mergeCell ref="A4:Q4"/>
    <mergeCell ref="R4:AF4"/>
    <mergeCell ref="B31:L31"/>
    <mergeCell ref="B32:L32"/>
    <mergeCell ref="A37:P37"/>
  </mergeCells>
  <printOptions horizontalCentered="1"/>
  <pageMargins left="0.7" right="0.7" top="0.75" bottom="0.75" header="0.3" footer="0.3"/>
  <pageSetup scale="58" orientation="portrait"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pageSetUpPr fitToPage="1"/>
  </sheetPr>
  <dimension ref="A1:T62"/>
  <sheetViews>
    <sheetView workbookViewId="0">
      <selection sqref="A1:T29"/>
    </sheetView>
  </sheetViews>
  <sheetFormatPr defaultRowHeight="12.75" x14ac:dyDescent="0.2"/>
  <cols>
    <col min="1" max="1" width="46.85546875" customWidth="1"/>
    <col min="2" max="2" width="10.5703125" customWidth="1"/>
    <col min="3" max="3" width="1.28515625" customWidth="1"/>
    <col min="4" max="4" width="10.5703125" customWidth="1"/>
    <col min="5" max="5" width="1.28515625" customWidth="1"/>
    <col min="6" max="6" width="10.5703125" customWidth="1"/>
    <col min="7" max="7" width="1.28515625" customWidth="1"/>
    <col min="8" max="8" width="10.5703125" customWidth="1"/>
    <col min="9" max="9" width="1.28515625" customWidth="1"/>
    <col min="10" max="10" width="10.5703125" customWidth="1"/>
    <col min="11" max="11" width="1.28515625" customWidth="1"/>
    <col min="12" max="12" width="10.5703125" customWidth="1"/>
    <col min="13" max="13" width="1.28515625" customWidth="1"/>
    <col min="14" max="14" width="10.5703125" customWidth="1"/>
    <col min="15" max="15" width="1.28515625" customWidth="1"/>
    <col min="16" max="16" width="10.5703125" customWidth="1"/>
    <col min="17" max="17" width="1.28515625" customWidth="1"/>
    <col min="18" max="18" width="10.5703125" customWidth="1"/>
    <col min="19" max="19" width="1.28515625" customWidth="1"/>
    <col min="20" max="20" width="10.5703125" customWidth="1"/>
  </cols>
  <sheetData>
    <row r="1" spans="1:20" ht="12.75" customHeight="1" x14ac:dyDescent="0.2">
      <c r="A1" s="777" t="s">
        <v>136</v>
      </c>
      <c r="B1" s="777"/>
      <c r="C1" s="777"/>
      <c r="D1" s="777"/>
      <c r="E1" s="777"/>
      <c r="F1" s="777"/>
      <c r="G1" s="777"/>
      <c r="H1" s="777"/>
      <c r="I1" s="777"/>
      <c r="J1" s="777"/>
      <c r="K1" s="777"/>
      <c r="L1" s="777"/>
      <c r="M1" s="777"/>
      <c r="N1" s="777"/>
      <c r="O1" s="777"/>
      <c r="P1" s="777"/>
      <c r="Q1" s="777"/>
      <c r="R1" s="777"/>
      <c r="S1" s="777"/>
      <c r="T1" s="777"/>
    </row>
    <row r="2" spans="1:20" ht="12.75" customHeight="1" x14ac:dyDescent="0.2">
      <c r="A2" s="863" t="s">
        <v>820</v>
      </c>
      <c r="B2" s="863"/>
      <c r="C2" s="863"/>
      <c r="D2" s="863"/>
      <c r="E2" s="863"/>
      <c r="F2" s="863"/>
      <c r="G2" s="863"/>
      <c r="H2" s="863"/>
      <c r="I2" s="863"/>
      <c r="J2" s="863"/>
      <c r="K2" s="863"/>
      <c r="L2" s="863"/>
      <c r="M2" s="863"/>
      <c r="N2" s="863"/>
      <c r="O2" s="863"/>
      <c r="P2" s="863"/>
      <c r="Q2" s="863"/>
      <c r="R2" s="863"/>
      <c r="S2" s="863"/>
      <c r="T2" s="863"/>
    </row>
    <row r="3" spans="1:20" ht="12.75" customHeight="1" x14ac:dyDescent="0.2">
      <c r="A3" s="777" t="s">
        <v>639</v>
      </c>
      <c r="B3" s="777"/>
      <c r="C3" s="777"/>
      <c r="D3" s="777"/>
      <c r="E3" s="777"/>
      <c r="F3" s="777"/>
      <c r="G3" s="777"/>
      <c r="H3" s="777"/>
      <c r="I3" s="777"/>
      <c r="J3" s="777"/>
      <c r="K3" s="777"/>
      <c r="L3" s="777"/>
      <c r="M3" s="777"/>
      <c r="N3" s="777"/>
      <c r="O3" s="777"/>
      <c r="P3" s="777"/>
      <c r="Q3" s="777"/>
      <c r="R3" s="777"/>
      <c r="S3" s="777"/>
      <c r="T3" s="777"/>
    </row>
    <row r="4" spans="1:20" ht="12.75" customHeight="1" x14ac:dyDescent="0.25">
      <c r="A4" s="845"/>
      <c r="B4" s="845"/>
      <c r="C4" s="845"/>
      <c r="D4" s="845"/>
      <c r="E4" s="845"/>
      <c r="F4" s="845"/>
      <c r="G4" s="845"/>
      <c r="H4" s="845"/>
      <c r="I4" s="845"/>
      <c r="J4" s="845"/>
      <c r="K4" s="845"/>
      <c r="L4" s="845"/>
      <c r="M4" s="845"/>
      <c r="N4" s="845"/>
      <c r="O4" s="521"/>
      <c r="P4" s="487"/>
    </row>
    <row r="5" spans="1:20" ht="12.75" customHeight="1" x14ac:dyDescent="0.2"/>
    <row r="7" spans="1:20" x14ac:dyDescent="0.2">
      <c r="B7" s="56">
        <v>2025</v>
      </c>
      <c r="C7" s="228"/>
      <c r="D7" s="56">
        <v>2024</v>
      </c>
      <c r="E7" s="228"/>
      <c r="F7" s="56">
        <v>2023</v>
      </c>
      <c r="G7" s="228"/>
      <c r="H7" s="56">
        <v>2022</v>
      </c>
      <c r="I7" s="228"/>
      <c r="J7" s="56">
        <v>2021</v>
      </c>
      <c r="K7" s="228"/>
      <c r="L7" s="56">
        <v>2020</v>
      </c>
      <c r="M7" s="228"/>
      <c r="N7" s="56">
        <v>2019</v>
      </c>
      <c r="O7" s="228"/>
      <c r="P7" s="56">
        <v>2018</v>
      </c>
      <c r="R7" s="56">
        <v>2017</v>
      </c>
      <c r="S7" s="228"/>
      <c r="T7" s="56">
        <v>2016</v>
      </c>
    </row>
    <row r="8" spans="1:20" ht="12.75" customHeight="1" x14ac:dyDescent="0.2">
      <c r="A8" s="606" t="s">
        <v>817</v>
      </c>
      <c r="B8" s="369">
        <v>0</v>
      </c>
      <c r="C8" s="369"/>
      <c r="D8" s="369">
        <v>0</v>
      </c>
      <c r="E8" s="369"/>
      <c r="F8" s="369">
        <v>0</v>
      </c>
      <c r="G8" s="369"/>
      <c r="H8" s="369">
        <v>0</v>
      </c>
      <c r="I8" s="369"/>
      <c r="J8" s="369">
        <v>0</v>
      </c>
      <c r="K8" s="369"/>
      <c r="L8" s="369">
        <v>0</v>
      </c>
      <c r="M8" s="369"/>
      <c r="N8" s="369">
        <v>0</v>
      </c>
      <c r="O8" s="369"/>
      <c r="P8" s="369">
        <v>0</v>
      </c>
      <c r="R8" s="369">
        <v>0</v>
      </c>
      <c r="S8" s="369"/>
      <c r="T8" s="369">
        <v>0</v>
      </c>
    </row>
    <row r="9" spans="1:20" ht="12.75" customHeight="1" x14ac:dyDescent="0.2">
      <c r="A9" s="606"/>
      <c r="B9" s="369"/>
      <c r="C9" s="369"/>
      <c r="D9" s="369"/>
      <c r="E9" s="369"/>
      <c r="F9" s="369"/>
      <c r="G9" s="369"/>
      <c r="H9" s="369"/>
      <c r="I9" s="369"/>
      <c r="J9" s="369"/>
      <c r="K9" s="369"/>
      <c r="L9" s="369"/>
      <c r="M9" s="369"/>
      <c r="N9" s="369"/>
      <c r="O9" s="369"/>
      <c r="P9" s="369"/>
      <c r="R9" s="369"/>
      <c r="S9" s="369"/>
      <c r="T9" s="369"/>
    </row>
    <row r="10" spans="1:20" ht="12.75" customHeight="1" x14ac:dyDescent="0.2">
      <c r="A10" s="606" t="s">
        <v>818</v>
      </c>
      <c r="B10" s="59">
        <v>0</v>
      </c>
      <c r="C10" s="59"/>
      <c r="D10" s="59">
        <v>0</v>
      </c>
      <c r="E10" s="59"/>
      <c r="F10" s="59">
        <v>0</v>
      </c>
      <c r="G10" s="59"/>
      <c r="H10" s="59">
        <v>0</v>
      </c>
      <c r="I10" s="59"/>
      <c r="J10" s="59">
        <v>0</v>
      </c>
      <c r="K10" s="59"/>
      <c r="L10" s="59">
        <v>0</v>
      </c>
      <c r="M10" s="59"/>
      <c r="N10" s="59">
        <v>0</v>
      </c>
      <c r="O10" s="59"/>
      <c r="P10" s="59">
        <v>0</v>
      </c>
      <c r="R10" s="59">
        <v>0</v>
      </c>
      <c r="S10" s="59"/>
      <c r="T10" s="59">
        <v>0</v>
      </c>
    </row>
    <row r="11" spans="1:20" ht="25.5" x14ac:dyDescent="0.2">
      <c r="A11" s="605" t="s">
        <v>819</v>
      </c>
      <c r="B11" s="31">
        <v>10228</v>
      </c>
      <c r="C11" s="31"/>
      <c r="D11" s="31">
        <v>9144</v>
      </c>
      <c r="E11" s="31"/>
      <c r="F11" s="31">
        <v>6953</v>
      </c>
      <c r="G11" s="31"/>
      <c r="H11" s="31">
        <f>842.93*8</f>
        <v>6743.44</v>
      </c>
      <c r="I11" s="31"/>
      <c r="J11" s="31">
        <v>5192</v>
      </c>
      <c r="K11" s="31"/>
      <c r="L11" s="31">
        <v>5096</v>
      </c>
      <c r="M11" s="31"/>
      <c r="N11" s="31">
        <v>5348</v>
      </c>
      <c r="O11" s="31"/>
      <c r="P11" s="31">
        <v>5165</v>
      </c>
      <c r="Q11" s="31"/>
      <c r="R11" s="112">
        <v>5200</v>
      </c>
      <c r="S11" s="112"/>
      <c r="T11" s="112">
        <v>5025</v>
      </c>
    </row>
    <row r="12" spans="1:20" ht="13.5" thickBot="1" x14ac:dyDescent="0.25">
      <c r="A12" t="s">
        <v>1</v>
      </c>
      <c r="B12" s="61">
        <f>B11+B10</f>
        <v>10228</v>
      </c>
      <c r="C12" s="59"/>
      <c r="D12" s="61">
        <f>D11+D10</f>
        <v>9144</v>
      </c>
      <c r="E12" s="59"/>
      <c r="F12" s="61">
        <f>F11+F10</f>
        <v>6953</v>
      </c>
      <c r="G12" s="59"/>
      <c r="H12" s="61">
        <f>H11+H10</f>
        <v>6743.44</v>
      </c>
      <c r="I12" s="59"/>
      <c r="J12" s="61">
        <f>J11+J10</f>
        <v>5192</v>
      </c>
      <c r="K12" s="59"/>
      <c r="L12" s="61">
        <f>L11+L10</f>
        <v>5096</v>
      </c>
      <c r="M12" s="59"/>
      <c r="N12" s="61">
        <f>N11+N10</f>
        <v>5348</v>
      </c>
      <c r="O12" s="59"/>
      <c r="P12" s="61">
        <f>P11+P10</f>
        <v>5165</v>
      </c>
      <c r="R12" s="585">
        <f>R11+R10</f>
        <v>5200</v>
      </c>
      <c r="T12" s="585">
        <f>T11+T10</f>
        <v>5025</v>
      </c>
    </row>
    <row r="13" spans="1:20" ht="13.5" thickTop="1" x14ac:dyDescent="0.2"/>
    <row r="14" spans="1:20" x14ac:dyDescent="0.2">
      <c r="A14" s="772" t="s">
        <v>684</v>
      </c>
      <c r="B14" s="396">
        <v>140512</v>
      </c>
      <c r="C14" s="396"/>
      <c r="D14" s="396">
        <v>138992</v>
      </c>
      <c r="E14" s="396"/>
      <c r="F14" s="396">
        <v>137772</v>
      </c>
      <c r="G14" s="396"/>
      <c r="H14" s="396">
        <v>135678</v>
      </c>
      <c r="I14" s="396"/>
      <c r="J14" s="396">
        <v>130000</v>
      </c>
      <c r="K14" s="396"/>
      <c r="L14" s="396">
        <v>128652</v>
      </c>
      <c r="M14" s="396"/>
      <c r="N14" s="396">
        <v>129654</v>
      </c>
      <c r="O14" s="396"/>
      <c r="P14" s="396">
        <v>127997</v>
      </c>
      <c r="R14" s="396">
        <v>127500</v>
      </c>
      <c r="S14" s="396"/>
      <c r="T14" s="59">
        <v>128250</v>
      </c>
    </row>
    <row r="15" spans="1:20" x14ac:dyDescent="0.2">
      <c r="F15" s="237"/>
      <c r="G15" s="237"/>
      <c r="H15" s="237"/>
      <c r="I15" s="237"/>
      <c r="J15" s="237"/>
      <c r="K15" s="237"/>
      <c r="L15" s="237"/>
      <c r="M15" s="237"/>
      <c r="N15" s="237"/>
      <c r="O15" s="237"/>
      <c r="P15" s="237"/>
    </row>
    <row r="16" spans="1:20" ht="25.5" x14ac:dyDescent="0.2">
      <c r="A16" s="605" t="s">
        <v>821</v>
      </c>
      <c r="B16" s="397">
        <f t="shared" ref="B16:L16" si="0">B12/B14</f>
        <v>7.2790936005465726E-2</v>
      </c>
      <c r="C16" s="397"/>
      <c r="D16" s="397">
        <f t="shared" si="0"/>
        <v>6.5787959019224129E-2</v>
      </c>
      <c r="E16" s="397"/>
      <c r="F16" s="397">
        <f t="shared" si="0"/>
        <v>5.0467438957117555E-2</v>
      </c>
      <c r="G16" s="397"/>
      <c r="H16" s="397">
        <f t="shared" si="0"/>
        <v>4.9701793953330679E-2</v>
      </c>
      <c r="I16" s="397"/>
      <c r="J16" s="397">
        <f t="shared" si="0"/>
        <v>3.9938461538461541E-2</v>
      </c>
      <c r="K16" s="397"/>
      <c r="L16" s="397">
        <f t="shared" si="0"/>
        <v>3.9610732829648977E-2</v>
      </c>
      <c r="M16" s="397"/>
      <c r="N16" s="397">
        <f>N12/N14</f>
        <v>4.1248245329877982E-2</v>
      </c>
      <c r="O16" s="397"/>
      <c r="P16" s="397">
        <f>P12/P14</f>
        <v>4.035250826191239E-2</v>
      </c>
      <c r="R16" s="586">
        <f t="shared" ref="R16:T16" si="1">R12/R14</f>
        <v>4.0784313725490198E-2</v>
      </c>
      <c r="S16" s="586"/>
      <c r="T16" s="586">
        <f t="shared" si="1"/>
        <v>3.9181286549707602E-2</v>
      </c>
    </row>
    <row r="17" spans="1:20" x14ac:dyDescent="0.2">
      <c r="A17" s="241"/>
      <c r="B17" s="241"/>
      <c r="C17" s="241"/>
      <c r="D17" s="241"/>
      <c r="E17" s="241"/>
    </row>
    <row r="18" spans="1:20" ht="25.5" x14ac:dyDescent="0.2">
      <c r="A18" s="241" t="s">
        <v>631</v>
      </c>
      <c r="B18" s="368">
        <v>0.89690000000000003</v>
      </c>
      <c r="C18" s="368"/>
      <c r="D18" s="368">
        <v>0.89349999999999996</v>
      </c>
      <c r="E18" s="368"/>
      <c r="F18" s="368">
        <v>0.84940000000000004</v>
      </c>
      <c r="G18" s="368"/>
      <c r="H18" s="368">
        <v>0.91400000000000003</v>
      </c>
      <c r="I18" s="368"/>
      <c r="J18" s="368">
        <v>0.93420000000000003</v>
      </c>
      <c r="K18" s="368"/>
      <c r="L18" s="368">
        <v>0.92759999999999998</v>
      </c>
      <c r="M18" s="368"/>
      <c r="N18" s="368">
        <v>0.91449999999999998</v>
      </c>
      <c r="O18" s="368"/>
      <c r="P18" s="368">
        <v>0.91449999999999998</v>
      </c>
      <c r="R18" s="368">
        <v>0.91449999999999998</v>
      </c>
      <c r="S18" s="368"/>
      <c r="T18" s="368">
        <v>0.91449999999999998</v>
      </c>
    </row>
    <row r="22" spans="1:20" x14ac:dyDescent="0.2">
      <c r="A22" s="643" t="s">
        <v>794</v>
      </c>
    </row>
    <row r="23" spans="1:20" x14ac:dyDescent="0.2">
      <c r="A23" s="638" t="s">
        <v>795</v>
      </c>
      <c r="B23" s="331"/>
      <c r="C23" s="331"/>
      <c r="D23" s="331"/>
      <c r="E23" s="331"/>
      <c r="F23" s="331"/>
      <c r="G23" s="331"/>
      <c r="H23" s="331"/>
      <c r="I23" s="331"/>
      <c r="J23" s="44"/>
      <c r="K23" s="44"/>
    </row>
    <row r="24" spans="1:20" ht="13.5" thickBot="1" x14ac:dyDescent="0.25"/>
    <row r="25" spans="1:20" ht="66" customHeight="1" thickBot="1" x14ac:dyDescent="0.25">
      <c r="A25" s="860" t="s">
        <v>785</v>
      </c>
      <c r="B25" s="861"/>
      <c r="C25" s="861"/>
      <c r="D25" s="861"/>
      <c r="E25" s="861"/>
      <c r="F25" s="861"/>
      <c r="G25" s="861"/>
      <c r="H25" s="861"/>
      <c r="I25" s="861"/>
      <c r="J25" s="861"/>
      <c r="K25" s="861"/>
      <c r="L25" s="861"/>
      <c r="M25" s="861"/>
      <c r="N25" s="861"/>
      <c r="O25" s="861"/>
      <c r="P25" s="862"/>
    </row>
    <row r="26" spans="1:20" ht="13.5" thickBot="1" x14ac:dyDescent="0.25">
      <c r="A26" s="19"/>
      <c r="B26" s="19"/>
      <c r="C26" s="19"/>
      <c r="D26" s="19"/>
      <c r="E26" s="19"/>
      <c r="F26" s="19"/>
      <c r="G26" s="19"/>
      <c r="H26" s="19"/>
      <c r="I26" s="19"/>
      <c r="J26" s="19"/>
      <c r="K26" s="19"/>
    </row>
    <row r="27" spans="1:20" ht="25.5" customHeight="1" thickBot="1" x14ac:dyDescent="0.25">
      <c r="A27" s="857" t="s">
        <v>830</v>
      </c>
      <c r="B27" s="858"/>
      <c r="C27" s="858"/>
      <c r="D27" s="858"/>
      <c r="E27" s="858"/>
      <c r="F27" s="858"/>
      <c r="G27" s="858"/>
      <c r="H27" s="858"/>
      <c r="I27" s="858"/>
      <c r="J27" s="858"/>
      <c r="K27" s="858"/>
      <c r="L27" s="858"/>
      <c r="M27" s="858"/>
      <c r="N27" s="858"/>
      <c r="O27" s="858"/>
      <c r="P27" s="859"/>
    </row>
    <row r="62" spans="1:3" x14ac:dyDescent="0.2">
      <c r="A62" s="516"/>
      <c r="B62" s="516"/>
      <c r="C62" s="516"/>
    </row>
  </sheetData>
  <mergeCells count="6">
    <mergeCell ref="A27:P27"/>
    <mergeCell ref="A25:P25"/>
    <mergeCell ref="A4:N4"/>
    <mergeCell ref="A1:T1"/>
    <mergeCell ref="A2:T2"/>
    <mergeCell ref="A3:T3"/>
  </mergeCells>
  <printOptions horizontalCentered="1"/>
  <pageMargins left="0.7" right="0.7" top="0.75" bottom="0.75" header="0.3" footer="0.3"/>
  <pageSetup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pageSetUpPr fitToPage="1"/>
  </sheetPr>
  <dimension ref="A1:M73"/>
  <sheetViews>
    <sheetView workbookViewId="0">
      <selection sqref="A1:J29"/>
    </sheetView>
  </sheetViews>
  <sheetFormatPr defaultRowHeight="12.75" x14ac:dyDescent="0.2"/>
  <cols>
    <col min="1" max="1" width="51" customWidth="1"/>
    <col min="2" max="2" width="12" customWidth="1"/>
    <col min="3" max="3" width="1.28515625" customWidth="1"/>
    <col min="4" max="4" width="12" style="31" customWidth="1"/>
    <col min="5" max="5" width="1.28515625" style="31" customWidth="1"/>
    <col min="6" max="6" width="12" style="31" customWidth="1"/>
    <col min="7" max="7" width="1.28515625" style="31" customWidth="1"/>
    <col min="8" max="8" width="12" style="31" customWidth="1"/>
    <col min="9" max="9" width="1.28515625" style="31" customWidth="1"/>
    <col min="10" max="10" width="12" style="31" customWidth="1"/>
    <col min="11" max="11" width="10" bestFit="1" customWidth="1"/>
    <col min="12" max="12" width="11.28515625" bestFit="1" customWidth="1"/>
  </cols>
  <sheetData>
    <row r="1" spans="1:13" x14ac:dyDescent="0.2">
      <c r="A1" s="777" t="s">
        <v>136</v>
      </c>
      <c r="B1" s="777"/>
      <c r="C1" s="777"/>
      <c r="D1" s="777"/>
      <c r="E1" s="777"/>
      <c r="F1" s="777"/>
      <c r="G1" s="777"/>
      <c r="H1" s="777"/>
      <c r="I1" s="777"/>
      <c r="J1" s="777"/>
    </row>
    <row r="2" spans="1:13" x14ac:dyDescent="0.2">
      <c r="A2" s="777" t="s">
        <v>674</v>
      </c>
      <c r="B2" s="777"/>
      <c r="C2" s="777"/>
      <c r="D2" s="777"/>
      <c r="E2" s="777"/>
      <c r="F2" s="777"/>
      <c r="G2" s="777"/>
      <c r="H2" s="777"/>
      <c r="I2" s="777"/>
      <c r="J2" s="777"/>
    </row>
    <row r="3" spans="1:13" x14ac:dyDescent="0.2">
      <c r="A3" s="777" t="s">
        <v>675</v>
      </c>
      <c r="B3" s="777"/>
      <c r="C3" s="777"/>
      <c r="D3" s="777"/>
      <c r="E3" s="777"/>
      <c r="F3" s="777"/>
      <c r="G3" s="777"/>
      <c r="H3" s="777"/>
      <c r="I3" s="777"/>
      <c r="J3" s="777"/>
    </row>
    <row r="4" spans="1:13" x14ac:dyDescent="0.2">
      <c r="A4" s="228"/>
      <c r="B4" s="228"/>
      <c r="C4" s="228"/>
      <c r="D4" s="228"/>
      <c r="E4" s="228"/>
      <c r="F4" s="228"/>
      <c r="G4" s="228"/>
      <c r="H4" s="228"/>
      <c r="I4" s="228"/>
      <c r="J4" s="228"/>
    </row>
    <row r="5" spans="1:13" x14ac:dyDescent="0.2">
      <c r="A5" s="228"/>
      <c r="B5" s="228"/>
      <c r="C5" s="228"/>
      <c r="D5" s="228"/>
      <c r="E5" s="228"/>
      <c r="F5" s="228"/>
      <c r="G5" s="228"/>
      <c r="H5" s="228"/>
      <c r="I5" s="228"/>
      <c r="J5" s="228"/>
    </row>
    <row r="6" spans="1:13" ht="12.75" customHeight="1" x14ac:dyDescent="0.25">
      <c r="A6" s="777"/>
      <c r="B6" s="777"/>
      <c r="C6" s="777"/>
      <c r="D6" s="777"/>
      <c r="E6" s="777"/>
      <c r="F6" s="777"/>
      <c r="G6" s="777"/>
      <c r="H6" s="777"/>
      <c r="I6" s="777"/>
      <c r="J6" s="777"/>
      <c r="K6" s="487"/>
      <c r="L6" s="487"/>
      <c r="M6" s="487"/>
    </row>
    <row r="7" spans="1:13" x14ac:dyDescent="0.2">
      <c r="B7" s="56">
        <v>2025</v>
      </c>
      <c r="C7" s="228"/>
      <c r="D7" s="56">
        <v>2024</v>
      </c>
      <c r="E7" s="228"/>
      <c r="F7" s="56">
        <v>2023</v>
      </c>
      <c r="G7" s="228"/>
      <c r="H7" s="56">
        <v>2022</v>
      </c>
      <c r="I7" s="228"/>
      <c r="J7" s="56">
        <v>2021</v>
      </c>
    </row>
    <row r="8" spans="1:13" x14ac:dyDescent="0.2">
      <c r="A8" s="331" t="s">
        <v>676</v>
      </c>
      <c r="B8" s="488">
        <f>D16</f>
        <v>215657.29400000002</v>
      </c>
      <c r="C8" s="641"/>
      <c r="D8" s="451">
        <f>F16</f>
        <v>198653.23400000003</v>
      </c>
      <c r="E8" s="642"/>
      <c r="F8" s="451">
        <f>197411-7095+7200</f>
        <v>197516</v>
      </c>
      <c r="G8" s="642"/>
      <c r="H8" s="451">
        <v>194716</v>
      </c>
      <c r="I8" s="642"/>
      <c r="J8" s="451">
        <v>191458</v>
      </c>
      <c r="L8" s="434"/>
    </row>
    <row r="9" spans="1:13" x14ac:dyDescent="0.2">
      <c r="A9" s="611" t="s">
        <v>701</v>
      </c>
      <c r="B9" s="31">
        <f>7090461*0.001</f>
        <v>7090.4610000000002</v>
      </c>
      <c r="C9" s="31"/>
      <c r="D9" s="31">
        <f>5778581*0.001</f>
        <v>5778.5810000000001</v>
      </c>
      <c r="F9" s="31">
        <f>6112176*0.001-210</f>
        <v>5902.1760000000004</v>
      </c>
      <c r="H9" s="31">
        <v>5586</v>
      </c>
      <c r="J9" s="31">
        <f>5639+34</f>
        <v>5673</v>
      </c>
      <c r="L9" s="434"/>
    </row>
    <row r="10" spans="1:13" x14ac:dyDescent="0.2">
      <c r="A10" s="331" t="s">
        <v>677</v>
      </c>
      <c r="B10" s="31">
        <f>6721102*0.001</f>
        <v>6721.1019999999999</v>
      </c>
      <c r="C10" s="31"/>
      <c r="D10" s="31">
        <f>5328296*0.001</f>
        <v>5328.2960000000003</v>
      </c>
      <c r="F10" s="31">
        <f>7313608*0.001</f>
        <v>7313.6080000000002</v>
      </c>
      <c r="H10" s="31">
        <v>6479</v>
      </c>
      <c r="J10" s="31">
        <v>6225</v>
      </c>
      <c r="L10" s="434"/>
    </row>
    <row r="11" spans="1:13" x14ac:dyDescent="0.2">
      <c r="A11" s="19" t="s">
        <v>678</v>
      </c>
      <c r="B11" s="31">
        <f>0</f>
        <v>0</v>
      </c>
      <c r="C11" s="31"/>
      <c r="D11" s="31">
        <f>18621115*0.001</f>
        <v>18621.115000000002</v>
      </c>
      <c r="F11" s="31">
        <v>0</v>
      </c>
      <c r="H11" s="31">
        <v>0</v>
      </c>
      <c r="J11" s="267" t="s">
        <v>724</v>
      </c>
      <c r="L11" s="434"/>
    </row>
    <row r="12" spans="1:13" ht="25.5" x14ac:dyDescent="0.2">
      <c r="A12" s="230" t="s">
        <v>694</v>
      </c>
      <c r="B12" s="31">
        <f>893502*0.001</f>
        <v>893.50200000000007</v>
      </c>
      <c r="C12" s="31"/>
      <c r="D12" s="31">
        <f>8581482*0.001</f>
        <v>8581.482</v>
      </c>
      <c r="F12" s="31">
        <f>3926991*0.001</f>
        <v>3926.991</v>
      </c>
      <c r="H12" s="31">
        <v>6521</v>
      </c>
      <c r="J12" s="31">
        <v>7453</v>
      </c>
      <c r="L12" s="434"/>
    </row>
    <row r="13" spans="1:13" x14ac:dyDescent="0.2">
      <c r="A13" s="19" t="s">
        <v>679</v>
      </c>
      <c r="B13" s="31">
        <f>5051096*0.001</f>
        <v>5051.0960000000005</v>
      </c>
      <c r="C13" s="31"/>
      <c r="D13" s="31">
        <f>-5674582*0.001</f>
        <v>-5674.5820000000003</v>
      </c>
      <c r="F13" s="31">
        <f>-1215541*0.001+210</f>
        <v>-1005.5409999999999</v>
      </c>
      <c r="H13" s="31">
        <f>-1215541*0.001+210</f>
        <v>-1005.5409999999999</v>
      </c>
      <c r="J13" s="31">
        <v>-2541</v>
      </c>
      <c r="L13" s="434"/>
    </row>
    <row r="14" spans="1:13" x14ac:dyDescent="0.2">
      <c r="A14" s="19" t="s">
        <v>680</v>
      </c>
      <c r="B14" s="31">
        <f>-16031418*0.001</f>
        <v>-16031.418</v>
      </c>
      <c r="C14" s="31"/>
      <c r="D14" s="31">
        <f>-15630832*0.001</f>
        <v>-15630.832</v>
      </c>
      <c r="F14" s="31">
        <f>-7800-7200</f>
        <v>-15000</v>
      </c>
      <c r="H14" s="31">
        <v>-14780</v>
      </c>
      <c r="J14" s="31">
        <v>-13552</v>
      </c>
      <c r="L14" s="434"/>
    </row>
    <row r="15" spans="1:13" x14ac:dyDescent="0.2">
      <c r="A15" s="19" t="s">
        <v>681</v>
      </c>
      <c r="B15" s="31">
        <v>0</v>
      </c>
      <c r="C15" s="31"/>
      <c r="D15" s="31">
        <v>0</v>
      </c>
      <c r="F15" s="31">
        <v>0</v>
      </c>
      <c r="H15" s="31">
        <v>0</v>
      </c>
      <c r="J15" s="31">
        <v>0</v>
      </c>
      <c r="L15" s="434"/>
    </row>
    <row r="16" spans="1:13" ht="13.5" thickBot="1" x14ac:dyDescent="0.25">
      <c r="A16" s="19" t="s">
        <v>682</v>
      </c>
      <c r="B16" s="489">
        <f>SUM(B8:B15)</f>
        <v>219382.03700000004</v>
      </c>
      <c r="C16" s="641"/>
      <c r="D16" s="452">
        <f>SUM(D8:D15)</f>
        <v>215657.29400000002</v>
      </c>
      <c r="E16" s="642"/>
      <c r="F16" s="452">
        <f>SUM(F8:F15)</f>
        <v>198653.23400000003</v>
      </c>
      <c r="G16" s="642"/>
      <c r="H16" s="452">
        <f>SUM(H8:H15)</f>
        <v>197516.459</v>
      </c>
      <c r="I16" s="642"/>
      <c r="J16" s="452">
        <f>SUM(J8:J15)</f>
        <v>194716</v>
      </c>
      <c r="L16" s="434"/>
    </row>
    <row r="17" spans="1:12" ht="13.5" thickTop="1" x14ac:dyDescent="0.2">
      <c r="A17" s="19"/>
      <c r="B17" s="641"/>
      <c r="C17" s="641"/>
      <c r="D17" s="642"/>
      <c r="E17" s="642"/>
      <c r="F17" s="642"/>
      <c r="G17" s="642"/>
      <c r="H17" s="642"/>
      <c r="I17" s="642"/>
      <c r="J17" s="642"/>
      <c r="L17" s="434"/>
    </row>
    <row r="18" spans="1:12" x14ac:dyDescent="0.2">
      <c r="A18" s="19"/>
      <c r="B18" s="641"/>
      <c r="C18" s="641"/>
      <c r="D18" s="642"/>
      <c r="E18" s="642"/>
      <c r="F18" s="642"/>
      <c r="G18" s="642"/>
      <c r="H18" s="642"/>
      <c r="I18" s="642"/>
      <c r="J18" s="642"/>
      <c r="L18" s="434"/>
    </row>
    <row r="19" spans="1:12" x14ac:dyDescent="0.2">
      <c r="A19" s="19"/>
      <c r="B19" s="641"/>
      <c r="C19" s="641"/>
      <c r="D19" s="642"/>
      <c r="E19" s="642"/>
      <c r="F19" s="642"/>
      <c r="G19" s="642"/>
      <c r="H19" s="642"/>
      <c r="I19" s="642"/>
      <c r="J19" s="642"/>
      <c r="L19" s="434"/>
    </row>
    <row r="20" spans="1:12" x14ac:dyDescent="0.2">
      <c r="A20" s="643" t="s">
        <v>794</v>
      </c>
      <c r="B20" s="214"/>
      <c r="C20" s="214"/>
      <c r="K20" s="453"/>
      <c r="L20" s="434"/>
    </row>
    <row r="21" spans="1:12" ht="13.5" customHeight="1" x14ac:dyDescent="0.2">
      <c r="A21" s="867" t="s">
        <v>825</v>
      </c>
      <c r="B21" s="867"/>
      <c r="C21" s="867"/>
      <c r="D21" s="867"/>
      <c r="E21" s="867"/>
      <c r="F21" s="867"/>
      <c r="G21" s="867"/>
      <c r="H21" s="867"/>
      <c r="I21" s="867"/>
      <c r="J21" s="831"/>
    </row>
    <row r="22" spans="1:12" x14ac:dyDescent="0.2">
      <c r="A22" s="639" t="s">
        <v>822</v>
      </c>
      <c r="B22" s="644"/>
      <c r="C22" s="644"/>
      <c r="D22" s="645"/>
      <c r="E22" s="645"/>
      <c r="F22" s="645"/>
      <c r="G22" s="645"/>
      <c r="H22" s="645"/>
    </row>
    <row r="23" spans="1:12" x14ac:dyDescent="0.2">
      <c r="A23" s="639" t="s">
        <v>823</v>
      </c>
      <c r="B23" s="644"/>
      <c r="C23" s="644"/>
      <c r="D23" s="645"/>
      <c r="E23" s="645"/>
      <c r="F23" s="645"/>
      <c r="G23" s="645"/>
      <c r="H23" s="645"/>
    </row>
    <row r="24" spans="1:12" x14ac:dyDescent="0.2">
      <c r="A24" s="627" t="s">
        <v>796</v>
      </c>
      <c r="B24" s="214"/>
      <c r="C24" s="214"/>
    </row>
    <row r="25" spans="1:12" x14ac:dyDescent="0.2">
      <c r="A25" s="640"/>
      <c r="B25" s="214"/>
      <c r="C25" s="214"/>
    </row>
    <row r="26" spans="1:12" x14ac:dyDescent="0.2">
      <c r="A26" s="640"/>
      <c r="B26" s="214"/>
      <c r="C26" s="214"/>
    </row>
    <row r="27" spans="1:12" ht="13.5" thickBot="1" x14ac:dyDescent="0.25">
      <c r="A27" s="399"/>
      <c r="B27" s="399"/>
      <c r="C27" s="399"/>
      <c r="D27" s="454"/>
      <c r="E27" s="454"/>
      <c r="F27" s="454"/>
      <c r="G27" s="454"/>
      <c r="H27" s="454"/>
      <c r="I27" s="454"/>
      <c r="J27" s="454"/>
    </row>
    <row r="28" spans="1:12" ht="25.5" customHeight="1" thickBot="1" x14ac:dyDescent="0.25">
      <c r="A28" s="864" t="s">
        <v>723</v>
      </c>
      <c r="B28" s="865"/>
      <c r="C28" s="865"/>
      <c r="D28" s="865"/>
      <c r="E28" s="865"/>
      <c r="F28" s="865"/>
      <c r="G28" s="865"/>
      <c r="H28" s="865"/>
      <c r="I28" s="865"/>
      <c r="J28" s="866"/>
    </row>
    <row r="29" spans="1:12" x14ac:dyDescent="0.2">
      <c r="A29" s="470"/>
      <c r="B29" s="470"/>
      <c r="C29" s="470"/>
      <c r="D29" s="470"/>
      <c r="E29" s="470"/>
      <c r="F29" s="470"/>
      <c r="G29" s="470"/>
      <c r="H29" s="470"/>
      <c r="I29" s="470"/>
      <c r="J29" s="470"/>
    </row>
    <row r="30" spans="1:12" x14ac:dyDescent="0.2">
      <c r="A30" s="470"/>
      <c r="B30" s="470"/>
      <c r="C30" s="470"/>
      <c r="D30" s="470"/>
      <c r="E30" s="470"/>
      <c r="F30" s="470"/>
      <c r="G30" s="470"/>
      <c r="H30" s="470"/>
      <c r="I30" s="470"/>
      <c r="J30" s="470"/>
    </row>
    <row r="31" spans="1:12" x14ac:dyDescent="0.2">
      <c r="A31" s="399"/>
      <c r="B31" s="399"/>
      <c r="C31" s="399"/>
    </row>
    <row r="32" spans="1:12" x14ac:dyDescent="0.2">
      <c r="A32" s="214"/>
      <c r="B32" s="214"/>
      <c r="C32" s="214"/>
    </row>
    <row r="33" spans="1:3" x14ac:dyDescent="0.2">
      <c r="A33" s="214"/>
      <c r="B33" s="214"/>
      <c r="C33" s="214"/>
    </row>
    <row r="34" spans="1:3" x14ac:dyDescent="0.2">
      <c r="A34" s="455"/>
      <c r="B34" s="455"/>
      <c r="C34" s="455"/>
    </row>
    <row r="36" spans="1:3" x14ac:dyDescent="0.2">
      <c r="A36" s="416"/>
      <c r="B36" s="416"/>
      <c r="C36" s="416"/>
    </row>
    <row r="37" spans="1:3" x14ac:dyDescent="0.2">
      <c r="A37" s="231"/>
      <c r="B37" s="231"/>
      <c r="C37" s="231"/>
    </row>
    <row r="73" spans="1:3" x14ac:dyDescent="0.2">
      <c r="A73" s="516"/>
      <c r="B73" s="516"/>
      <c r="C73" s="516"/>
    </row>
  </sheetData>
  <mergeCells count="6">
    <mergeCell ref="A28:J28"/>
    <mergeCell ref="A1:J1"/>
    <mergeCell ref="A2:J2"/>
    <mergeCell ref="A3:J3"/>
    <mergeCell ref="A6:J6"/>
    <mergeCell ref="A21:J21"/>
  </mergeCells>
  <printOptions horizontalCentered="1"/>
  <pageMargins left="0.7" right="0.7" top="0.75" bottom="0.75" header="0.3" footer="0.3"/>
  <pageSetup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pageSetUpPr fitToPage="1"/>
  </sheetPr>
  <dimension ref="A1:R23"/>
  <sheetViews>
    <sheetView tabSelected="1" workbookViewId="0">
      <selection sqref="A1:K24"/>
    </sheetView>
  </sheetViews>
  <sheetFormatPr defaultRowHeight="12.75" x14ac:dyDescent="0.2"/>
  <cols>
    <col min="1" max="1" width="48" customWidth="1"/>
    <col min="2" max="2" width="11" customWidth="1"/>
    <col min="3" max="3" width="1.28515625" customWidth="1"/>
    <col min="4" max="4" width="11" customWidth="1"/>
    <col min="5" max="5" width="1.28515625" customWidth="1"/>
    <col min="6" max="6" width="11" customWidth="1"/>
    <col min="7" max="7" width="1.28515625" customWidth="1"/>
    <col min="8" max="8" width="11" customWidth="1"/>
    <col min="9" max="9" width="1.28515625" customWidth="1"/>
    <col min="10" max="10" width="11" customWidth="1"/>
  </cols>
  <sheetData>
    <row r="1" spans="1:12" x14ac:dyDescent="0.2">
      <c r="A1" s="777" t="s">
        <v>136</v>
      </c>
      <c r="B1" s="777"/>
      <c r="C1" s="777"/>
      <c r="D1" s="777"/>
      <c r="E1" s="777"/>
      <c r="F1" s="777"/>
      <c r="G1" s="777"/>
      <c r="H1" s="777"/>
      <c r="I1" s="777"/>
      <c r="J1" s="777"/>
    </row>
    <row r="2" spans="1:12" ht="13.5" customHeight="1" x14ac:dyDescent="0.2">
      <c r="A2" s="874" t="s">
        <v>683</v>
      </c>
      <c r="B2" s="874"/>
      <c r="C2" s="874"/>
      <c r="D2" s="874"/>
      <c r="E2" s="874"/>
      <c r="F2" s="874"/>
      <c r="G2" s="874"/>
      <c r="H2" s="874"/>
      <c r="I2" s="874"/>
      <c r="J2" s="874"/>
    </row>
    <row r="3" spans="1:12" x14ac:dyDescent="0.2">
      <c r="A3" s="777" t="s">
        <v>137</v>
      </c>
      <c r="B3" s="777"/>
      <c r="C3" s="777"/>
      <c r="D3" s="777"/>
      <c r="E3" s="777"/>
      <c r="F3" s="777"/>
      <c r="G3" s="777"/>
      <c r="H3" s="777"/>
      <c r="I3" s="777"/>
      <c r="J3" s="777"/>
    </row>
    <row r="4" spans="1:12" x14ac:dyDescent="0.2">
      <c r="A4" s="228"/>
      <c r="B4" s="228"/>
      <c r="C4" s="228"/>
      <c r="D4" s="228"/>
      <c r="E4" s="228"/>
      <c r="F4" s="228"/>
      <c r="G4" s="228"/>
      <c r="H4" s="228"/>
      <c r="I4" s="228"/>
      <c r="J4" s="228"/>
    </row>
    <row r="5" spans="1:12" x14ac:dyDescent="0.2">
      <c r="A5" s="228"/>
      <c r="B5" s="228"/>
      <c r="C5" s="228"/>
      <c r="D5" s="228"/>
      <c r="E5" s="228"/>
      <c r="F5" s="228"/>
      <c r="G5" s="228"/>
      <c r="H5" s="228"/>
      <c r="I5" s="228"/>
      <c r="J5" s="228"/>
    </row>
    <row r="6" spans="1:12" x14ac:dyDescent="0.2">
      <c r="A6" s="777"/>
      <c r="B6" s="777"/>
      <c r="C6" s="777"/>
      <c r="D6" s="777"/>
      <c r="E6" s="777"/>
      <c r="F6" s="777"/>
      <c r="G6" s="777"/>
      <c r="H6" s="777"/>
      <c r="I6" s="777"/>
      <c r="J6" s="777"/>
    </row>
    <row r="7" spans="1:12" x14ac:dyDescent="0.2">
      <c r="B7" s="56">
        <v>2025</v>
      </c>
      <c r="C7" s="228"/>
      <c r="D7" s="56">
        <v>2024</v>
      </c>
      <c r="E7" s="228"/>
      <c r="F7" s="56">
        <v>2023</v>
      </c>
      <c r="G7" s="228"/>
      <c r="H7" s="56">
        <v>2022</v>
      </c>
      <c r="I7" s="228"/>
      <c r="J7" s="56">
        <v>2021</v>
      </c>
    </row>
    <row r="9" spans="1:12" x14ac:dyDescent="0.2">
      <c r="A9" s="19" t="s">
        <v>671</v>
      </c>
      <c r="B9" s="488">
        <f>'RSI - LEO 1'!B16</f>
        <v>219382.03700000004</v>
      </c>
      <c r="C9" s="488"/>
      <c r="D9" s="451">
        <f>'RSI - LEO 1'!D16</f>
        <v>215657.29400000002</v>
      </c>
      <c r="E9" s="451"/>
      <c r="F9" s="451">
        <f>'RSI - LEO 1'!F16</f>
        <v>198653.23400000003</v>
      </c>
      <c r="G9" s="451"/>
      <c r="H9" s="451">
        <f>'RSI - LEO 1'!H16</f>
        <v>197516.459</v>
      </c>
      <c r="I9" s="451"/>
      <c r="J9" s="451">
        <f>'RSI - LEO 1'!J16</f>
        <v>194716</v>
      </c>
    </row>
    <row r="10" spans="1:12" x14ac:dyDescent="0.2">
      <c r="A10" s="19" t="s">
        <v>684</v>
      </c>
      <c r="B10" s="31">
        <f>D10*1.0375</f>
        <v>439835.73984375008</v>
      </c>
      <c r="C10" s="31"/>
      <c r="D10" s="31">
        <f>F10*1.0375</f>
        <v>423938.06250000006</v>
      </c>
      <c r="E10" s="31"/>
      <c r="F10" s="31">
        <v>408615</v>
      </c>
      <c r="G10" s="31"/>
      <c r="H10" s="31">
        <v>393846</v>
      </c>
      <c r="I10" s="31"/>
      <c r="J10" s="31">
        <v>384005</v>
      </c>
      <c r="L10" s="457"/>
    </row>
    <row r="11" spans="1:12" x14ac:dyDescent="0.2">
      <c r="A11" s="19" t="s">
        <v>685</v>
      </c>
      <c r="B11" s="490">
        <f>B9/B10</f>
        <v>0.49878174310694862</v>
      </c>
      <c r="C11" s="490"/>
      <c r="D11" s="456">
        <f>D9/D10</f>
        <v>0.50870000378887892</v>
      </c>
      <c r="E11" s="456"/>
      <c r="F11" s="456">
        <f>F9/F10</f>
        <v>0.48616236310463401</v>
      </c>
      <c r="G11" s="456"/>
      <c r="H11" s="456">
        <f>H9/H10</f>
        <v>0.501506830080793</v>
      </c>
      <c r="I11" s="456"/>
      <c r="J11" s="456">
        <f>J9/J10</f>
        <v>0.50706631424070003</v>
      </c>
    </row>
    <row r="15" spans="1:12" x14ac:dyDescent="0.2">
      <c r="A15" s="643" t="s">
        <v>794</v>
      </c>
    </row>
    <row r="16" spans="1:12" x14ac:dyDescent="0.2">
      <c r="A16" s="647" t="s">
        <v>823</v>
      </c>
      <c r="B16" s="646"/>
      <c r="C16" s="646"/>
      <c r="D16" s="646"/>
      <c r="E16" s="646"/>
      <c r="F16" s="646"/>
      <c r="G16" s="646"/>
      <c r="H16" s="646"/>
      <c r="I16" s="942"/>
      <c r="J16" s="942"/>
    </row>
    <row r="17" spans="1:18" ht="51" customHeight="1" x14ac:dyDescent="0.2">
      <c r="A17" s="856" t="s">
        <v>892</v>
      </c>
      <c r="B17" s="856"/>
      <c r="C17" s="856"/>
      <c r="D17" s="856"/>
      <c r="E17" s="856"/>
      <c r="F17" s="856"/>
      <c r="G17" s="856"/>
      <c r="H17" s="856"/>
      <c r="I17" s="942"/>
      <c r="J17" s="942"/>
    </row>
    <row r="18" spans="1:18" x14ac:dyDescent="0.2">
      <c r="A18" s="941"/>
      <c r="B18" s="646"/>
      <c r="C18" s="646"/>
      <c r="D18" s="646"/>
      <c r="E18" s="646"/>
      <c r="F18" s="646"/>
      <c r="G18" s="646"/>
      <c r="H18" s="646"/>
      <c r="I18" s="942"/>
      <c r="J18" s="942"/>
    </row>
    <row r="19" spans="1:18" ht="13.5" thickBot="1" x14ac:dyDescent="0.25"/>
    <row r="20" spans="1:18" ht="12.75" customHeight="1" x14ac:dyDescent="0.2">
      <c r="A20" s="868" t="s">
        <v>723</v>
      </c>
      <c r="B20" s="869"/>
      <c r="C20" s="869"/>
      <c r="D20" s="869"/>
      <c r="E20" s="869"/>
      <c r="F20" s="869"/>
      <c r="G20" s="869"/>
      <c r="H20" s="869"/>
      <c r="I20" s="869"/>
      <c r="J20" s="870"/>
    </row>
    <row r="21" spans="1:18" ht="16.149999999999999" customHeight="1" thickBot="1" x14ac:dyDescent="0.25">
      <c r="A21" s="871"/>
      <c r="B21" s="872"/>
      <c r="C21" s="872"/>
      <c r="D21" s="872"/>
      <c r="E21" s="872"/>
      <c r="F21" s="872"/>
      <c r="G21" s="872"/>
      <c r="H21" s="872"/>
      <c r="I21" s="872"/>
      <c r="J21" s="873"/>
    </row>
    <row r="22" spans="1:18" ht="13.5" thickBot="1" x14ac:dyDescent="0.25">
      <c r="A22" s="470"/>
      <c r="B22" s="470"/>
      <c r="C22" s="470"/>
      <c r="D22" s="470"/>
      <c r="E22" s="470"/>
      <c r="F22" s="470"/>
      <c r="G22" s="470"/>
      <c r="H22" s="470"/>
      <c r="I22" s="470"/>
      <c r="J22" s="470"/>
    </row>
    <row r="23" spans="1:18" ht="13.5" customHeight="1" thickBot="1" x14ac:dyDescent="0.25">
      <c r="A23" s="651" t="s">
        <v>824</v>
      </c>
      <c r="B23" s="648"/>
      <c r="C23" s="648"/>
      <c r="D23" s="649"/>
      <c r="E23" s="648"/>
      <c r="F23" s="649"/>
      <c r="G23" s="650"/>
      <c r="H23" s="650"/>
      <c r="I23" s="650"/>
      <c r="J23" s="650"/>
      <c r="K23" s="650"/>
      <c r="L23" s="650"/>
      <c r="M23" s="650"/>
      <c r="N23" s="650"/>
      <c r="O23" s="650"/>
      <c r="P23" s="650"/>
      <c r="Q23" s="650"/>
      <c r="R23" s="650"/>
    </row>
  </sheetData>
  <mergeCells count="6">
    <mergeCell ref="A20:J21"/>
    <mergeCell ref="A1:J1"/>
    <mergeCell ref="A2:J2"/>
    <mergeCell ref="A3:J3"/>
    <mergeCell ref="A6:J6"/>
    <mergeCell ref="A17:H17"/>
  </mergeCells>
  <printOptions horizontalCentered="1"/>
  <pageMargins left="0.7" right="0.7" top="0.75" bottom="0.75" header="0.3" footer="0.3"/>
  <pageSetup scale="7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pageSetUpPr fitToPage="1"/>
  </sheetPr>
  <dimension ref="A1:H36"/>
  <sheetViews>
    <sheetView topLeftCell="A7" workbookViewId="0">
      <selection activeCell="A7" sqref="A7"/>
    </sheetView>
  </sheetViews>
  <sheetFormatPr defaultRowHeight="12.75" x14ac:dyDescent="0.2"/>
  <cols>
    <col min="1" max="1" width="52" customWidth="1"/>
    <col min="2" max="2" width="12.85546875" customWidth="1"/>
    <col min="3" max="3" width="1.140625" customWidth="1"/>
    <col min="4" max="4" width="12.85546875" customWidth="1"/>
    <col min="5" max="5" width="1.140625" customWidth="1"/>
    <col min="6" max="6" width="12.85546875" customWidth="1"/>
    <col min="7" max="7" width="1.140625" customWidth="1"/>
    <col min="8" max="8" width="12.85546875" customWidth="1"/>
  </cols>
  <sheetData>
    <row r="1" spans="1:8" x14ac:dyDescent="0.2">
      <c r="A1" s="777" t="s">
        <v>136</v>
      </c>
      <c r="B1" s="777"/>
      <c r="C1" s="777"/>
      <c r="D1" s="777"/>
      <c r="E1" s="777"/>
      <c r="F1" s="777"/>
      <c r="G1" s="777"/>
      <c r="H1" s="777"/>
    </row>
    <row r="2" spans="1:8" x14ac:dyDescent="0.2">
      <c r="A2" s="777" t="s">
        <v>714</v>
      </c>
      <c r="B2" s="777"/>
      <c r="C2" s="777"/>
      <c r="D2" s="777"/>
      <c r="E2" s="777"/>
      <c r="F2" s="777"/>
      <c r="G2" s="777"/>
      <c r="H2" s="777"/>
    </row>
    <row r="3" spans="1:8" x14ac:dyDescent="0.2">
      <c r="A3" s="863" t="s">
        <v>866</v>
      </c>
      <c r="B3" s="863"/>
      <c r="C3" s="863"/>
      <c r="D3" s="863"/>
      <c r="E3" s="863"/>
      <c r="F3" s="863"/>
      <c r="G3" s="863"/>
      <c r="H3" s="863"/>
    </row>
    <row r="4" spans="1:8" x14ac:dyDescent="0.2">
      <c r="A4" s="781" t="s">
        <v>826</v>
      </c>
      <c r="B4" s="781"/>
      <c r="C4" s="781"/>
      <c r="D4" s="781"/>
      <c r="E4" s="781"/>
      <c r="F4" s="781"/>
      <c r="G4" s="777"/>
      <c r="H4" s="777"/>
    </row>
    <row r="5" spans="1:8" x14ac:dyDescent="0.2">
      <c r="A5" s="590"/>
      <c r="B5" s="590"/>
      <c r="C5" s="590"/>
      <c r="D5" s="590"/>
      <c r="E5" s="590"/>
      <c r="F5" s="590"/>
      <c r="G5" s="228"/>
      <c r="H5" s="228"/>
    </row>
    <row r="8" spans="1:8" x14ac:dyDescent="0.2">
      <c r="B8" s="56">
        <v>2025</v>
      </c>
      <c r="D8" s="56">
        <v>2024</v>
      </c>
      <c r="E8" s="476"/>
      <c r="F8" s="56">
        <v>2023</v>
      </c>
      <c r="G8" s="476"/>
      <c r="H8" s="56">
        <v>2022</v>
      </c>
    </row>
    <row r="9" spans="1:8" x14ac:dyDescent="0.2">
      <c r="A9" s="101" t="s">
        <v>700</v>
      </c>
      <c r="B9" s="101"/>
      <c r="C9" s="101"/>
      <c r="D9" s="491"/>
      <c r="E9" s="472"/>
      <c r="F9" s="471"/>
      <c r="G9" s="472"/>
      <c r="H9" s="471"/>
    </row>
    <row r="10" spans="1:8" x14ac:dyDescent="0.2">
      <c r="A10" s="19" t="s">
        <v>701</v>
      </c>
      <c r="B10" s="653">
        <v>12037</v>
      </c>
      <c r="C10" s="472"/>
      <c r="D10" s="654">
        <v>13012</v>
      </c>
      <c r="E10" s="472"/>
      <c r="F10" s="654">
        <v>12568</v>
      </c>
      <c r="H10" s="654">
        <v>12162</v>
      </c>
    </row>
    <row r="11" spans="1:8" x14ac:dyDescent="0.2">
      <c r="A11" s="19" t="s">
        <v>496</v>
      </c>
      <c r="B11" s="491">
        <v>24101</v>
      </c>
      <c r="C11" s="472"/>
      <c r="D11" s="471">
        <v>30306</v>
      </c>
      <c r="E11" s="472"/>
      <c r="F11" s="471">
        <v>27056</v>
      </c>
      <c r="H11" s="471">
        <v>26554</v>
      </c>
    </row>
    <row r="12" spans="1:8" x14ac:dyDescent="0.2">
      <c r="A12" s="19" t="s">
        <v>678</v>
      </c>
      <c r="B12" s="491">
        <v>0</v>
      </c>
      <c r="C12" s="472"/>
      <c r="D12" s="471">
        <v>0</v>
      </c>
      <c r="E12" s="472"/>
      <c r="F12" s="471">
        <v>0</v>
      </c>
      <c r="H12" s="471">
        <v>0</v>
      </c>
    </row>
    <row r="13" spans="1:8" x14ac:dyDescent="0.2">
      <c r="A13" s="19" t="s">
        <v>702</v>
      </c>
      <c r="B13" s="491">
        <v>23680</v>
      </c>
      <c r="C13" s="472"/>
      <c r="D13" s="471">
        <v>15024</v>
      </c>
      <c r="E13" s="472"/>
      <c r="F13" s="471">
        <v>17926</v>
      </c>
      <c r="H13" s="471">
        <v>17852</v>
      </c>
    </row>
    <row r="14" spans="1:8" x14ac:dyDescent="0.2">
      <c r="A14" s="19" t="s">
        <v>703</v>
      </c>
      <c r="B14" s="492">
        <v>-7331</v>
      </c>
      <c r="C14" s="472"/>
      <c r="D14" s="472">
        <v>-6292</v>
      </c>
      <c r="E14" s="472"/>
      <c r="F14" s="472">
        <v>-6387</v>
      </c>
      <c r="H14" s="472">
        <v>-6488</v>
      </c>
    </row>
    <row r="15" spans="1:8" x14ac:dyDescent="0.2">
      <c r="A15" s="19" t="s">
        <v>680</v>
      </c>
      <c r="B15" s="493">
        <v>-45000</v>
      </c>
      <c r="C15" s="472"/>
      <c r="D15" s="473">
        <v>-42000</v>
      </c>
      <c r="E15" s="472"/>
      <c r="F15" s="473">
        <v>-42750</v>
      </c>
      <c r="H15" s="473">
        <v>-41585</v>
      </c>
    </row>
    <row r="16" spans="1:8" x14ac:dyDescent="0.2">
      <c r="A16" s="101" t="s">
        <v>704</v>
      </c>
      <c r="B16" s="494">
        <f>SUM(B10:B15)</f>
        <v>7487</v>
      </c>
      <c r="C16" s="477"/>
      <c r="D16" s="474">
        <f>SUM(D10:D15)</f>
        <v>10050</v>
      </c>
      <c r="E16" s="477"/>
      <c r="F16" s="474">
        <f>SUM(F10:F15)</f>
        <v>8413</v>
      </c>
      <c r="H16" s="474">
        <f>SUM(H10:H15)</f>
        <v>8495</v>
      </c>
    </row>
    <row r="17" spans="1:8" x14ac:dyDescent="0.2">
      <c r="A17" s="101" t="s">
        <v>705</v>
      </c>
      <c r="B17" s="491">
        <v>1189833</v>
      </c>
      <c r="C17" s="472"/>
      <c r="D17" s="471">
        <v>1179783</v>
      </c>
      <c r="E17" s="472"/>
      <c r="F17" s="471">
        <v>1171370</v>
      </c>
      <c r="H17" s="471">
        <v>1162875</v>
      </c>
    </row>
    <row r="18" spans="1:8" ht="13.5" thickBot="1" x14ac:dyDescent="0.25">
      <c r="A18" s="101" t="s">
        <v>706</v>
      </c>
      <c r="B18" s="655">
        <f>B17+B16</f>
        <v>1197320</v>
      </c>
      <c r="C18" s="472"/>
      <c r="D18" s="656">
        <f>D17+D16</f>
        <v>1189833</v>
      </c>
      <c r="E18" s="472"/>
      <c r="F18" s="656">
        <f>F17+F16</f>
        <v>1179783</v>
      </c>
      <c r="H18" s="656">
        <f>H17+H16</f>
        <v>1171370</v>
      </c>
    </row>
    <row r="19" spans="1:8" ht="13.5" thickTop="1" x14ac:dyDescent="0.2">
      <c r="B19" s="491"/>
      <c r="C19" s="472"/>
      <c r="D19" s="471"/>
      <c r="E19" s="472"/>
      <c r="F19" s="471"/>
      <c r="H19" s="471"/>
    </row>
    <row r="20" spans="1:8" x14ac:dyDescent="0.2">
      <c r="A20" s="101" t="s">
        <v>684</v>
      </c>
      <c r="B20" s="653">
        <v>14918115.942028984</v>
      </c>
      <c r="C20" s="112"/>
      <c r="D20" s="653">
        <v>14378907</v>
      </c>
      <c r="E20" s="112"/>
      <c r="F20" s="653">
        <v>14378907</v>
      </c>
      <c r="H20" s="653">
        <v>14466206</v>
      </c>
    </row>
    <row r="21" spans="1:8" ht="25.5" x14ac:dyDescent="0.2">
      <c r="A21" s="229" t="s">
        <v>712</v>
      </c>
      <c r="B21" s="495">
        <f>B18/B20</f>
        <v>8.0259464710739789E-2</v>
      </c>
      <c r="C21" s="478"/>
      <c r="D21" s="475">
        <f>D18/D20</f>
        <v>8.2748500981333281E-2</v>
      </c>
      <c r="E21" s="478"/>
      <c r="F21" s="475">
        <f>F18/F20</f>
        <v>8.2049560512492362E-2</v>
      </c>
      <c r="H21" s="475">
        <f>H18/H20</f>
        <v>8.0972854942062897E-2</v>
      </c>
    </row>
    <row r="22" spans="1:8" x14ac:dyDescent="0.2">
      <c r="A22" s="606"/>
      <c r="B22" s="495"/>
      <c r="C22" s="478"/>
      <c r="D22" s="475"/>
      <c r="E22" s="478"/>
      <c r="F22" s="475"/>
      <c r="H22" s="475"/>
    </row>
    <row r="23" spans="1:8" x14ac:dyDescent="0.2">
      <c r="A23" s="606"/>
      <c r="B23" s="495"/>
      <c r="C23" s="478"/>
      <c r="D23" s="475"/>
      <c r="E23" s="478"/>
      <c r="F23" s="475"/>
      <c r="H23" s="475"/>
    </row>
    <row r="24" spans="1:8" x14ac:dyDescent="0.2">
      <c r="A24" s="606"/>
      <c r="B24" s="229"/>
      <c r="C24" s="229"/>
      <c r="D24" s="475"/>
      <c r="E24" s="478"/>
      <c r="F24" s="475"/>
      <c r="G24" s="478"/>
      <c r="H24" s="475"/>
    </row>
    <row r="25" spans="1:8" x14ac:dyDescent="0.2">
      <c r="A25" s="652" t="s">
        <v>827</v>
      </c>
      <c r="B25" s="657"/>
      <c r="C25" s="657"/>
      <c r="D25" s="658"/>
      <c r="E25" s="659"/>
      <c r="F25" s="658"/>
      <c r="G25" s="659"/>
      <c r="H25" s="658"/>
    </row>
    <row r="26" spans="1:8" x14ac:dyDescent="0.2">
      <c r="A26" s="2" t="s">
        <v>822</v>
      </c>
      <c r="B26" s="657"/>
      <c r="C26" s="657"/>
      <c r="D26" s="658"/>
      <c r="E26" s="659"/>
      <c r="F26" s="658"/>
      <c r="G26" s="659"/>
      <c r="H26" s="658"/>
    </row>
    <row r="27" spans="1:8" x14ac:dyDescent="0.2">
      <c r="A27" s="639" t="s">
        <v>829</v>
      </c>
      <c r="B27" s="759"/>
      <c r="C27" s="759"/>
      <c r="D27" s="760"/>
      <c r="E27" s="761"/>
      <c r="F27" s="760"/>
      <c r="G27" s="761"/>
      <c r="H27" s="658"/>
    </row>
    <row r="28" spans="1:8" ht="25.5" customHeight="1" x14ac:dyDescent="0.2">
      <c r="A28" s="875" t="s">
        <v>828</v>
      </c>
      <c r="B28" s="875"/>
      <c r="C28" s="875"/>
      <c r="D28" s="875"/>
      <c r="E28" s="875"/>
      <c r="F28" s="875"/>
      <c r="G28" s="875"/>
      <c r="H28" s="875"/>
    </row>
    <row r="29" spans="1:8" x14ac:dyDescent="0.2">
      <c r="A29" s="335">
        <v>2025</v>
      </c>
      <c r="B29" s="660">
        <v>3.1800000000000002E-2</v>
      </c>
      <c r="C29" s="335"/>
      <c r="D29" s="660"/>
      <c r="E29" s="2"/>
      <c r="F29" s="2"/>
      <c r="G29" s="2"/>
      <c r="H29" s="660"/>
    </row>
    <row r="30" spans="1:8" x14ac:dyDescent="0.2">
      <c r="A30" s="335">
        <v>2024</v>
      </c>
      <c r="B30" s="660">
        <v>3.09E-2</v>
      </c>
      <c r="C30" s="335"/>
      <c r="D30" s="2"/>
      <c r="E30" s="2"/>
      <c r="F30" s="2"/>
      <c r="G30" s="2"/>
      <c r="H30" s="660"/>
    </row>
    <row r="31" spans="1:8" x14ac:dyDescent="0.2">
      <c r="A31" s="335">
        <v>2023</v>
      </c>
      <c r="B31" s="660">
        <v>3.0700000000000002E-2</v>
      </c>
      <c r="C31" s="335"/>
      <c r="D31" s="2"/>
      <c r="E31" s="2"/>
      <c r="F31" s="2"/>
      <c r="G31" s="2"/>
      <c r="H31" s="660"/>
    </row>
    <row r="32" spans="1:8" x14ac:dyDescent="0.2">
      <c r="A32" s="335">
        <v>2022</v>
      </c>
      <c r="B32" s="660">
        <v>3.1199999999999999E-2</v>
      </c>
      <c r="C32" s="335"/>
      <c r="D32" s="2"/>
      <c r="E32" s="2"/>
      <c r="F32" s="2"/>
      <c r="G32" s="2"/>
      <c r="H32" s="660"/>
    </row>
    <row r="33" spans="1:8" x14ac:dyDescent="0.2">
      <c r="A33" s="213"/>
      <c r="B33" s="213"/>
      <c r="C33" s="213"/>
      <c r="F33" s="480"/>
      <c r="H33" s="480"/>
    </row>
    <row r="34" spans="1:8" x14ac:dyDescent="0.2">
      <c r="A34" s="213"/>
      <c r="B34" s="213"/>
      <c r="C34" s="213"/>
      <c r="F34" s="480"/>
      <c r="H34" s="480"/>
    </row>
    <row r="35" spans="1:8" ht="13.5" thickBot="1" x14ac:dyDescent="0.25">
      <c r="D35" s="368"/>
      <c r="F35" s="368"/>
      <c r="H35" s="368"/>
    </row>
    <row r="36" spans="1:8" ht="27" customHeight="1" thickBot="1" x14ac:dyDescent="0.25">
      <c r="A36" s="864" t="s">
        <v>723</v>
      </c>
      <c r="B36" s="865"/>
      <c r="C36" s="865"/>
      <c r="D36" s="865"/>
      <c r="E36" s="865"/>
      <c r="F36" s="865"/>
      <c r="G36" s="865"/>
      <c r="H36" s="866"/>
    </row>
  </sheetData>
  <mergeCells count="6">
    <mergeCell ref="A36:H36"/>
    <mergeCell ref="A1:H1"/>
    <mergeCell ref="A2:H2"/>
    <mergeCell ref="A4:H4"/>
    <mergeCell ref="A28:H28"/>
    <mergeCell ref="A3:H3"/>
  </mergeCells>
  <printOptions horizontalCentered="1"/>
  <pageMargins left="0.7" right="0.7" top="0.75" bottom="0.75" header="0.3" footer="0.3"/>
  <pageSetup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1:M225"/>
  <sheetViews>
    <sheetView topLeftCell="A200" workbookViewId="0">
      <selection activeCell="I212" sqref="I212"/>
    </sheetView>
  </sheetViews>
  <sheetFormatPr defaultColWidth="9.140625" defaultRowHeight="12.75" x14ac:dyDescent="0.2"/>
  <cols>
    <col min="1" max="3" width="2.42578125" customWidth="1"/>
    <col min="4" max="4" width="31.28515625" customWidth="1"/>
    <col min="5" max="5" width="13.28515625" customWidth="1"/>
    <col min="6" max="6" width="1.7109375" customWidth="1"/>
    <col min="7" max="7" width="13.85546875" customWidth="1"/>
    <col min="8" max="8" width="1.7109375" customWidth="1"/>
    <col min="9" max="9" width="13.28515625" customWidth="1"/>
    <col min="10" max="10" width="9.85546875" bestFit="1" customWidth="1"/>
  </cols>
  <sheetData>
    <row r="1" spans="1:12" s="101" customFormat="1" x14ac:dyDescent="0.2">
      <c r="A1" s="109" t="s">
        <v>136</v>
      </c>
      <c r="B1" s="109"/>
      <c r="C1" s="109"/>
      <c r="D1" s="109"/>
      <c r="E1" s="109"/>
      <c r="F1" s="109"/>
      <c r="G1" s="109"/>
      <c r="H1" s="109"/>
      <c r="I1" s="109"/>
    </row>
    <row r="2" spans="1:12" s="101" customFormat="1" x14ac:dyDescent="0.2">
      <c r="A2" s="109" t="s">
        <v>26</v>
      </c>
      <c r="B2" s="109"/>
      <c r="C2" s="109"/>
      <c r="D2" s="109"/>
      <c r="E2" s="109"/>
      <c r="F2" s="109"/>
      <c r="G2" s="109"/>
      <c r="H2" s="109"/>
      <c r="I2" s="109"/>
    </row>
    <row r="3" spans="1:12" s="101" customFormat="1" x14ac:dyDescent="0.2">
      <c r="A3" s="109" t="s">
        <v>465</v>
      </c>
      <c r="B3" s="109"/>
      <c r="C3" s="109"/>
      <c r="D3" s="109"/>
      <c r="E3" s="109"/>
      <c r="F3" s="109"/>
      <c r="G3" s="109"/>
      <c r="H3" s="109"/>
      <c r="I3" s="109"/>
    </row>
    <row r="4" spans="1:12" s="101" customFormat="1" x14ac:dyDescent="0.2">
      <c r="A4" s="109" t="s">
        <v>165</v>
      </c>
      <c r="B4" s="109"/>
      <c r="C4" s="109"/>
      <c r="D4" s="109"/>
      <c r="E4" s="109"/>
      <c r="F4" s="109"/>
      <c r="G4" s="109"/>
      <c r="H4" s="109"/>
      <c r="I4" s="109"/>
    </row>
    <row r="5" spans="1:12" s="101" customFormat="1" x14ac:dyDescent="0.2">
      <c r="A5" s="109" t="str">
        <f>'5-GASB34GovtFundsBudget'!C4</f>
        <v>For the Year Ended June 30, 2025</v>
      </c>
      <c r="B5" s="109"/>
      <c r="C5" s="109"/>
      <c r="D5" s="109"/>
      <c r="E5" s="109"/>
      <c r="F5" s="109"/>
      <c r="G5" s="109"/>
      <c r="H5" s="109"/>
      <c r="I5" s="109"/>
    </row>
    <row r="6" spans="1:12" s="101" customFormat="1" x14ac:dyDescent="0.2">
      <c r="A6" s="109"/>
      <c r="B6" s="109"/>
      <c r="C6" s="109"/>
      <c r="D6" s="109"/>
      <c r="E6" s="109"/>
      <c r="F6" s="109"/>
      <c r="G6" s="109"/>
      <c r="H6" s="109"/>
      <c r="I6" s="109"/>
    </row>
    <row r="7" spans="1:12" ht="13.5" thickBot="1" x14ac:dyDescent="0.25">
      <c r="A7" s="107"/>
      <c r="B7" s="107"/>
      <c r="C7" s="107"/>
      <c r="D7" s="107"/>
      <c r="E7" s="107"/>
      <c r="F7" s="107"/>
      <c r="G7" s="107"/>
      <c r="H7" s="107"/>
      <c r="I7" s="107"/>
    </row>
    <row r="8" spans="1:12" x14ac:dyDescent="0.2">
      <c r="A8" s="8"/>
      <c r="B8" s="8"/>
      <c r="C8" s="8"/>
      <c r="D8" s="8"/>
      <c r="E8" s="8"/>
      <c r="F8" s="8"/>
      <c r="G8" s="8"/>
      <c r="H8" s="8"/>
      <c r="I8" s="6" t="s">
        <v>168</v>
      </c>
    </row>
    <row r="9" spans="1:12" x14ac:dyDescent="0.2">
      <c r="A9" s="8"/>
      <c r="B9" s="8"/>
      <c r="C9" s="8"/>
      <c r="D9" s="8"/>
      <c r="E9" s="8"/>
      <c r="F9" s="8"/>
      <c r="G9" s="8"/>
      <c r="H9" s="8"/>
      <c r="I9" s="663" t="s">
        <v>831</v>
      </c>
    </row>
    <row r="10" spans="1:12" x14ac:dyDescent="0.2">
      <c r="A10" s="8"/>
      <c r="B10" s="8"/>
      <c r="C10" s="8"/>
      <c r="D10" s="8"/>
      <c r="E10" s="7" t="s">
        <v>757</v>
      </c>
      <c r="F10" s="8"/>
      <c r="G10" s="7" t="s">
        <v>167</v>
      </c>
      <c r="H10" s="8"/>
      <c r="I10" s="664" t="s">
        <v>832</v>
      </c>
    </row>
    <row r="11" spans="1:12" x14ac:dyDescent="0.2">
      <c r="A11" s="108" t="s">
        <v>127</v>
      </c>
      <c r="B11" s="8"/>
      <c r="C11" s="8"/>
      <c r="D11" s="8"/>
      <c r="E11" s="8"/>
      <c r="F11" s="8"/>
      <c r="G11" s="103"/>
      <c r="H11" s="8"/>
      <c r="I11" s="103"/>
    </row>
    <row r="12" spans="1:12" x14ac:dyDescent="0.2">
      <c r="A12" s="108" t="s">
        <v>185</v>
      </c>
      <c r="B12" s="8"/>
      <c r="C12" s="8"/>
      <c r="D12" s="8"/>
      <c r="E12" s="103"/>
      <c r="F12" s="103"/>
      <c r="G12" s="103"/>
      <c r="H12" s="103"/>
      <c r="I12" s="103"/>
    </row>
    <row r="13" spans="1:12" x14ac:dyDescent="0.2">
      <c r="A13" s="8"/>
      <c r="B13" s="252" t="s">
        <v>63</v>
      </c>
      <c r="C13" s="8"/>
      <c r="D13" s="8"/>
      <c r="E13" s="87"/>
      <c r="F13" s="286"/>
      <c r="G13" s="160">
        <f>969504-1097</f>
        <v>968407</v>
      </c>
      <c r="H13" s="286"/>
      <c r="I13" s="87"/>
    </row>
    <row r="14" spans="1:12" x14ac:dyDescent="0.2">
      <c r="A14" s="8"/>
      <c r="B14" s="252" t="s">
        <v>496</v>
      </c>
      <c r="C14" s="8"/>
      <c r="D14" s="8"/>
      <c r="E14" s="85"/>
      <c r="F14" s="103"/>
      <c r="G14" s="64">
        <f>3607-2000-510</f>
        <v>1097</v>
      </c>
      <c r="H14" s="103"/>
      <c r="I14" s="85"/>
    </row>
    <row r="15" spans="1:12" x14ac:dyDescent="0.2">
      <c r="A15" s="8"/>
      <c r="B15" s="8"/>
      <c r="C15" s="252" t="s">
        <v>186</v>
      </c>
      <c r="D15" s="8"/>
      <c r="E15" s="79">
        <v>970385</v>
      </c>
      <c r="F15" s="103"/>
      <c r="G15" s="64">
        <f>SUM(G13:G14)</f>
        <v>969504</v>
      </c>
      <c r="H15" s="103"/>
      <c r="I15" s="661">
        <f>+G15-E15</f>
        <v>-881</v>
      </c>
    </row>
    <row r="16" spans="1:12" ht="13.5" x14ac:dyDescent="0.25">
      <c r="A16" s="8"/>
      <c r="B16" s="8"/>
      <c r="C16" s="8"/>
      <c r="D16" s="8"/>
      <c r="E16" s="72"/>
      <c r="F16" s="103"/>
      <c r="G16" s="72"/>
      <c r="H16" s="103"/>
      <c r="I16" s="72"/>
      <c r="L16" s="110"/>
    </row>
    <row r="17" spans="1:11" x14ac:dyDescent="0.2">
      <c r="A17" s="108" t="s">
        <v>187</v>
      </c>
      <c r="B17" s="8"/>
      <c r="C17" s="8"/>
      <c r="D17" s="8"/>
      <c r="E17" s="72"/>
      <c r="F17" s="103"/>
      <c r="G17" s="25"/>
      <c r="H17" s="103"/>
      <c r="I17" s="72"/>
    </row>
    <row r="18" spans="1:11" ht="24.95" customHeight="1" x14ac:dyDescent="0.2">
      <c r="A18" s="8"/>
      <c r="B18" s="876" t="s">
        <v>189</v>
      </c>
      <c r="C18" s="877"/>
      <c r="D18" s="877"/>
      <c r="E18" s="87"/>
      <c r="F18" s="103"/>
      <c r="G18" s="72">
        <f>14667+2000+510</f>
        <v>17177</v>
      </c>
      <c r="H18" s="103"/>
      <c r="I18" s="87"/>
    </row>
    <row r="19" spans="1:11" x14ac:dyDescent="0.2">
      <c r="A19" s="8"/>
      <c r="B19" s="252" t="s">
        <v>190</v>
      </c>
      <c r="C19" s="8"/>
      <c r="D19" s="8"/>
      <c r="E19" s="86"/>
      <c r="F19" s="8"/>
      <c r="G19" s="63">
        <v>6950</v>
      </c>
      <c r="H19" s="8"/>
      <c r="I19" s="86"/>
    </row>
    <row r="20" spans="1:11" x14ac:dyDescent="0.2">
      <c r="A20" s="8"/>
      <c r="B20" s="8"/>
      <c r="C20" s="252" t="s">
        <v>1</v>
      </c>
      <c r="D20" s="8"/>
      <c r="E20" s="97">
        <f>50000+2000-29000</f>
        <v>23000</v>
      </c>
      <c r="F20" s="103"/>
      <c r="G20" s="97">
        <f>SUM(G18:G19)</f>
        <v>24127</v>
      </c>
      <c r="H20" s="103"/>
      <c r="I20" s="371">
        <f>+G20-E20</f>
        <v>1127</v>
      </c>
    </row>
    <row r="21" spans="1:11" x14ac:dyDescent="0.2">
      <c r="A21" s="8"/>
      <c r="B21" s="8"/>
      <c r="C21" s="8"/>
      <c r="D21" s="8"/>
      <c r="E21" s="72"/>
      <c r="F21" s="103"/>
      <c r="G21" s="72"/>
      <c r="H21" s="103"/>
      <c r="I21" s="72"/>
    </row>
    <row r="22" spans="1:11" x14ac:dyDescent="0.2">
      <c r="A22" s="108" t="s">
        <v>191</v>
      </c>
      <c r="B22" s="8"/>
      <c r="C22" s="8"/>
      <c r="D22" s="8"/>
      <c r="E22" s="72"/>
      <c r="F22" s="103"/>
      <c r="G22" s="72"/>
      <c r="H22" s="103"/>
      <c r="I22" s="72"/>
    </row>
    <row r="23" spans="1:11" x14ac:dyDescent="0.2">
      <c r="A23" s="252"/>
      <c r="B23" s="252" t="s">
        <v>188</v>
      </c>
      <c r="C23" s="8"/>
      <c r="D23" s="8"/>
      <c r="E23" s="87"/>
      <c r="F23" s="103"/>
      <c r="G23" s="72">
        <f>460789-33315+50000</f>
        <v>477474</v>
      </c>
      <c r="H23" s="103"/>
      <c r="I23" s="87"/>
    </row>
    <row r="24" spans="1:11" x14ac:dyDescent="0.2">
      <c r="A24" s="8"/>
      <c r="B24" s="252" t="s">
        <v>616</v>
      </c>
      <c r="C24" s="8"/>
      <c r="D24" s="8"/>
      <c r="E24" s="87"/>
      <c r="F24" s="103"/>
      <c r="G24" s="72">
        <f>113271-5986-4827+30000</f>
        <v>132458</v>
      </c>
      <c r="H24" s="103"/>
      <c r="I24" s="87"/>
    </row>
    <row r="25" spans="1:11" x14ac:dyDescent="0.2">
      <c r="A25" s="8"/>
      <c r="B25" s="252" t="s">
        <v>192</v>
      </c>
      <c r="C25" s="8"/>
      <c r="D25" s="8"/>
      <c r="E25" s="87"/>
      <c r="F25" s="103"/>
      <c r="G25" s="72">
        <f>10000+46639</f>
        <v>56639</v>
      </c>
      <c r="H25" s="103"/>
      <c r="I25" s="87"/>
    </row>
    <row r="26" spans="1:11" x14ac:dyDescent="0.2">
      <c r="A26" s="8"/>
      <c r="B26" s="252" t="s">
        <v>641</v>
      </c>
      <c r="C26" s="8"/>
      <c r="D26" s="8"/>
      <c r="E26" s="87"/>
      <c r="F26" s="103"/>
      <c r="G26" s="72">
        <f>87179+30000</f>
        <v>117179</v>
      </c>
      <c r="H26" s="103"/>
      <c r="I26" s="87"/>
    </row>
    <row r="27" spans="1:11" x14ac:dyDescent="0.2">
      <c r="A27" s="8"/>
      <c r="B27" s="252" t="s">
        <v>642</v>
      </c>
      <c r="C27" s="8"/>
      <c r="D27" s="8"/>
      <c r="E27" s="87"/>
      <c r="F27" s="103"/>
      <c r="G27" s="72">
        <f>24295+30000</f>
        <v>54295</v>
      </c>
      <c r="H27" s="103"/>
      <c r="I27" s="87"/>
    </row>
    <row r="28" spans="1:11" x14ac:dyDescent="0.2">
      <c r="A28" s="8"/>
      <c r="B28" s="252" t="s">
        <v>537</v>
      </c>
      <c r="C28" s="8"/>
      <c r="D28" s="8"/>
      <c r="E28" s="87"/>
      <c r="F28" s="103"/>
      <c r="G28" s="72">
        <f>33315+30000</f>
        <v>63315</v>
      </c>
      <c r="H28" s="103"/>
      <c r="I28" s="87"/>
    </row>
    <row r="29" spans="1:11" x14ac:dyDescent="0.2">
      <c r="A29" s="8"/>
      <c r="B29" s="252" t="s">
        <v>193</v>
      </c>
      <c r="C29" s="8"/>
      <c r="D29" s="8"/>
      <c r="E29" s="87"/>
      <c r="F29" s="103"/>
      <c r="G29" s="72">
        <v>15008</v>
      </c>
      <c r="H29" s="103"/>
      <c r="I29" s="87"/>
    </row>
    <row r="30" spans="1:11" x14ac:dyDescent="0.2">
      <c r="A30" s="8"/>
      <c r="B30" s="8" t="s">
        <v>414</v>
      </c>
      <c r="C30" s="8"/>
      <c r="D30" s="8"/>
      <c r="E30" s="83"/>
      <c r="F30" s="103"/>
      <c r="G30" s="83">
        <v>2540</v>
      </c>
      <c r="H30" s="103"/>
      <c r="I30" s="88"/>
    </row>
    <row r="31" spans="1:11" x14ac:dyDescent="0.2">
      <c r="A31" s="8"/>
      <c r="B31" s="8"/>
      <c r="C31" s="252" t="s">
        <v>1</v>
      </c>
      <c r="D31" s="8"/>
      <c r="E31" s="64">
        <f>397790+239130+14500+216639+0.593*(120000+23000)</f>
        <v>952858</v>
      </c>
      <c r="F31" s="103"/>
      <c r="G31" s="64">
        <f>SUM(G23:G30)</f>
        <v>918908</v>
      </c>
      <c r="H31" s="103"/>
      <c r="I31" s="64">
        <f>+G31-E31</f>
        <v>-33950</v>
      </c>
      <c r="K31" s="30"/>
    </row>
    <row r="32" spans="1:11" x14ac:dyDescent="0.2">
      <c r="A32" s="8"/>
      <c r="B32" s="8"/>
      <c r="C32" s="8"/>
      <c r="D32" s="8"/>
      <c r="E32" s="72"/>
      <c r="F32" s="103"/>
      <c r="G32" s="72"/>
      <c r="H32" s="103"/>
      <c r="I32" s="72"/>
    </row>
    <row r="33" spans="1:12" x14ac:dyDescent="0.2">
      <c r="A33" s="108" t="s">
        <v>194</v>
      </c>
      <c r="B33" s="8"/>
      <c r="C33" s="8"/>
      <c r="D33" s="8"/>
      <c r="E33" s="72"/>
      <c r="F33" s="103"/>
      <c r="G33" s="72"/>
      <c r="H33" s="103"/>
      <c r="I33" s="72"/>
    </row>
    <row r="34" spans="1:12" x14ac:dyDescent="0.2">
      <c r="A34" s="8"/>
      <c r="B34" s="252" t="s">
        <v>195</v>
      </c>
      <c r="C34" s="8"/>
      <c r="D34" s="8"/>
      <c r="E34" s="87"/>
      <c r="F34" s="103"/>
      <c r="G34" s="72">
        <f>135457-3000+100000</f>
        <v>232457</v>
      </c>
      <c r="H34" s="103"/>
      <c r="I34" s="87"/>
    </row>
    <row r="35" spans="1:12" x14ac:dyDescent="0.2">
      <c r="A35" s="8"/>
      <c r="B35" s="252" t="s">
        <v>196</v>
      </c>
      <c r="C35" s="8"/>
      <c r="D35" s="8"/>
      <c r="E35" s="86"/>
      <c r="F35" s="103"/>
      <c r="G35" s="63">
        <f>14649+723</f>
        <v>15372</v>
      </c>
      <c r="H35" s="103"/>
      <c r="I35" s="86"/>
    </row>
    <row r="36" spans="1:12" x14ac:dyDescent="0.2">
      <c r="A36" s="8"/>
      <c r="B36" s="252" t="s">
        <v>413</v>
      </c>
      <c r="C36" s="8"/>
      <c r="D36" s="8"/>
      <c r="E36" s="86"/>
      <c r="F36" s="103"/>
      <c r="G36" s="63">
        <v>12000</v>
      </c>
      <c r="H36" s="103"/>
      <c r="I36" s="86"/>
    </row>
    <row r="37" spans="1:12" x14ac:dyDescent="0.2">
      <c r="A37" s="8"/>
      <c r="B37" s="252" t="s">
        <v>197</v>
      </c>
      <c r="C37" s="8"/>
      <c r="D37" s="8"/>
      <c r="E37" s="86"/>
      <c r="F37" s="103"/>
      <c r="G37" s="63">
        <f>1540+(250*8)</f>
        <v>3540</v>
      </c>
      <c r="H37" s="103"/>
      <c r="I37" s="86"/>
      <c r="L37" s="30"/>
    </row>
    <row r="38" spans="1:12" x14ac:dyDescent="0.2">
      <c r="A38" s="8"/>
      <c r="B38" s="252" t="s">
        <v>543</v>
      </c>
      <c r="C38" s="8"/>
      <c r="D38" s="8"/>
      <c r="E38" s="85"/>
      <c r="F38" s="103"/>
      <c r="G38" s="64">
        <f>3000+736+689-2060+600</f>
        <v>2965</v>
      </c>
      <c r="H38" s="103"/>
      <c r="I38" s="88"/>
      <c r="J38" s="30"/>
    </row>
    <row r="39" spans="1:12" x14ac:dyDescent="0.2">
      <c r="A39" s="8"/>
      <c r="B39" s="8"/>
      <c r="C39" s="252" t="s">
        <v>1</v>
      </c>
      <c r="D39" s="8"/>
      <c r="E39" s="64">
        <f>169380+11000-5000+100000-50000</f>
        <v>225380</v>
      </c>
      <c r="F39" s="103"/>
      <c r="G39" s="64">
        <f>SUM(G34:G38)</f>
        <v>266334</v>
      </c>
      <c r="H39" s="103"/>
      <c r="I39" s="64">
        <f>+G39-E39</f>
        <v>40954</v>
      </c>
    </row>
    <row r="40" spans="1:12" x14ac:dyDescent="0.2">
      <c r="A40" s="8"/>
      <c r="B40" s="8"/>
      <c r="C40" s="252"/>
      <c r="D40" s="8"/>
      <c r="E40" s="63"/>
      <c r="F40" s="103"/>
      <c r="G40" s="63"/>
      <c r="H40" s="103"/>
      <c r="I40" s="63"/>
    </row>
    <row r="41" spans="1:12" x14ac:dyDescent="0.2">
      <c r="A41" s="667" t="s">
        <v>198</v>
      </c>
      <c r="B41" s="8"/>
      <c r="C41" s="8"/>
      <c r="D41" s="8"/>
      <c r="E41" s="264"/>
      <c r="F41" s="8"/>
      <c r="G41" s="6"/>
      <c r="H41" s="8"/>
      <c r="I41" s="6"/>
    </row>
    <row r="42" spans="1:12" x14ac:dyDescent="0.2">
      <c r="A42" s="8"/>
      <c r="B42" s="8" t="s">
        <v>557</v>
      </c>
      <c r="C42" s="8"/>
      <c r="D42" s="8"/>
      <c r="E42" s="264"/>
      <c r="F42" s="8"/>
      <c r="G42" s="63">
        <f>7035+10000</f>
        <v>17035</v>
      </c>
      <c r="H42" s="8"/>
      <c r="I42" s="6"/>
    </row>
    <row r="43" spans="1:12" x14ac:dyDescent="0.2">
      <c r="A43" s="8"/>
      <c r="B43" s="252" t="s">
        <v>199</v>
      </c>
      <c r="C43" s="255"/>
      <c r="G43" s="63">
        <f>6125+10000</f>
        <v>16125</v>
      </c>
    </row>
    <row r="44" spans="1:12" x14ac:dyDescent="0.2">
      <c r="A44" s="8"/>
      <c r="B44" s="252" t="s">
        <v>640</v>
      </c>
      <c r="C44" s="255"/>
      <c r="G44" s="83">
        <f>29187-20000</f>
        <v>9187</v>
      </c>
    </row>
    <row r="45" spans="1:12" x14ac:dyDescent="0.2">
      <c r="A45" s="8"/>
      <c r="B45" s="8"/>
      <c r="C45" s="19" t="s">
        <v>1</v>
      </c>
      <c r="E45" s="60">
        <f>13000+29000</f>
        <v>42000</v>
      </c>
      <c r="G45" s="60">
        <f>SUM(G42:G44)</f>
        <v>42347</v>
      </c>
      <c r="I45" s="60">
        <f>G45-E45</f>
        <v>347</v>
      </c>
    </row>
    <row r="46" spans="1:12" x14ac:dyDescent="0.2">
      <c r="A46" s="8"/>
      <c r="B46" s="8"/>
    </row>
    <row r="47" spans="1:12" x14ac:dyDescent="0.2">
      <c r="A47" s="108" t="s">
        <v>200</v>
      </c>
      <c r="B47" s="8"/>
    </row>
    <row r="48" spans="1:12" x14ac:dyDescent="0.2">
      <c r="A48" s="8"/>
      <c r="B48" s="252" t="s">
        <v>201</v>
      </c>
      <c r="C48" s="8"/>
      <c r="D48" s="8"/>
      <c r="E48" s="63"/>
      <c r="F48" s="103"/>
      <c r="G48" s="63">
        <v>22007</v>
      </c>
      <c r="H48" s="103"/>
      <c r="I48" s="63"/>
    </row>
    <row r="49" spans="1:11" x14ac:dyDescent="0.2">
      <c r="A49" s="8"/>
      <c r="B49" s="252" t="s">
        <v>744</v>
      </c>
      <c r="C49" s="8"/>
      <c r="D49" s="8"/>
      <c r="E49" s="63"/>
      <c r="F49" s="103"/>
      <c r="G49" s="63">
        <v>3140</v>
      </c>
      <c r="H49" s="103"/>
      <c r="I49" s="63"/>
    </row>
    <row r="50" spans="1:11" x14ac:dyDescent="0.2">
      <c r="A50" s="8"/>
      <c r="B50" s="252"/>
      <c r="C50" s="8" t="s">
        <v>1</v>
      </c>
      <c r="D50" s="8"/>
      <c r="E50" s="97">
        <v>21820</v>
      </c>
      <c r="F50" s="103"/>
      <c r="G50" s="97">
        <f>SUM(G48:G49)</f>
        <v>25147</v>
      </c>
      <c r="H50" s="103"/>
      <c r="I50" s="97">
        <f>G50-E50</f>
        <v>3327</v>
      </c>
    </row>
    <row r="51" spans="1:11" x14ac:dyDescent="0.2">
      <c r="A51" s="8"/>
      <c r="B51" s="8"/>
      <c r="C51" s="8"/>
      <c r="D51" s="8"/>
      <c r="E51" s="72"/>
      <c r="F51" s="103"/>
      <c r="G51" s="72"/>
      <c r="H51" s="103"/>
      <c r="I51" s="72"/>
    </row>
    <row r="52" spans="1:11" x14ac:dyDescent="0.2">
      <c r="A52" s="108" t="s">
        <v>29</v>
      </c>
      <c r="B52" s="8"/>
      <c r="C52" s="8"/>
      <c r="D52" s="8"/>
      <c r="E52" s="64">
        <v>18080</v>
      </c>
      <c r="F52" s="103"/>
      <c r="G52" s="64">
        <f>23804</f>
        <v>23804</v>
      </c>
      <c r="H52" s="103"/>
      <c r="I52" s="64">
        <f>+G52-E52</f>
        <v>5724</v>
      </c>
    </row>
    <row r="53" spans="1:11" x14ac:dyDescent="0.2">
      <c r="A53" s="252"/>
      <c r="B53" s="8"/>
      <c r="C53" s="8"/>
      <c r="D53" s="8"/>
      <c r="E53" s="63"/>
      <c r="F53" s="103"/>
      <c r="G53" s="63"/>
      <c r="H53" s="103"/>
      <c r="I53" s="63"/>
    </row>
    <row r="54" spans="1:11" x14ac:dyDescent="0.2">
      <c r="A54" s="108" t="s">
        <v>202</v>
      </c>
      <c r="B54" s="8"/>
      <c r="C54" s="8"/>
      <c r="D54" s="8"/>
      <c r="E54" s="72"/>
      <c r="F54" s="103"/>
      <c r="G54" s="72"/>
      <c r="H54" s="103"/>
      <c r="I54" s="72"/>
    </row>
    <row r="55" spans="1:11" x14ac:dyDescent="0.2">
      <c r="A55" s="8"/>
      <c r="B55" s="252" t="s">
        <v>203</v>
      </c>
      <c r="C55" s="8"/>
      <c r="D55" s="8"/>
      <c r="E55" s="86"/>
      <c r="F55" s="103"/>
      <c r="G55" s="63">
        <v>183</v>
      </c>
      <c r="H55" s="103"/>
      <c r="I55" s="63"/>
    </row>
    <row r="56" spans="1:11" x14ac:dyDescent="0.2">
      <c r="A56" s="8"/>
      <c r="B56" s="252" t="s">
        <v>745</v>
      </c>
      <c r="C56" s="8"/>
      <c r="D56" s="8"/>
      <c r="E56" s="86"/>
      <c r="F56" s="103"/>
      <c r="G56" s="63">
        <v>398</v>
      </c>
      <c r="H56" s="103"/>
      <c r="I56" s="63"/>
    </row>
    <row r="57" spans="1:11" x14ac:dyDescent="0.2">
      <c r="A57" s="8"/>
      <c r="B57" s="252"/>
      <c r="C57" s="8" t="s">
        <v>1</v>
      </c>
      <c r="D57" s="8"/>
      <c r="E57" s="111">
        <v>2000</v>
      </c>
      <c r="F57" s="103"/>
      <c r="G57" s="111">
        <f>SUM(G55:G56)</f>
        <v>581</v>
      </c>
      <c r="H57" s="103"/>
      <c r="I57" s="111">
        <f>+G57-E57</f>
        <v>-1419</v>
      </c>
    </row>
    <row r="58" spans="1:11" x14ac:dyDescent="0.2">
      <c r="A58" s="8"/>
      <c r="B58" s="252"/>
      <c r="C58" s="8"/>
      <c r="D58" s="8"/>
      <c r="E58" s="86"/>
      <c r="F58" s="103"/>
      <c r="G58" s="63"/>
      <c r="H58" s="103"/>
      <c r="I58" s="63"/>
    </row>
    <row r="59" spans="1:11" x14ac:dyDescent="0.2">
      <c r="A59" s="8"/>
      <c r="B59" s="8"/>
      <c r="C59" s="8"/>
      <c r="D59" s="252" t="s">
        <v>30</v>
      </c>
      <c r="E59" s="64">
        <f>+E52+E50+E45+E39+E31+E20+E15+E57</f>
        <v>2255523</v>
      </c>
      <c r="F59" s="103"/>
      <c r="G59" s="64">
        <f>+G52+G50+G45+G39+G31+G20+G15+G57</f>
        <v>2270752</v>
      </c>
      <c r="H59" s="103"/>
      <c r="I59" s="64">
        <f>+G59-E59</f>
        <v>15229</v>
      </c>
      <c r="K59" s="30"/>
    </row>
    <row r="60" spans="1:11" x14ac:dyDescent="0.2">
      <c r="A60" s="8"/>
      <c r="B60" s="8"/>
      <c r="C60" s="8"/>
      <c r="D60" s="252"/>
      <c r="E60" s="63"/>
      <c r="F60" s="103"/>
      <c r="G60" s="63"/>
      <c r="H60" s="103"/>
      <c r="I60" s="63"/>
      <c r="K60" s="30"/>
    </row>
    <row r="61" spans="1:11" x14ac:dyDescent="0.2">
      <c r="A61" s="8"/>
      <c r="B61" s="8"/>
      <c r="C61" s="8"/>
      <c r="D61" s="252"/>
      <c r="E61" s="63"/>
      <c r="F61" s="103"/>
      <c r="G61" s="63"/>
      <c r="H61" s="103"/>
      <c r="I61" s="662" t="s">
        <v>471</v>
      </c>
      <c r="K61" s="30"/>
    </row>
    <row r="62" spans="1:11" x14ac:dyDescent="0.2">
      <c r="A62" s="8"/>
      <c r="B62" s="8"/>
      <c r="C62" s="8"/>
      <c r="D62" s="252"/>
      <c r="E62" s="63"/>
      <c r="F62" s="103"/>
      <c r="G62" s="63"/>
      <c r="H62" s="103"/>
      <c r="I62" s="526"/>
      <c r="K62" s="30"/>
    </row>
    <row r="63" spans="1:11" x14ac:dyDescent="0.2">
      <c r="A63" s="8"/>
      <c r="B63" s="8"/>
      <c r="C63" s="8"/>
      <c r="D63" s="252"/>
      <c r="E63" s="63"/>
      <c r="F63" s="103"/>
      <c r="G63" s="63"/>
      <c r="H63" s="103"/>
      <c r="I63" s="526"/>
      <c r="K63" s="30"/>
    </row>
    <row r="64" spans="1:11" x14ac:dyDescent="0.2">
      <c r="A64" s="8"/>
      <c r="B64" s="8"/>
      <c r="C64" s="8"/>
      <c r="D64" s="252"/>
      <c r="E64" s="63"/>
      <c r="F64" s="103"/>
      <c r="G64" s="63"/>
      <c r="H64" s="103"/>
      <c r="I64" s="526"/>
      <c r="K64" s="30"/>
    </row>
    <row r="65" spans="1:9" ht="13.5" thickBot="1" x14ac:dyDescent="0.25">
      <c r="A65" s="8"/>
      <c r="B65" s="8"/>
      <c r="C65" s="8"/>
      <c r="D65" s="252"/>
      <c r="E65" s="63"/>
      <c r="F65" s="103"/>
      <c r="G65" s="63"/>
      <c r="H65" s="103"/>
      <c r="I65" s="526"/>
    </row>
    <row r="66" spans="1:9" ht="13.5" thickTop="1" x14ac:dyDescent="0.2">
      <c r="A66" s="527"/>
      <c r="B66" s="527"/>
      <c r="C66" s="527"/>
      <c r="D66" s="527"/>
      <c r="E66" s="527"/>
      <c r="F66" s="527"/>
      <c r="G66" s="527"/>
      <c r="H66" s="527"/>
      <c r="I66" s="528" t="s">
        <v>168</v>
      </c>
    </row>
    <row r="67" spans="1:9" x14ac:dyDescent="0.2">
      <c r="A67" s="19"/>
      <c r="B67" s="19"/>
      <c r="C67" s="19"/>
      <c r="D67" s="19"/>
      <c r="E67" s="19"/>
      <c r="F67" s="19"/>
      <c r="G67" s="19"/>
      <c r="H67" s="19"/>
      <c r="I67" s="665" t="s">
        <v>831</v>
      </c>
    </row>
    <row r="68" spans="1:9" x14ac:dyDescent="0.2">
      <c r="A68" s="19"/>
      <c r="B68" s="19"/>
      <c r="C68" s="19"/>
      <c r="D68" s="19"/>
      <c r="E68" s="529" t="s">
        <v>757</v>
      </c>
      <c r="F68" s="19"/>
      <c r="G68" s="529" t="s">
        <v>167</v>
      </c>
      <c r="H68" s="19"/>
      <c r="I68" s="666" t="s">
        <v>832</v>
      </c>
    </row>
    <row r="69" spans="1:9" x14ac:dyDescent="0.2">
      <c r="A69" s="8"/>
      <c r="B69" s="8"/>
      <c r="C69" s="8"/>
      <c r="D69" s="252"/>
      <c r="E69" s="63"/>
      <c r="F69" s="103"/>
      <c r="G69" s="63"/>
      <c r="H69" s="103"/>
      <c r="I69" s="63"/>
    </row>
    <row r="70" spans="1:9" x14ac:dyDescent="0.2">
      <c r="A70" s="101" t="s">
        <v>128</v>
      </c>
      <c r="B70" s="19"/>
      <c r="C70" s="19"/>
      <c r="D70" s="19"/>
      <c r="E70" s="19"/>
      <c r="F70" s="19"/>
      <c r="G70" s="19"/>
      <c r="H70" s="19"/>
      <c r="I70" s="19"/>
    </row>
    <row r="71" spans="1:9" x14ac:dyDescent="0.2">
      <c r="A71" s="108" t="s">
        <v>204</v>
      </c>
      <c r="B71" s="8"/>
      <c r="C71" s="8"/>
      <c r="D71" s="8"/>
      <c r="E71" s="25"/>
      <c r="F71" s="8"/>
      <c r="G71" s="25"/>
      <c r="H71" s="8"/>
      <c r="I71" s="25"/>
    </row>
    <row r="72" spans="1:9" x14ac:dyDescent="0.2">
      <c r="A72" s="8"/>
      <c r="B72" s="8"/>
      <c r="C72" s="252" t="s">
        <v>205</v>
      </c>
      <c r="D72" s="8"/>
      <c r="E72" s="62"/>
      <c r="F72" s="8"/>
      <c r="G72" s="72">
        <f>7440+85000+(155000*0.605*0.98)</f>
        <v>184339.5</v>
      </c>
      <c r="H72" s="8"/>
      <c r="I72" s="62"/>
    </row>
    <row r="73" spans="1:9" x14ac:dyDescent="0.2">
      <c r="A73" s="8"/>
      <c r="B73" s="8"/>
      <c r="C73" s="252" t="s">
        <v>206</v>
      </c>
      <c r="D73" s="8"/>
      <c r="E73" s="62"/>
      <c r="F73" s="8"/>
      <c r="G73" s="72">
        <v>10414</v>
      </c>
      <c r="H73" s="8"/>
      <c r="I73" s="62"/>
    </row>
    <row r="74" spans="1:9" x14ac:dyDescent="0.2">
      <c r="A74" s="8"/>
      <c r="B74" s="8"/>
      <c r="C74" s="252" t="s">
        <v>207</v>
      </c>
      <c r="D74" s="8"/>
      <c r="E74" s="62"/>
      <c r="F74" s="8"/>
      <c r="G74" s="72">
        <v>5000</v>
      </c>
      <c r="H74" s="8"/>
      <c r="I74" s="62"/>
    </row>
    <row r="75" spans="1:9" x14ac:dyDescent="0.2">
      <c r="A75" s="8"/>
      <c r="B75" s="8"/>
      <c r="C75" s="252" t="s">
        <v>208</v>
      </c>
      <c r="D75" s="8"/>
      <c r="E75" s="62"/>
      <c r="F75" s="8"/>
      <c r="G75" s="72">
        <f>6214+4</f>
        <v>6218</v>
      </c>
      <c r="H75" s="8"/>
      <c r="I75" s="62"/>
    </row>
    <row r="76" spans="1:9" x14ac:dyDescent="0.2">
      <c r="A76" s="8"/>
      <c r="B76" s="8"/>
      <c r="C76" s="252" t="s">
        <v>36</v>
      </c>
      <c r="D76" s="8"/>
      <c r="E76" s="65"/>
      <c r="F76" s="8"/>
      <c r="G76" s="63">
        <f>21444+13396</f>
        <v>34840</v>
      </c>
      <c r="H76" s="8"/>
      <c r="I76" s="65"/>
    </row>
    <row r="77" spans="1:9" x14ac:dyDescent="0.2">
      <c r="A77" s="8"/>
      <c r="B77" s="8"/>
      <c r="C77" s="252" t="s">
        <v>209</v>
      </c>
      <c r="D77" s="8"/>
      <c r="E77" s="62"/>
      <c r="F77" s="8"/>
      <c r="G77" s="64">
        <v>-21195</v>
      </c>
      <c r="H77" s="8"/>
      <c r="I77" s="62"/>
    </row>
    <row r="78" spans="1:9" x14ac:dyDescent="0.2">
      <c r="A78" s="8"/>
      <c r="B78" s="8"/>
      <c r="C78" s="8"/>
      <c r="D78" s="252" t="s">
        <v>1</v>
      </c>
      <c r="E78" s="62"/>
      <c r="F78" s="8"/>
      <c r="G78" s="66">
        <f>SUM(G72:G77)</f>
        <v>219616.5</v>
      </c>
      <c r="H78" s="8"/>
      <c r="I78" s="62"/>
    </row>
    <row r="79" spans="1:9" x14ac:dyDescent="0.2">
      <c r="A79" s="8"/>
      <c r="B79" s="8"/>
      <c r="C79" s="8"/>
      <c r="D79" s="8"/>
      <c r="E79" s="65"/>
      <c r="F79" s="8"/>
      <c r="G79" s="72"/>
      <c r="H79" s="8"/>
      <c r="I79" s="65"/>
    </row>
    <row r="80" spans="1:9" x14ac:dyDescent="0.2">
      <c r="A80" s="8"/>
      <c r="B80" s="252" t="s">
        <v>210</v>
      </c>
      <c r="C80" s="8"/>
      <c r="D80" s="8"/>
      <c r="E80" s="25"/>
      <c r="F80" s="8"/>
      <c r="G80" s="72"/>
      <c r="H80" s="8"/>
      <c r="I80" s="25"/>
    </row>
    <row r="81" spans="1:9" x14ac:dyDescent="0.2">
      <c r="A81" s="8"/>
      <c r="B81" s="252"/>
      <c r="C81" s="252" t="s">
        <v>205</v>
      </c>
      <c r="D81" s="8"/>
      <c r="E81" s="25"/>
      <c r="F81" s="8"/>
      <c r="G81" s="72">
        <f>86826+45000</f>
        <v>131826</v>
      </c>
      <c r="H81" s="8"/>
      <c r="I81" s="25"/>
    </row>
    <row r="82" spans="1:9" x14ac:dyDescent="0.2">
      <c r="A82" s="8"/>
      <c r="B82" s="8"/>
      <c r="C82" s="252" t="s">
        <v>208</v>
      </c>
      <c r="D82" s="8"/>
      <c r="E82" s="62"/>
      <c r="F82" s="8"/>
      <c r="G82" s="72">
        <v>2733</v>
      </c>
      <c r="H82" s="8"/>
      <c r="I82" s="62"/>
    </row>
    <row r="83" spans="1:9" x14ac:dyDescent="0.2">
      <c r="A83" s="8"/>
      <c r="B83" s="8"/>
      <c r="C83" s="252" t="s">
        <v>36</v>
      </c>
      <c r="D83" s="8"/>
      <c r="E83" s="65"/>
      <c r="F83" s="8"/>
      <c r="G83" s="63">
        <v>2030</v>
      </c>
      <c r="H83" s="8"/>
      <c r="I83" s="65"/>
    </row>
    <row r="84" spans="1:9" x14ac:dyDescent="0.2">
      <c r="A84" s="8"/>
      <c r="B84" s="8"/>
      <c r="C84" s="252" t="s">
        <v>209</v>
      </c>
      <c r="D84" s="8"/>
      <c r="E84" s="62"/>
      <c r="F84" s="8"/>
      <c r="G84" s="64">
        <v>-40035</v>
      </c>
      <c r="H84" s="8"/>
      <c r="I84" s="62"/>
    </row>
    <row r="85" spans="1:9" x14ac:dyDescent="0.2">
      <c r="A85" s="8"/>
      <c r="B85" s="8"/>
      <c r="C85" s="8"/>
      <c r="D85" s="252" t="s">
        <v>1</v>
      </c>
      <c r="E85" s="62"/>
      <c r="F85" s="8"/>
      <c r="G85" s="66">
        <f>SUM(G81:G84)</f>
        <v>96554</v>
      </c>
      <c r="H85" s="8"/>
      <c r="I85" s="62"/>
    </row>
    <row r="86" spans="1:9" x14ac:dyDescent="0.2">
      <c r="A86" s="8"/>
      <c r="B86" s="8"/>
      <c r="C86" s="8"/>
      <c r="D86" s="8"/>
      <c r="E86" s="65"/>
      <c r="F86" s="8"/>
      <c r="G86" s="72"/>
      <c r="H86" s="8"/>
      <c r="I86" s="65"/>
    </row>
    <row r="87" spans="1:9" x14ac:dyDescent="0.2">
      <c r="A87" s="8"/>
      <c r="B87" s="252" t="s">
        <v>211</v>
      </c>
      <c r="C87" s="8"/>
      <c r="D87" s="8"/>
      <c r="E87" s="72"/>
      <c r="F87" s="8"/>
      <c r="G87" s="72"/>
      <c r="H87" s="8"/>
      <c r="I87" s="72"/>
    </row>
    <row r="88" spans="1:9" x14ac:dyDescent="0.2">
      <c r="A88" s="8"/>
      <c r="B88" s="8"/>
      <c r="C88" s="252" t="s">
        <v>205</v>
      </c>
      <c r="D88" s="8"/>
      <c r="E88" s="62"/>
      <c r="F88" s="8"/>
      <c r="G88" s="72">
        <f>50708+46639</f>
        <v>97347</v>
      </c>
      <c r="H88" s="8"/>
      <c r="I88" s="62"/>
    </row>
    <row r="89" spans="1:9" x14ac:dyDescent="0.2">
      <c r="A89" s="8"/>
      <c r="B89" s="8"/>
      <c r="C89" s="252" t="s">
        <v>208</v>
      </c>
      <c r="D89" s="8"/>
      <c r="E89" s="62"/>
      <c r="F89" s="8"/>
      <c r="G89" s="72">
        <v>17080</v>
      </c>
      <c r="H89" s="8"/>
      <c r="I89" s="62"/>
    </row>
    <row r="90" spans="1:9" x14ac:dyDescent="0.2">
      <c r="A90" s="8"/>
      <c r="B90" s="8"/>
      <c r="C90" s="252" t="s">
        <v>36</v>
      </c>
      <c r="D90" s="8"/>
      <c r="E90" s="65"/>
      <c r="F90" s="8"/>
      <c r="G90" s="63">
        <f>2450+48781</f>
        <v>51231</v>
      </c>
      <c r="H90" s="8"/>
      <c r="I90" s="62"/>
    </row>
    <row r="91" spans="1:9" x14ac:dyDescent="0.2">
      <c r="A91" s="8"/>
      <c r="B91" s="8"/>
      <c r="C91" s="252" t="s">
        <v>209</v>
      </c>
      <c r="D91" s="8"/>
      <c r="E91" s="62"/>
      <c r="F91" s="8"/>
      <c r="G91" s="83">
        <v>-30615</v>
      </c>
      <c r="H91" s="8"/>
      <c r="I91" s="62"/>
    </row>
    <row r="92" spans="1:9" x14ac:dyDescent="0.2">
      <c r="A92" s="8"/>
      <c r="B92" s="8"/>
      <c r="C92" s="8"/>
      <c r="D92" s="252" t="s">
        <v>1</v>
      </c>
      <c r="E92" s="62"/>
      <c r="F92" s="8"/>
      <c r="G92" s="66">
        <f>SUM(G88:G91)</f>
        <v>135043</v>
      </c>
      <c r="H92" s="8"/>
      <c r="I92" s="65"/>
    </row>
    <row r="93" spans="1:9" x14ac:dyDescent="0.2">
      <c r="A93" s="8"/>
      <c r="B93" s="8"/>
      <c r="C93" s="8"/>
      <c r="D93" s="252"/>
      <c r="E93" s="65"/>
      <c r="F93" s="8"/>
      <c r="G93" s="65"/>
      <c r="H93" s="8"/>
      <c r="I93" s="65"/>
    </row>
    <row r="94" spans="1:9" x14ac:dyDescent="0.2">
      <c r="A94" s="8"/>
      <c r="B94" s="252" t="s">
        <v>212</v>
      </c>
      <c r="C94" s="8"/>
      <c r="D94" s="8"/>
      <c r="E94" s="72"/>
      <c r="F94" s="8"/>
      <c r="G94" s="72"/>
      <c r="H94" s="8"/>
      <c r="I94" s="72"/>
    </row>
    <row r="95" spans="1:9" x14ac:dyDescent="0.2">
      <c r="A95" s="8"/>
      <c r="B95" s="8"/>
      <c r="C95" s="252" t="s">
        <v>205</v>
      </c>
      <c r="D95" s="8"/>
      <c r="E95" s="62"/>
      <c r="F95" s="8"/>
      <c r="G95" s="72">
        <f>12000+40000</f>
        <v>52000</v>
      </c>
      <c r="H95" s="8"/>
      <c r="I95" s="62"/>
    </row>
    <row r="96" spans="1:9" x14ac:dyDescent="0.2">
      <c r="A96" s="8"/>
      <c r="B96" s="8"/>
      <c r="C96" s="252" t="s">
        <v>213</v>
      </c>
      <c r="D96" s="8"/>
      <c r="E96" s="62"/>
      <c r="F96" s="8"/>
      <c r="G96" s="72">
        <v>1275</v>
      </c>
      <c r="H96" s="8"/>
      <c r="I96" s="62"/>
    </row>
    <row r="97" spans="1:13" x14ac:dyDescent="0.2">
      <c r="A97" s="8"/>
      <c r="B97" s="8"/>
      <c r="C97" s="252" t="s">
        <v>208</v>
      </c>
      <c r="D97" s="8"/>
      <c r="E97" s="62"/>
      <c r="F97" s="8"/>
      <c r="G97" s="64">
        <v>2850</v>
      </c>
      <c r="H97" s="8"/>
      <c r="I97" s="62"/>
    </row>
    <row r="98" spans="1:13" x14ac:dyDescent="0.2">
      <c r="A98" s="8"/>
      <c r="B98" s="8"/>
      <c r="C98" s="8"/>
      <c r="D98" s="252" t="s">
        <v>1</v>
      </c>
      <c r="E98" s="65"/>
      <c r="F98" s="8"/>
      <c r="G98" s="64">
        <f>SUM(G95:G97)</f>
        <v>56125</v>
      </c>
      <c r="H98" s="8"/>
      <c r="I98" s="62"/>
    </row>
    <row r="99" spans="1:13" x14ac:dyDescent="0.2">
      <c r="A99" s="8"/>
      <c r="B99" s="8"/>
      <c r="C99" s="8"/>
      <c r="D99" s="8"/>
      <c r="E99" s="62"/>
      <c r="F99" s="8"/>
      <c r="G99" s="72"/>
      <c r="H99" s="8"/>
      <c r="I99" s="62"/>
    </row>
    <row r="100" spans="1:13" x14ac:dyDescent="0.2">
      <c r="A100" s="8"/>
      <c r="B100" s="252" t="s">
        <v>214</v>
      </c>
      <c r="C100" s="8"/>
      <c r="D100" s="8"/>
      <c r="E100" s="62"/>
      <c r="F100" s="8"/>
      <c r="G100" s="72"/>
      <c r="H100" s="8"/>
      <c r="I100" s="62"/>
    </row>
    <row r="101" spans="1:13" x14ac:dyDescent="0.2">
      <c r="A101" s="8"/>
      <c r="B101" s="8"/>
      <c r="C101" s="252" t="s">
        <v>215</v>
      </c>
      <c r="D101" s="8"/>
      <c r="E101" s="65"/>
      <c r="F101" s="8"/>
      <c r="G101" s="64">
        <v>5000</v>
      </c>
      <c r="H101" s="8"/>
      <c r="I101" s="65"/>
    </row>
    <row r="102" spans="1:13" x14ac:dyDescent="0.2">
      <c r="A102" s="8"/>
      <c r="B102" s="8"/>
      <c r="C102" s="252"/>
      <c r="D102" s="8"/>
      <c r="E102" s="65"/>
      <c r="F102" s="8"/>
      <c r="G102" s="63"/>
      <c r="H102" s="8"/>
      <c r="I102" s="65"/>
    </row>
    <row r="103" spans="1:13" x14ac:dyDescent="0.2">
      <c r="A103" s="8"/>
      <c r="B103" s="252" t="s">
        <v>216</v>
      </c>
      <c r="C103" s="8"/>
      <c r="D103" s="8"/>
      <c r="E103" s="72"/>
      <c r="F103" s="8"/>
      <c r="G103" s="72"/>
      <c r="H103" s="8"/>
      <c r="I103" s="72"/>
    </row>
    <row r="104" spans="1:13" x14ac:dyDescent="0.2">
      <c r="A104" s="8"/>
      <c r="B104" s="8"/>
      <c r="C104" s="252" t="s">
        <v>205</v>
      </c>
      <c r="D104" s="8"/>
      <c r="E104" s="62"/>
      <c r="F104" s="103"/>
      <c r="G104" s="72">
        <f>33314+60000+(120000+45000+50)*0.593</f>
        <v>191188.65</v>
      </c>
      <c r="H104" s="8"/>
      <c r="I104" s="62"/>
    </row>
    <row r="105" spans="1:13" x14ac:dyDescent="0.2">
      <c r="A105" s="8"/>
      <c r="B105" s="8"/>
      <c r="C105" s="252" t="s">
        <v>217</v>
      </c>
      <c r="D105" s="8"/>
      <c r="E105" s="62"/>
      <c r="F105" s="8"/>
      <c r="G105" s="72">
        <v>600</v>
      </c>
      <c r="H105" s="8"/>
      <c r="I105" s="62"/>
      <c r="M105" s="30"/>
    </row>
    <row r="106" spans="1:13" x14ac:dyDescent="0.2">
      <c r="A106" s="8"/>
      <c r="B106" s="8"/>
      <c r="C106" s="252" t="s">
        <v>208</v>
      </c>
      <c r="D106" s="8"/>
      <c r="E106" s="62"/>
      <c r="F106" s="8"/>
      <c r="G106" s="72">
        <f>20457</f>
        <v>20457</v>
      </c>
      <c r="H106" s="8"/>
      <c r="I106" s="62"/>
    </row>
    <row r="107" spans="1:13" x14ac:dyDescent="0.2">
      <c r="A107" s="8"/>
      <c r="B107" s="8"/>
      <c r="C107" s="252" t="s">
        <v>36</v>
      </c>
      <c r="D107" s="8"/>
      <c r="E107" s="62"/>
      <c r="F107" s="8"/>
      <c r="G107" s="63">
        <f>2164+395240-60000+19000</f>
        <v>356404</v>
      </c>
      <c r="H107" s="8"/>
      <c r="I107" s="62"/>
    </row>
    <row r="108" spans="1:13" x14ac:dyDescent="0.2">
      <c r="A108" s="8"/>
      <c r="B108" s="8"/>
      <c r="C108" s="252" t="s">
        <v>209</v>
      </c>
      <c r="D108" s="8"/>
      <c r="E108" s="62"/>
      <c r="F108" s="8"/>
      <c r="G108" s="64">
        <v>-25904</v>
      </c>
      <c r="H108" s="8"/>
      <c r="I108" s="62"/>
    </row>
    <row r="109" spans="1:13" x14ac:dyDescent="0.2">
      <c r="A109" s="8"/>
      <c r="B109" s="8"/>
      <c r="C109" s="8"/>
      <c r="D109" s="252" t="s">
        <v>1</v>
      </c>
      <c r="E109" s="193"/>
      <c r="F109" s="8"/>
      <c r="G109" s="66">
        <f>SUM(G104:G108)</f>
        <v>542745.65</v>
      </c>
      <c r="H109" s="8"/>
      <c r="I109" s="193"/>
    </row>
    <row r="110" spans="1:13" x14ac:dyDescent="0.2">
      <c r="A110" s="8"/>
      <c r="B110" s="8"/>
      <c r="C110" s="8"/>
      <c r="D110" s="252" t="s">
        <v>218</v>
      </c>
      <c r="E110" s="461">
        <v>1051238</v>
      </c>
      <c r="F110" s="8"/>
      <c r="G110" s="64">
        <f>+G109+G101+G98+G92+G85+G78</f>
        <v>1055084.1499999999</v>
      </c>
      <c r="H110" s="8"/>
      <c r="I110" s="64">
        <f>+E110-G110</f>
        <v>-3846.1499999999069</v>
      </c>
      <c r="K110" s="30"/>
    </row>
    <row r="111" spans="1:13" x14ac:dyDescent="0.2">
      <c r="A111" s="8"/>
      <c r="B111" s="8"/>
      <c r="C111" s="8"/>
      <c r="D111" s="252"/>
      <c r="E111" s="63"/>
      <c r="F111" s="8"/>
      <c r="G111" s="63"/>
      <c r="H111" s="8"/>
      <c r="I111" s="63"/>
    </row>
    <row r="112" spans="1:13" x14ac:dyDescent="0.2">
      <c r="A112" s="108" t="s">
        <v>219</v>
      </c>
      <c r="B112" s="8"/>
      <c r="C112" s="8"/>
      <c r="D112" s="8"/>
      <c r="E112" s="72"/>
      <c r="F112" s="8"/>
      <c r="G112" s="72"/>
      <c r="H112" s="8"/>
      <c r="I112" s="72"/>
    </row>
    <row r="113" spans="1:9" x14ac:dyDescent="0.2">
      <c r="A113" s="8"/>
      <c r="B113" s="252" t="s">
        <v>220</v>
      </c>
      <c r="C113" s="8"/>
      <c r="D113" s="8"/>
      <c r="E113" s="72"/>
      <c r="F113" s="8"/>
      <c r="G113" s="72"/>
      <c r="H113" s="8"/>
      <c r="I113" s="72"/>
    </row>
    <row r="114" spans="1:9" x14ac:dyDescent="0.2">
      <c r="A114" s="8"/>
      <c r="B114" s="8"/>
      <c r="C114" s="252" t="s">
        <v>205</v>
      </c>
      <c r="D114" s="8"/>
      <c r="E114" s="62"/>
      <c r="F114" s="8"/>
      <c r="G114" s="72">
        <f>209994+30636+(8000+125+7831+150)+7850+17024</f>
        <v>281610</v>
      </c>
      <c r="H114" s="8"/>
      <c r="I114" s="62"/>
    </row>
    <row r="115" spans="1:9" x14ac:dyDescent="0.2">
      <c r="A115" s="8"/>
      <c r="B115" s="8"/>
      <c r="C115" s="252" t="s">
        <v>217</v>
      </c>
      <c r="D115" s="8"/>
      <c r="E115" s="62"/>
      <c r="F115" s="8"/>
      <c r="G115" s="72">
        <v>10000</v>
      </c>
      <c r="H115" s="8"/>
      <c r="I115" s="62"/>
    </row>
    <row r="116" spans="1:9" x14ac:dyDescent="0.2">
      <c r="A116" s="8"/>
      <c r="B116" s="8"/>
      <c r="C116" s="252" t="s">
        <v>208</v>
      </c>
      <c r="D116" s="8"/>
      <c r="E116" s="62"/>
      <c r="F116" s="8"/>
      <c r="G116" s="72">
        <f>82477+29-30636</f>
        <v>51870</v>
      </c>
      <c r="H116" s="8"/>
      <c r="I116" s="62"/>
    </row>
    <row r="117" spans="1:9" x14ac:dyDescent="0.2">
      <c r="A117" s="8"/>
      <c r="B117" s="8"/>
      <c r="C117" s="252" t="s">
        <v>36</v>
      </c>
      <c r="D117" s="8"/>
      <c r="E117" s="62"/>
      <c r="F117" s="8"/>
      <c r="G117" s="64">
        <f>13000</f>
        <v>13000</v>
      </c>
      <c r="H117" s="8"/>
      <c r="I117" s="62"/>
    </row>
    <row r="118" spans="1:9" x14ac:dyDescent="0.2">
      <c r="A118" s="8"/>
      <c r="B118" s="8"/>
      <c r="C118" s="8"/>
      <c r="D118" s="252" t="s">
        <v>1</v>
      </c>
      <c r="E118" s="65"/>
      <c r="F118" s="8"/>
      <c r="G118" s="64">
        <f>SUM(G114:G117)</f>
        <v>356480</v>
      </c>
      <c r="H118" s="8"/>
      <c r="I118" s="65"/>
    </row>
    <row r="119" spans="1:9" x14ac:dyDescent="0.2">
      <c r="A119" s="8"/>
      <c r="B119" s="8"/>
      <c r="C119" s="8"/>
      <c r="D119" s="252"/>
      <c r="E119" s="65"/>
      <c r="F119" s="8"/>
      <c r="G119" s="63"/>
      <c r="H119" s="8"/>
      <c r="I119" s="65"/>
    </row>
    <row r="120" spans="1:9" x14ac:dyDescent="0.2">
      <c r="A120" s="8"/>
      <c r="B120" s="8"/>
      <c r="C120" s="8"/>
      <c r="D120" s="252"/>
      <c r="E120" s="65"/>
      <c r="F120" s="8"/>
      <c r="G120" s="63"/>
      <c r="H120" s="8"/>
      <c r="I120" s="662" t="s">
        <v>471</v>
      </c>
    </row>
    <row r="121" spans="1:9" x14ac:dyDescent="0.2">
      <c r="A121" s="8"/>
      <c r="B121" s="8"/>
      <c r="C121" s="8"/>
      <c r="D121" s="252"/>
      <c r="E121" s="65"/>
      <c r="F121" s="8"/>
      <c r="G121" s="63"/>
      <c r="H121" s="8"/>
      <c r="I121" s="65"/>
    </row>
    <row r="122" spans="1:9" ht="13.5" thickBot="1" x14ac:dyDescent="0.25">
      <c r="A122" s="8"/>
      <c r="B122" s="8"/>
      <c r="C122" s="8"/>
      <c r="D122" s="8"/>
      <c r="E122" s="72"/>
      <c r="F122" s="8"/>
      <c r="G122" s="25"/>
      <c r="H122" s="8"/>
      <c r="I122" s="65"/>
    </row>
    <row r="123" spans="1:9" ht="13.5" thickTop="1" x14ac:dyDescent="0.2">
      <c r="A123" s="527"/>
      <c r="B123" s="527"/>
      <c r="C123" s="527"/>
      <c r="D123" s="527"/>
      <c r="E123" s="527"/>
      <c r="F123" s="527"/>
      <c r="G123" s="527"/>
      <c r="H123" s="527"/>
      <c r="I123" s="528" t="s">
        <v>168</v>
      </c>
    </row>
    <row r="124" spans="1:9" x14ac:dyDescent="0.2">
      <c r="A124" s="19"/>
      <c r="B124" s="19"/>
      <c r="C124" s="19"/>
      <c r="D124" s="19"/>
      <c r="E124" s="19"/>
      <c r="F124" s="19"/>
      <c r="G124" s="19"/>
      <c r="H124" s="19"/>
      <c r="I124" s="665" t="s">
        <v>831</v>
      </c>
    </row>
    <row r="125" spans="1:9" x14ac:dyDescent="0.2">
      <c r="A125" s="19"/>
      <c r="B125" s="19"/>
      <c r="C125" s="19"/>
      <c r="D125" s="19"/>
      <c r="E125" s="529" t="s">
        <v>757</v>
      </c>
      <c r="F125" s="19"/>
      <c r="G125" s="529" t="s">
        <v>167</v>
      </c>
      <c r="H125" s="19"/>
      <c r="I125" s="666" t="s">
        <v>832</v>
      </c>
    </row>
    <row r="126" spans="1:9" x14ac:dyDescent="0.2">
      <c r="A126" s="8"/>
      <c r="B126" s="8"/>
      <c r="C126" s="8"/>
      <c r="D126" s="8"/>
      <c r="E126" s="72"/>
      <c r="F126" s="8"/>
      <c r="G126" s="25"/>
      <c r="H126" s="8"/>
      <c r="I126" s="72"/>
    </row>
    <row r="127" spans="1:9" x14ac:dyDescent="0.2">
      <c r="A127" s="8"/>
      <c r="B127" s="252" t="s">
        <v>221</v>
      </c>
      <c r="C127" s="8"/>
      <c r="D127" s="8"/>
      <c r="E127" s="72"/>
      <c r="F127" s="8"/>
      <c r="G127" s="72"/>
      <c r="H127" s="8"/>
      <c r="I127" s="72"/>
    </row>
    <row r="128" spans="1:9" x14ac:dyDescent="0.2">
      <c r="A128" s="8"/>
      <c r="B128" s="8"/>
      <c r="C128" s="252" t="s">
        <v>205</v>
      </c>
      <c r="D128" s="8"/>
      <c r="E128" s="62"/>
      <c r="F128" s="8"/>
      <c r="G128" s="72">
        <v>149415</v>
      </c>
      <c r="H128" s="8"/>
      <c r="I128" s="62"/>
    </row>
    <row r="129" spans="1:12" x14ac:dyDescent="0.2">
      <c r="A129" s="8"/>
      <c r="B129" s="8"/>
      <c r="C129" s="252" t="s">
        <v>217</v>
      </c>
      <c r="D129" s="8"/>
      <c r="E129" s="62"/>
      <c r="F129" s="8"/>
      <c r="G129" s="72">
        <v>6000</v>
      </c>
      <c r="H129" s="103"/>
      <c r="I129" s="62"/>
    </row>
    <row r="130" spans="1:12" x14ac:dyDescent="0.2">
      <c r="A130" s="8"/>
      <c r="B130" s="8"/>
      <c r="C130" s="252" t="s">
        <v>208</v>
      </c>
      <c r="D130" s="8"/>
      <c r="E130" s="62"/>
      <c r="F130" s="8"/>
      <c r="G130" s="72">
        <v>13149</v>
      </c>
      <c r="H130" s="8"/>
      <c r="I130" s="62"/>
    </row>
    <row r="131" spans="1:12" x14ac:dyDescent="0.2">
      <c r="A131" s="8"/>
      <c r="B131" s="8"/>
      <c r="C131" s="252" t="s">
        <v>36</v>
      </c>
      <c r="D131" s="8"/>
      <c r="E131" s="62"/>
      <c r="F131" s="8"/>
      <c r="G131" s="64">
        <v>9209</v>
      </c>
      <c r="H131" s="103"/>
      <c r="I131" s="62"/>
    </row>
    <row r="132" spans="1:12" x14ac:dyDescent="0.2">
      <c r="A132" s="8"/>
      <c r="B132" s="8"/>
      <c r="C132" s="8"/>
      <c r="D132" s="252" t="s">
        <v>1</v>
      </c>
      <c r="E132" s="65"/>
      <c r="F132" s="8"/>
      <c r="G132" s="64">
        <f>SUM(G128:G131)</f>
        <v>177773</v>
      </c>
      <c r="H132" s="8"/>
      <c r="I132" s="65"/>
    </row>
    <row r="133" spans="1:12" x14ac:dyDescent="0.2">
      <c r="A133" s="8"/>
      <c r="B133" s="8"/>
      <c r="C133" s="8"/>
      <c r="D133" s="8"/>
      <c r="E133" s="72"/>
      <c r="F133" s="8"/>
      <c r="G133" s="72"/>
      <c r="H133" s="8"/>
      <c r="I133" s="72"/>
    </row>
    <row r="134" spans="1:12" x14ac:dyDescent="0.2">
      <c r="A134" s="8"/>
      <c r="B134" s="252" t="s">
        <v>222</v>
      </c>
      <c r="C134" s="8"/>
      <c r="D134" s="8"/>
      <c r="E134" s="72"/>
      <c r="F134" s="8"/>
      <c r="G134" s="72"/>
      <c r="H134" s="8"/>
      <c r="I134" s="72"/>
    </row>
    <row r="135" spans="1:12" x14ac:dyDescent="0.2">
      <c r="A135" s="8"/>
      <c r="B135" s="8"/>
      <c r="C135" s="252" t="s">
        <v>205</v>
      </c>
      <c r="D135" s="8"/>
      <c r="E135" s="62"/>
      <c r="F135" s="8"/>
      <c r="G135" s="72">
        <v>22651</v>
      </c>
      <c r="H135" s="8"/>
      <c r="I135" s="62"/>
    </row>
    <row r="136" spans="1:12" x14ac:dyDescent="0.2">
      <c r="A136" s="8"/>
      <c r="B136" s="8"/>
      <c r="C136" s="252" t="s">
        <v>217</v>
      </c>
      <c r="D136" s="8"/>
      <c r="E136" s="62"/>
      <c r="F136" s="8"/>
      <c r="G136" s="72">
        <v>1000</v>
      </c>
      <c r="H136" s="8"/>
      <c r="I136" s="62"/>
    </row>
    <row r="137" spans="1:12" x14ac:dyDescent="0.2">
      <c r="A137" s="8"/>
      <c r="B137" s="8"/>
      <c r="C137" s="252" t="s">
        <v>208</v>
      </c>
      <c r="D137" s="8"/>
      <c r="E137" s="62"/>
      <c r="F137" s="8"/>
      <c r="G137" s="72">
        <v>3032</v>
      </c>
      <c r="H137" s="8"/>
      <c r="I137" s="62"/>
    </row>
    <row r="138" spans="1:12" x14ac:dyDescent="0.2">
      <c r="A138" s="8"/>
      <c r="B138" s="8"/>
      <c r="C138" s="252" t="s">
        <v>36</v>
      </c>
      <c r="D138" s="8"/>
      <c r="E138" s="62"/>
      <c r="F138" s="8"/>
      <c r="G138" s="64">
        <v>3780</v>
      </c>
      <c r="H138" s="8"/>
      <c r="I138" s="62"/>
    </row>
    <row r="139" spans="1:12" x14ac:dyDescent="0.2">
      <c r="A139" s="8"/>
      <c r="B139" s="8"/>
      <c r="C139" s="8"/>
      <c r="D139" s="252" t="s">
        <v>1</v>
      </c>
      <c r="E139" s="65"/>
      <c r="F139" s="8"/>
      <c r="G139" s="64">
        <f>SUM(G135:G138)</f>
        <v>30463</v>
      </c>
      <c r="H139" s="8"/>
      <c r="I139" s="65"/>
    </row>
    <row r="140" spans="1:12" x14ac:dyDescent="0.2">
      <c r="A140" s="8"/>
      <c r="B140" s="8"/>
      <c r="C140" s="8"/>
      <c r="D140" s="252"/>
      <c r="E140" s="65"/>
      <c r="F140" s="8"/>
      <c r="G140" s="63"/>
      <c r="H140" s="8"/>
      <c r="I140" s="65"/>
    </row>
    <row r="141" spans="1:12" x14ac:dyDescent="0.2">
      <c r="A141" s="8"/>
      <c r="B141" s="252" t="s">
        <v>223</v>
      </c>
      <c r="C141" s="8"/>
      <c r="D141" s="8"/>
      <c r="E141" s="72"/>
      <c r="F141" s="8"/>
      <c r="G141" s="72"/>
      <c r="H141" s="8"/>
      <c r="I141" s="72"/>
    </row>
    <row r="142" spans="1:12" x14ac:dyDescent="0.2">
      <c r="A142" s="8"/>
      <c r="B142" s="8"/>
      <c r="C142" s="252" t="s">
        <v>224</v>
      </c>
      <c r="D142" s="8"/>
      <c r="E142" s="66"/>
      <c r="F142" s="8"/>
      <c r="G142" s="64">
        <v>1000</v>
      </c>
      <c r="H142" s="8"/>
      <c r="I142" s="66"/>
    </row>
    <row r="143" spans="1:12" x14ac:dyDescent="0.2">
      <c r="A143" s="8"/>
      <c r="B143" s="8"/>
      <c r="C143" s="8"/>
      <c r="D143" s="252" t="s">
        <v>225</v>
      </c>
      <c r="E143" s="64">
        <f>533988+50000</f>
        <v>583988</v>
      </c>
      <c r="F143" s="8"/>
      <c r="G143" s="64">
        <f>+G142+G139+G132+G118</f>
        <v>565716</v>
      </c>
      <c r="H143" s="8"/>
      <c r="I143" s="64">
        <f>+E143-G143</f>
        <v>18272</v>
      </c>
      <c r="K143" s="30"/>
    </row>
    <row r="144" spans="1:12" x14ac:dyDescent="0.2">
      <c r="A144" s="8"/>
      <c r="B144" s="8"/>
      <c r="C144" s="8"/>
      <c r="D144" s="8"/>
      <c r="E144" s="72"/>
      <c r="F144" s="8"/>
      <c r="G144" s="72"/>
      <c r="H144" s="8"/>
      <c r="I144" s="72"/>
      <c r="L144" s="30"/>
    </row>
    <row r="145" spans="1:13" x14ac:dyDescent="0.2">
      <c r="A145" s="108" t="s">
        <v>226</v>
      </c>
      <c r="B145" s="8"/>
      <c r="C145" s="8"/>
      <c r="D145" s="8"/>
      <c r="E145" s="72"/>
      <c r="F145" s="8"/>
      <c r="G145" s="72"/>
      <c r="H145" s="8"/>
      <c r="I145" s="72"/>
    </row>
    <row r="146" spans="1:13" x14ac:dyDescent="0.2">
      <c r="A146" s="8"/>
      <c r="B146" s="252" t="s">
        <v>227</v>
      </c>
      <c r="C146" s="8"/>
      <c r="D146" s="8"/>
      <c r="E146" s="72"/>
      <c r="F146" s="8"/>
      <c r="G146" s="72"/>
      <c r="H146" s="8"/>
      <c r="I146" s="72"/>
    </row>
    <row r="147" spans="1:13" x14ac:dyDescent="0.2">
      <c r="A147" s="8"/>
      <c r="B147" s="8"/>
      <c r="C147" s="252" t="s">
        <v>205</v>
      </c>
      <c r="D147" s="8"/>
      <c r="E147" s="62"/>
      <c r="F147" s="8"/>
      <c r="G147" s="72">
        <f>123268+25000</f>
        <v>148268</v>
      </c>
      <c r="H147" s="8"/>
      <c r="I147" s="62"/>
      <c r="M147" s="112"/>
    </row>
    <row r="148" spans="1:13" x14ac:dyDescent="0.2">
      <c r="A148" s="8"/>
      <c r="B148" s="8"/>
      <c r="C148" s="252" t="s">
        <v>228</v>
      </c>
      <c r="D148" s="8"/>
      <c r="E148" s="62"/>
      <c r="F148" s="8"/>
      <c r="G148" s="72">
        <v>4799</v>
      </c>
      <c r="H148" s="8"/>
      <c r="I148" s="62"/>
      <c r="M148" s="112"/>
    </row>
    <row r="149" spans="1:13" x14ac:dyDescent="0.2">
      <c r="A149" s="8"/>
      <c r="B149" s="8"/>
      <c r="C149" s="252" t="s">
        <v>217</v>
      </c>
      <c r="D149" s="8"/>
      <c r="E149" s="62"/>
      <c r="F149" s="8"/>
      <c r="G149" s="72">
        <v>3000</v>
      </c>
      <c r="H149" s="8"/>
      <c r="I149" s="62"/>
      <c r="M149" s="112"/>
    </row>
    <row r="150" spans="1:13" x14ac:dyDescent="0.2">
      <c r="A150" s="19"/>
      <c r="B150" s="19"/>
      <c r="C150" s="19" t="s">
        <v>229</v>
      </c>
      <c r="D150" s="19"/>
      <c r="E150" s="19"/>
      <c r="F150" s="19"/>
      <c r="G150" s="393">
        <f>149167-25000</f>
        <v>124167</v>
      </c>
      <c r="H150" s="19"/>
      <c r="I150" s="19"/>
      <c r="M150" s="112"/>
    </row>
    <row r="151" spans="1:13" x14ac:dyDescent="0.2">
      <c r="A151" s="8"/>
      <c r="B151" s="8"/>
      <c r="C151" s="252" t="s">
        <v>215</v>
      </c>
      <c r="D151" s="8"/>
      <c r="E151" s="62"/>
      <c r="F151" s="8"/>
      <c r="G151" s="72">
        <v>16574</v>
      </c>
      <c r="H151" s="8"/>
      <c r="I151" s="62"/>
      <c r="M151" s="112"/>
    </row>
    <row r="152" spans="1:13" x14ac:dyDescent="0.2">
      <c r="A152" s="8"/>
      <c r="B152" s="8"/>
      <c r="C152" s="252" t="s">
        <v>208</v>
      </c>
      <c r="D152" s="8"/>
      <c r="E152" s="62"/>
      <c r="F152" s="8"/>
      <c r="G152" s="72">
        <f>35418+41</f>
        <v>35459</v>
      </c>
      <c r="H152" s="8"/>
      <c r="I152" s="62"/>
      <c r="M152" s="112"/>
    </row>
    <row r="153" spans="1:13" x14ac:dyDescent="0.2">
      <c r="A153" s="8"/>
      <c r="B153" s="8"/>
      <c r="C153" s="252" t="s">
        <v>36</v>
      </c>
      <c r="D153" s="8"/>
      <c r="E153" s="62"/>
      <c r="F153" s="8"/>
      <c r="G153" s="64">
        <v>8697</v>
      </c>
      <c r="H153" s="8"/>
      <c r="I153" s="62"/>
      <c r="M153" s="112"/>
    </row>
    <row r="154" spans="1:13" x14ac:dyDescent="0.2">
      <c r="A154" s="8"/>
      <c r="B154" s="8"/>
      <c r="C154" s="8"/>
      <c r="D154" s="252" t="s">
        <v>186</v>
      </c>
      <c r="E154" s="65"/>
      <c r="F154" s="8"/>
      <c r="G154" s="64">
        <f>SUM(G147:G153)</f>
        <v>340964</v>
      </c>
      <c r="H154" s="8"/>
      <c r="I154" s="65"/>
      <c r="M154" s="112"/>
    </row>
    <row r="155" spans="1:13" x14ac:dyDescent="0.2">
      <c r="A155" s="8"/>
      <c r="B155" s="8"/>
      <c r="C155" s="8"/>
      <c r="D155" s="8"/>
      <c r="E155" s="72"/>
      <c r="F155" s="8"/>
      <c r="G155" s="72"/>
      <c r="H155" s="8"/>
      <c r="I155" s="72"/>
    </row>
    <row r="156" spans="1:13" x14ac:dyDescent="0.2">
      <c r="A156" s="8"/>
      <c r="B156" s="252" t="s">
        <v>230</v>
      </c>
      <c r="C156" s="8"/>
      <c r="D156" s="8"/>
      <c r="E156" s="85"/>
      <c r="F156" s="8"/>
      <c r="G156" s="64">
        <v>51876</v>
      </c>
      <c r="H156" s="103"/>
      <c r="I156" s="85"/>
      <c r="M156" s="112"/>
    </row>
    <row r="157" spans="1:13" x14ac:dyDescent="0.2">
      <c r="A157" s="8"/>
      <c r="B157" s="8"/>
      <c r="C157" s="8"/>
      <c r="D157" s="252" t="s">
        <v>231</v>
      </c>
      <c r="E157" s="64">
        <v>393101</v>
      </c>
      <c r="F157" s="8"/>
      <c r="G157" s="64">
        <f>+G156+G154</f>
        <v>392840</v>
      </c>
      <c r="H157" s="103"/>
      <c r="I157" s="64">
        <f>+E157-G157</f>
        <v>261</v>
      </c>
      <c r="M157" s="112"/>
    </row>
    <row r="158" spans="1:13" x14ac:dyDescent="0.2">
      <c r="A158" s="8"/>
      <c r="B158" s="8"/>
      <c r="C158" s="8"/>
      <c r="D158" s="252"/>
      <c r="E158" s="63"/>
      <c r="F158" s="8"/>
      <c r="G158" s="63"/>
      <c r="H158" s="103"/>
      <c r="I158" s="63"/>
    </row>
    <row r="159" spans="1:13" x14ac:dyDescent="0.2">
      <c r="A159" s="108" t="s">
        <v>232</v>
      </c>
      <c r="B159" s="8"/>
      <c r="C159" s="8"/>
      <c r="D159" s="8"/>
      <c r="E159" s="72"/>
      <c r="F159" s="8"/>
      <c r="G159" s="72"/>
      <c r="H159" s="8"/>
      <c r="I159" s="72"/>
    </row>
    <row r="160" spans="1:13" x14ac:dyDescent="0.2">
      <c r="A160" s="8"/>
      <c r="B160" s="252" t="s">
        <v>233</v>
      </c>
      <c r="C160" s="8"/>
      <c r="D160" s="8"/>
      <c r="E160" s="72"/>
      <c r="F160" s="8"/>
      <c r="G160" s="72"/>
      <c r="H160" s="8"/>
      <c r="I160" s="72"/>
    </row>
    <row r="161" spans="1:9" x14ac:dyDescent="0.2">
      <c r="A161" s="8"/>
      <c r="B161" s="8"/>
      <c r="C161" s="252" t="s">
        <v>205</v>
      </c>
      <c r="D161" s="8"/>
      <c r="E161" s="62"/>
      <c r="F161" s="8"/>
      <c r="G161" s="72">
        <v>167544</v>
      </c>
      <c r="H161" s="8"/>
      <c r="I161" s="62"/>
    </row>
    <row r="162" spans="1:9" x14ac:dyDescent="0.2">
      <c r="A162" s="8"/>
      <c r="B162" s="8"/>
      <c r="C162" s="252" t="s">
        <v>217</v>
      </c>
      <c r="D162" s="8"/>
      <c r="E162" s="62"/>
      <c r="F162" s="8"/>
      <c r="G162" s="72">
        <v>4000</v>
      </c>
      <c r="H162" s="8"/>
      <c r="I162" s="62"/>
    </row>
    <row r="163" spans="1:9" x14ac:dyDescent="0.2">
      <c r="A163" s="8"/>
      <c r="B163" s="8"/>
      <c r="C163" s="252" t="s">
        <v>208</v>
      </c>
      <c r="D163" s="8"/>
      <c r="E163" s="62"/>
      <c r="F163" s="8"/>
      <c r="G163" s="72">
        <v>16174</v>
      </c>
      <c r="H163" s="8"/>
      <c r="I163" s="62"/>
    </row>
    <row r="164" spans="1:9" x14ac:dyDescent="0.2">
      <c r="A164" s="8"/>
      <c r="B164" s="8"/>
      <c r="C164" s="252" t="s">
        <v>234</v>
      </c>
      <c r="D164" s="8"/>
      <c r="E164" s="62"/>
      <c r="F164" s="8"/>
      <c r="G164" s="72">
        <f>30000-3000-6000</f>
        <v>21000</v>
      </c>
      <c r="H164" s="103"/>
      <c r="I164" s="87"/>
    </row>
    <row r="165" spans="1:9" x14ac:dyDescent="0.2">
      <c r="A165" s="8"/>
      <c r="B165" s="8"/>
      <c r="C165" s="252" t="s">
        <v>36</v>
      </c>
      <c r="D165" s="8"/>
      <c r="E165" s="62"/>
      <c r="F165" s="8"/>
      <c r="G165" s="72">
        <v>40200</v>
      </c>
      <c r="H165" s="103"/>
      <c r="I165" s="87"/>
    </row>
    <row r="166" spans="1:9" x14ac:dyDescent="0.2">
      <c r="A166" s="8"/>
      <c r="B166" s="8" t="s">
        <v>538</v>
      </c>
      <c r="C166" s="252"/>
      <c r="D166" s="8"/>
      <c r="E166" s="62"/>
      <c r="F166" s="8"/>
      <c r="G166" s="72"/>
      <c r="H166" s="103"/>
      <c r="I166" s="87"/>
    </row>
    <row r="167" spans="1:9" x14ac:dyDescent="0.2">
      <c r="A167" s="8"/>
      <c r="B167" s="8"/>
      <c r="C167" s="252" t="s">
        <v>539</v>
      </c>
      <c r="D167" s="8"/>
      <c r="E167" s="62"/>
      <c r="F167" s="8"/>
      <c r="G167" s="72">
        <v>3000</v>
      </c>
      <c r="H167" s="103"/>
      <c r="I167" s="87"/>
    </row>
    <row r="168" spans="1:9" x14ac:dyDescent="0.2">
      <c r="A168" s="8"/>
      <c r="B168" s="8"/>
      <c r="C168" t="s">
        <v>540</v>
      </c>
      <c r="D168" s="8"/>
      <c r="E168" s="66"/>
      <c r="F168" s="8"/>
      <c r="G168" s="64">
        <v>6000</v>
      </c>
      <c r="H168" s="8"/>
      <c r="I168" s="66"/>
    </row>
    <row r="169" spans="1:9" x14ac:dyDescent="0.2">
      <c r="A169" s="8"/>
      <c r="B169" s="8"/>
      <c r="C169" s="8"/>
      <c r="D169" s="252" t="s">
        <v>235</v>
      </c>
      <c r="E169" s="64">
        <v>259600</v>
      </c>
      <c r="F169" s="8"/>
      <c r="G169" s="64">
        <f>SUM(G161:G168)</f>
        <v>257918</v>
      </c>
      <c r="H169" s="8"/>
      <c r="I169" s="64">
        <f>+E169-G169</f>
        <v>1682</v>
      </c>
    </row>
    <row r="170" spans="1:9" x14ac:dyDescent="0.2">
      <c r="A170" s="8"/>
      <c r="B170" s="8"/>
      <c r="C170" s="8"/>
      <c r="D170" s="252"/>
      <c r="E170" s="63"/>
      <c r="F170" s="8"/>
      <c r="G170" s="63"/>
      <c r="H170" s="8"/>
      <c r="I170" s="63"/>
    </row>
    <row r="171" spans="1:9" x14ac:dyDescent="0.2">
      <c r="A171" s="108" t="s">
        <v>236</v>
      </c>
      <c r="B171" s="8"/>
      <c r="C171" s="8"/>
      <c r="D171" s="8"/>
      <c r="E171" s="72"/>
      <c r="F171" s="103"/>
      <c r="G171" s="72"/>
      <c r="H171" s="103"/>
      <c r="I171" s="72"/>
    </row>
    <row r="172" spans="1:9" x14ac:dyDescent="0.2">
      <c r="A172" s="8"/>
      <c r="B172" s="252" t="s">
        <v>237</v>
      </c>
      <c r="C172" s="8"/>
      <c r="D172" s="8"/>
      <c r="E172" s="72"/>
      <c r="F172" s="103"/>
      <c r="G172" s="25"/>
      <c r="H172" s="8"/>
      <c r="I172" s="25"/>
    </row>
    <row r="173" spans="1:9" x14ac:dyDescent="0.2">
      <c r="A173" s="8"/>
      <c r="B173" s="8"/>
      <c r="C173" s="252" t="s">
        <v>205</v>
      </c>
      <c r="D173" s="8"/>
      <c r="E173" s="62"/>
      <c r="F173" s="103"/>
      <c r="G173" s="72">
        <f>33753+19000</f>
        <v>52753</v>
      </c>
      <c r="H173" s="103"/>
      <c r="I173" s="62"/>
    </row>
    <row r="174" spans="1:9" x14ac:dyDescent="0.2">
      <c r="A174" s="8"/>
      <c r="B174" s="8"/>
      <c r="C174" s="252" t="s">
        <v>217</v>
      </c>
      <c r="D174" s="8"/>
      <c r="E174" s="62"/>
      <c r="F174" s="103"/>
      <c r="G174" s="72">
        <v>2000</v>
      </c>
      <c r="H174" s="103"/>
      <c r="I174" s="62"/>
    </row>
    <row r="175" spans="1:9" x14ac:dyDescent="0.2">
      <c r="A175" s="8"/>
      <c r="B175" s="8"/>
      <c r="C175" s="252" t="s">
        <v>208</v>
      </c>
      <c r="D175" s="8"/>
      <c r="E175" s="62"/>
      <c r="F175" s="103"/>
      <c r="G175" s="72">
        <f>10470+8-5000</f>
        <v>5478</v>
      </c>
      <c r="H175" s="103"/>
      <c r="I175" s="62"/>
    </row>
    <row r="176" spans="1:9" x14ac:dyDescent="0.2">
      <c r="A176" s="8"/>
      <c r="B176" s="8"/>
      <c r="C176" s="252" t="s">
        <v>36</v>
      </c>
      <c r="D176" s="8"/>
      <c r="E176" s="62"/>
      <c r="F176" s="103"/>
      <c r="G176" s="64">
        <f>29169-14000</f>
        <v>15169</v>
      </c>
      <c r="H176" s="103"/>
      <c r="I176" s="62"/>
    </row>
    <row r="177" spans="1:9" x14ac:dyDescent="0.2">
      <c r="A177" s="8"/>
      <c r="B177" s="8"/>
      <c r="C177" s="8"/>
      <c r="D177" s="252" t="s">
        <v>1</v>
      </c>
      <c r="E177" s="65"/>
      <c r="F177" s="103"/>
      <c r="G177" s="64">
        <f>SUM(G173:G176)</f>
        <v>75400</v>
      </c>
      <c r="H177" s="103"/>
      <c r="I177" s="65"/>
    </row>
    <row r="178" spans="1:9" x14ac:dyDescent="0.2">
      <c r="A178" s="8"/>
      <c r="B178" s="8"/>
      <c r="C178" s="8"/>
      <c r="D178" s="252"/>
      <c r="E178" s="65"/>
      <c r="F178" s="103"/>
      <c r="G178" s="63"/>
      <c r="H178" s="103"/>
      <c r="I178" s="65"/>
    </row>
    <row r="179" spans="1:9" x14ac:dyDescent="0.2">
      <c r="A179" s="8"/>
      <c r="B179" s="8"/>
      <c r="C179" s="8"/>
      <c r="D179" s="252"/>
      <c r="E179" s="65"/>
      <c r="F179" s="103"/>
      <c r="G179" s="63"/>
      <c r="H179" s="103"/>
      <c r="I179" s="662" t="s">
        <v>471</v>
      </c>
    </row>
    <row r="180" spans="1:9" x14ac:dyDescent="0.2">
      <c r="A180" s="8"/>
      <c r="B180" s="8"/>
      <c r="C180" s="8"/>
      <c r="D180" s="8"/>
      <c r="E180" s="72"/>
      <c r="F180" s="103"/>
      <c r="G180" s="72"/>
      <c r="H180" s="103"/>
      <c r="I180" s="72"/>
    </row>
    <row r="181" spans="1:9" ht="13.5" thickBot="1" x14ac:dyDescent="0.25">
      <c r="A181" s="8"/>
      <c r="B181" s="8"/>
      <c r="C181" s="8"/>
      <c r="D181" s="8"/>
      <c r="E181" s="72"/>
      <c r="F181" s="103"/>
      <c r="G181" s="72"/>
      <c r="H181" s="103"/>
      <c r="I181" s="72"/>
    </row>
    <row r="182" spans="1:9" ht="13.5" thickTop="1" x14ac:dyDescent="0.2">
      <c r="A182" s="527"/>
      <c r="B182" s="527"/>
      <c r="C182" s="527"/>
      <c r="D182" s="527"/>
      <c r="E182" s="527"/>
      <c r="F182" s="527"/>
      <c r="G182" s="527"/>
      <c r="H182" s="527"/>
      <c r="I182" s="528" t="s">
        <v>168</v>
      </c>
    </row>
    <row r="183" spans="1:9" x14ac:dyDescent="0.2">
      <c r="A183" s="19"/>
      <c r="B183" s="19"/>
      <c r="C183" s="19"/>
      <c r="D183" s="19"/>
      <c r="E183" s="19"/>
      <c r="F183" s="19"/>
      <c r="G183" s="19"/>
      <c r="H183" s="19"/>
      <c r="I183" s="665" t="s">
        <v>831</v>
      </c>
    </row>
    <row r="184" spans="1:9" x14ac:dyDescent="0.2">
      <c r="A184" s="19"/>
      <c r="B184" s="19"/>
      <c r="C184" s="19"/>
      <c r="D184" s="19"/>
      <c r="E184" s="529" t="s">
        <v>184</v>
      </c>
      <c r="F184" s="19"/>
      <c r="G184" s="529" t="s">
        <v>167</v>
      </c>
      <c r="H184" s="19"/>
      <c r="I184" s="666" t="s">
        <v>832</v>
      </c>
    </row>
    <row r="185" spans="1:9" x14ac:dyDescent="0.2">
      <c r="A185" s="8"/>
      <c r="B185" s="8"/>
      <c r="C185" s="8"/>
      <c r="D185" s="8"/>
      <c r="E185" s="72"/>
      <c r="F185" s="103"/>
      <c r="G185" s="72"/>
      <c r="H185" s="103"/>
      <c r="I185" s="72"/>
    </row>
    <row r="186" spans="1:9" x14ac:dyDescent="0.2">
      <c r="A186" s="8"/>
      <c r="B186" s="252" t="s">
        <v>238</v>
      </c>
      <c r="C186" s="8"/>
      <c r="D186" s="8"/>
      <c r="E186" s="72"/>
      <c r="F186" s="103"/>
      <c r="G186" s="72"/>
      <c r="H186" s="103"/>
      <c r="I186" s="72"/>
    </row>
    <row r="187" spans="1:9" x14ac:dyDescent="0.2">
      <c r="A187" s="8"/>
      <c r="B187" s="8"/>
      <c r="C187" s="252" t="s">
        <v>239</v>
      </c>
      <c r="D187" s="8"/>
      <c r="E187" s="85"/>
      <c r="F187" s="103"/>
      <c r="G187" s="64">
        <v>15860</v>
      </c>
      <c r="H187" s="103"/>
      <c r="I187" s="85"/>
    </row>
    <row r="188" spans="1:9" x14ac:dyDescent="0.2">
      <c r="A188" s="8"/>
      <c r="B188" s="8"/>
      <c r="C188" s="8"/>
      <c r="D188" s="252" t="s">
        <v>240</v>
      </c>
      <c r="E188" s="64">
        <v>91309</v>
      </c>
      <c r="F188" s="103"/>
      <c r="G188" s="64">
        <f>+G187+G177</f>
        <v>91260</v>
      </c>
      <c r="H188" s="103"/>
      <c r="I188" s="64">
        <f>+E188-G188</f>
        <v>49</v>
      </c>
    </row>
    <row r="189" spans="1:9" x14ac:dyDescent="0.2">
      <c r="A189" s="8"/>
      <c r="B189" s="8"/>
      <c r="C189" s="8"/>
      <c r="D189" s="8"/>
      <c r="E189" s="25"/>
      <c r="F189" s="8"/>
      <c r="G189" s="25"/>
      <c r="H189" s="8"/>
      <c r="I189" s="25"/>
    </row>
    <row r="190" spans="1:9" x14ac:dyDescent="0.2">
      <c r="A190" s="108" t="s">
        <v>33</v>
      </c>
      <c r="B190" s="8"/>
      <c r="C190" s="8"/>
      <c r="D190" s="8"/>
      <c r="E190" s="63"/>
      <c r="F190" s="103"/>
      <c r="G190" s="63"/>
      <c r="H190" s="103"/>
      <c r="I190" s="63"/>
    </row>
    <row r="191" spans="1:9" x14ac:dyDescent="0.2">
      <c r="A191" s="8"/>
      <c r="B191" s="252" t="s">
        <v>130</v>
      </c>
      <c r="C191" s="8"/>
      <c r="D191" s="8"/>
      <c r="E191" s="63">
        <f>12500+3500+12000+10000+6000</f>
        <v>44000</v>
      </c>
      <c r="F191" s="103"/>
      <c r="G191" s="63">
        <f>'5-GASB34GovtFundsBudget'!H28</f>
        <v>43823</v>
      </c>
      <c r="H191" s="103"/>
      <c r="I191" s="63">
        <f>+E191-G191</f>
        <v>177</v>
      </c>
    </row>
    <row r="192" spans="1:9" x14ac:dyDescent="0.2">
      <c r="A192" s="8"/>
      <c r="B192" s="252" t="s">
        <v>35</v>
      </c>
      <c r="C192" s="8"/>
      <c r="D192" s="8"/>
      <c r="E192" s="63">
        <f>5600+1500+200+300+200</f>
        <v>7800</v>
      </c>
      <c r="F192" s="103"/>
      <c r="G192" s="63">
        <f>'5-GASB34GovtFundsBudget'!H29</f>
        <v>7731</v>
      </c>
      <c r="H192" s="103"/>
      <c r="I192" s="63">
        <f>+E192-G192</f>
        <v>69</v>
      </c>
    </row>
    <row r="193" spans="1:12" x14ac:dyDescent="0.2">
      <c r="A193" s="8"/>
      <c r="B193" s="8"/>
      <c r="C193" s="8"/>
      <c r="D193" s="252" t="s">
        <v>241</v>
      </c>
      <c r="E193" s="97">
        <v>51800</v>
      </c>
      <c r="F193" s="103"/>
      <c r="G193" s="97">
        <f>SUM(G191:G192)</f>
        <v>51554</v>
      </c>
      <c r="H193" s="103"/>
      <c r="I193" s="97">
        <f>+E193-G193</f>
        <v>246</v>
      </c>
    </row>
    <row r="194" spans="1:12" x14ac:dyDescent="0.2">
      <c r="A194" s="8"/>
      <c r="B194" s="8"/>
      <c r="C194" s="8"/>
      <c r="D194" s="8"/>
      <c r="E194" s="186"/>
      <c r="F194" s="8"/>
      <c r="G194" s="186"/>
      <c r="H194" s="8"/>
      <c r="I194" s="186"/>
    </row>
    <row r="195" spans="1:12" x14ac:dyDescent="0.2">
      <c r="A195" s="108" t="s">
        <v>131</v>
      </c>
      <c r="B195" s="8"/>
      <c r="C195" s="8"/>
      <c r="D195" s="8"/>
      <c r="E195" s="63">
        <v>4000</v>
      </c>
      <c r="F195" s="103"/>
      <c r="G195" s="86">
        <v>0</v>
      </c>
      <c r="H195" s="103"/>
      <c r="I195" s="63">
        <f>+E195-G195</f>
        <v>4000</v>
      </c>
    </row>
    <row r="196" spans="1:12" x14ac:dyDescent="0.2">
      <c r="A196" s="8"/>
      <c r="B196" s="8"/>
      <c r="C196" s="8"/>
      <c r="D196" s="252" t="s">
        <v>37</v>
      </c>
      <c r="E196" s="97">
        <f>E195+E193+E188+E169+E157+E143+E110</f>
        <v>2435036</v>
      </c>
      <c r="F196" s="103"/>
      <c r="G196" s="97">
        <f>+G193+G188+G169+G157+G143+G110</f>
        <v>2414372.15</v>
      </c>
      <c r="H196" s="103"/>
      <c r="I196" s="97">
        <f>+E196-G196</f>
        <v>20663.850000000093</v>
      </c>
    </row>
    <row r="197" spans="1:12" x14ac:dyDescent="0.2">
      <c r="A197" s="8"/>
      <c r="B197" s="8"/>
      <c r="C197" s="8"/>
      <c r="D197" s="8"/>
      <c r="E197" s="63"/>
      <c r="F197" s="103"/>
      <c r="G197" s="63"/>
      <c r="H197" s="103"/>
      <c r="I197" s="63"/>
      <c r="L197" s="30"/>
    </row>
    <row r="198" spans="1:12" x14ac:dyDescent="0.2">
      <c r="A198" s="108" t="s">
        <v>132</v>
      </c>
      <c r="B198" s="8"/>
      <c r="C198" s="8"/>
      <c r="D198" s="8"/>
      <c r="E198" s="63">
        <f>+E59-E196</f>
        <v>-179513</v>
      </c>
      <c r="F198" s="63">
        <f>+F59-F196</f>
        <v>0</v>
      </c>
      <c r="G198" s="63">
        <f>+G59-G196</f>
        <v>-143620.14999999991</v>
      </c>
      <c r="H198" s="103"/>
      <c r="I198" s="63">
        <f>+I196+I59</f>
        <v>35892.850000000093</v>
      </c>
    </row>
    <row r="199" spans="1:12" x14ac:dyDescent="0.2">
      <c r="A199" s="19"/>
      <c r="B199" s="19"/>
      <c r="C199" s="19"/>
      <c r="D199" s="19"/>
      <c r="E199" s="19"/>
      <c r="F199" s="19"/>
      <c r="G199" s="19"/>
      <c r="H199" s="19"/>
      <c r="I199" s="19"/>
    </row>
    <row r="200" spans="1:12" x14ac:dyDescent="0.2">
      <c r="A200" s="108" t="s">
        <v>133</v>
      </c>
      <c r="B200" s="8"/>
      <c r="C200" s="8"/>
      <c r="D200" s="8"/>
      <c r="E200" s="72"/>
      <c r="F200" s="103"/>
      <c r="G200" s="72"/>
      <c r="H200" s="103"/>
      <c r="I200" s="72"/>
    </row>
    <row r="201" spans="1:12" x14ac:dyDescent="0.2">
      <c r="A201" s="252"/>
      <c r="B201" s="8" t="s">
        <v>469</v>
      </c>
      <c r="C201" s="8"/>
      <c r="D201" s="8"/>
      <c r="E201" s="72"/>
      <c r="F201" s="103"/>
      <c r="G201" s="72"/>
      <c r="H201" s="103"/>
      <c r="I201" s="72"/>
    </row>
    <row r="202" spans="1:12" x14ac:dyDescent="0.2">
      <c r="A202" s="252"/>
      <c r="B202" s="8"/>
      <c r="C202" s="8" t="s">
        <v>508</v>
      </c>
      <c r="D202" s="8"/>
      <c r="E202" s="72">
        <v>10813</v>
      </c>
      <c r="F202" s="103"/>
      <c r="G202" s="72">
        <f>10813</f>
        <v>10813</v>
      </c>
      <c r="H202" s="103"/>
      <c r="I202" s="72">
        <v>0</v>
      </c>
    </row>
    <row r="203" spans="1:12" x14ac:dyDescent="0.2">
      <c r="A203" s="8"/>
      <c r="B203" s="252" t="s">
        <v>470</v>
      </c>
      <c r="C203" s="8"/>
      <c r="D203" s="8"/>
      <c r="E203" s="25"/>
      <c r="F203" s="8"/>
      <c r="G203" s="25"/>
      <c r="H203" s="8"/>
      <c r="I203" s="25"/>
    </row>
    <row r="204" spans="1:12" x14ac:dyDescent="0.2">
      <c r="A204" s="8"/>
      <c r="B204" s="252"/>
      <c r="C204" s="252" t="s">
        <v>242</v>
      </c>
      <c r="D204" s="8"/>
      <c r="E204" s="63">
        <v>-208400</v>
      </c>
      <c r="F204" s="103"/>
      <c r="G204" s="63">
        <v>-208400</v>
      </c>
      <c r="H204" s="103"/>
      <c r="I204" s="63">
        <f>+G204-E204</f>
        <v>0</v>
      </c>
    </row>
    <row r="205" spans="1:12" x14ac:dyDescent="0.2">
      <c r="A205" s="8"/>
      <c r="B205" s="252"/>
      <c r="C205" s="252" t="s">
        <v>377</v>
      </c>
      <c r="D205" s="8"/>
      <c r="E205" s="63">
        <v>-97400</v>
      </c>
      <c r="F205" s="19"/>
      <c r="G205" s="63">
        <v>-97400</v>
      </c>
      <c r="H205" s="19"/>
      <c r="I205" s="63">
        <f>+G205-E205</f>
        <v>0</v>
      </c>
    </row>
    <row r="206" spans="1:12" x14ac:dyDescent="0.2">
      <c r="A206" s="8"/>
      <c r="B206" s="252"/>
      <c r="C206" s="252" t="s">
        <v>569</v>
      </c>
      <c r="D206" s="8"/>
      <c r="E206" s="63">
        <v>-14500</v>
      </c>
      <c r="F206" s="19"/>
      <c r="G206" s="63">
        <v>-14500</v>
      </c>
      <c r="H206" s="19"/>
      <c r="I206" s="63">
        <f>+G206-E206</f>
        <v>0</v>
      </c>
    </row>
    <row r="207" spans="1:12" x14ac:dyDescent="0.2">
      <c r="A207" s="8"/>
      <c r="B207" s="252" t="s">
        <v>523</v>
      </c>
      <c r="C207" s="252"/>
      <c r="D207" s="8"/>
      <c r="E207" s="63">
        <v>5000</v>
      </c>
      <c r="F207" s="19"/>
      <c r="G207" s="63">
        <v>5000</v>
      </c>
      <c r="H207" s="19"/>
      <c r="I207" s="63">
        <f>+G207-E207</f>
        <v>0</v>
      </c>
    </row>
    <row r="208" spans="1:12" x14ac:dyDescent="0.2">
      <c r="A208" s="8"/>
      <c r="B208" s="252" t="s">
        <v>514</v>
      </c>
      <c r="C208" s="252"/>
      <c r="D208" s="8"/>
      <c r="E208" s="63">
        <v>325000</v>
      </c>
      <c r="F208" s="19"/>
      <c r="G208" s="63">
        <v>325000</v>
      </c>
      <c r="H208" s="19"/>
      <c r="I208" s="63">
        <v>0</v>
      </c>
    </row>
    <row r="209" spans="1:11" x14ac:dyDescent="0.2">
      <c r="A209" s="8"/>
      <c r="B209" s="252" t="s">
        <v>739</v>
      </c>
      <c r="C209" s="252"/>
      <c r="D209" s="8"/>
      <c r="E209" s="63">
        <v>35000</v>
      </c>
      <c r="F209" s="19"/>
      <c r="G209" s="63">
        <f>'5-GASB34GovtFundsBudget'!H40</f>
        <v>34840</v>
      </c>
      <c r="H209" s="19"/>
      <c r="I209" s="63">
        <f>+G209-E209</f>
        <v>-160</v>
      </c>
    </row>
    <row r="210" spans="1:11" x14ac:dyDescent="0.2">
      <c r="A210" s="8"/>
      <c r="B210" s="252" t="s">
        <v>756</v>
      </c>
      <c r="C210" s="252"/>
      <c r="D210" s="8"/>
      <c r="E210" s="63">
        <v>49000</v>
      </c>
      <c r="F210" s="19"/>
      <c r="G210" s="63">
        <v>48781</v>
      </c>
      <c r="H210" s="19"/>
      <c r="I210" s="63">
        <f>+G210-E210</f>
        <v>-219</v>
      </c>
    </row>
    <row r="211" spans="1:11" x14ac:dyDescent="0.2">
      <c r="A211" s="8"/>
      <c r="B211" s="668" t="s">
        <v>524</v>
      </c>
      <c r="C211" s="516"/>
      <c r="D211" s="669"/>
      <c r="E211" s="670">
        <v>75000</v>
      </c>
      <c r="F211" s="541"/>
      <c r="G211" s="670">
        <v>0</v>
      </c>
      <c r="H211" s="541"/>
      <c r="I211" s="670">
        <f>+G211-E211</f>
        <v>-75000</v>
      </c>
    </row>
    <row r="212" spans="1:11" x14ac:dyDescent="0.2">
      <c r="A212" s="8"/>
      <c r="B212" s="8"/>
      <c r="C212" s="8"/>
      <c r="D212" s="252" t="s">
        <v>243</v>
      </c>
      <c r="E212" s="97">
        <f>SUM(E202:E211)</f>
        <v>179513</v>
      </c>
      <c r="F212" s="8"/>
      <c r="G212" s="64">
        <f>SUM(G202:G211)</f>
        <v>104134</v>
      </c>
      <c r="H212" s="8"/>
      <c r="I212" s="97">
        <f>+G212-E212</f>
        <v>-75379</v>
      </c>
    </row>
    <row r="213" spans="1:11" x14ac:dyDescent="0.2">
      <c r="A213" s="252"/>
      <c r="B213" s="8"/>
      <c r="C213" s="8"/>
      <c r="D213" s="8"/>
      <c r="E213" s="72"/>
      <c r="F213" s="103"/>
      <c r="G213" s="72"/>
      <c r="H213" s="103"/>
      <c r="I213" s="72"/>
    </row>
    <row r="214" spans="1:11" ht="13.5" thickBot="1" x14ac:dyDescent="0.25">
      <c r="A214" s="108" t="s">
        <v>75</v>
      </c>
      <c r="B214" s="8"/>
      <c r="C214" s="8"/>
      <c r="D214" s="8"/>
      <c r="E214" s="113">
        <f>+E198+E212</f>
        <v>0</v>
      </c>
      <c r="F214" s="103"/>
      <c r="G214" s="86">
        <f>+G198+G212</f>
        <v>-39486.149999999907</v>
      </c>
      <c r="H214" s="286"/>
      <c r="I214" s="113">
        <f>+I198+I212</f>
        <v>-39486.149999999907</v>
      </c>
    </row>
    <row r="215" spans="1:11" ht="13.5" thickTop="1" x14ac:dyDescent="0.2">
      <c r="A215" s="8"/>
      <c r="B215" s="8"/>
      <c r="C215" s="8"/>
      <c r="D215" s="8"/>
      <c r="E215" s="72"/>
      <c r="F215" s="103"/>
      <c r="G215" s="72"/>
      <c r="H215" s="103"/>
      <c r="I215" s="72"/>
    </row>
    <row r="216" spans="1:11" hidden="1" x14ac:dyDescent="0.2">
      <c r="A216" s="19" t="s">
        <v>501</v>
      </c>
      <c r="B216" s="331"/>
      <c r="C216" s="331"/>
      <c r="D216" s="19"/>
      <c r="E216" s="72"/>
      <c r="F216" s="103"/>
      <c r="G216" s="72"/>
      <c r="H216" s="103"/>
      <c r="I216" s="72"/>
    </row>
    <row r="217" spans="1:11" hidden="1" x14ac:dyDescent="0.2">
      <c r="A217" s="19"/>
      <c r="B217" s="331" t="s">
        <v>502</v>
      </c>
      <c r="C217" s="331"/>
      <c r="D217" s="19"/>
      <c r="E217" s="72"/>
      <c r="F217" s="103"/>
      <c r="G217" s="72">
        <f>342909-23459+200000+5759-175</f>
        <v>525034</v>
      </c>
      <c r="H217" s="103"/>
      <c r="K217" s="72"/>
    </row>
    <row r="218" spans="1:11" hidden="1" x14ac:dyDescent="0.2">
      <c r="A218" s="331" t="s">
        <v>500</v>
      </c>
      <c r="B218" s="331"/>
      <c r="C218" s="331"/>
      <c r="D218" s="19"/>
      <c r="E218" s="72"/>
      <c r="F218" s="103"/>
      <c r="G218" s="83">
        <v>67367</v>
      </c>
      <c r="H218" s="103"/>
      <c r="I218" s="72"/>
    </row>
    <row r="219" spans="1:11" x14ac:dyDescent="0.2">
      <c r="A219" s="101" t="s">
        <v>843</v>
      </c>
      <c r="B219" s="101"/>
      <c r="C219" s="19"/>
      <c r="D219" s="19"/>
      <c r="E219" s="72"/>
      <c r="F219" s="103"/>
      <c r="G219" s="63">
        <f>SUM(G217:G218)</f>
        <v>592401</v>
      </c>
      <c r="H219" s="103"/>
      <c r="I219" s="63"/>
    </row>
    <row r="220" spans="1:11" x14ac:dyDescent="0.2">
      <c r="A220" s="101" t="s">
        <v>454</v>
      </c>
      <c r="B220" s="101"/>
      <c r="C220" s="19"/>
      <c r="D220" s="19"/>
      <c r="E220" s="19"/>
      <c r="F220" s="19"/>
      <c r="G220" s="114">
        <v>82</v>
      </c>
      <c r="H220" s="19"/>
      <c r="I220" s="19"/>
    </row>
    <row r="221" spans="1:11" ht="13.5" thickBot="1" x14ac:dyDescent="0.25">
      <c r="A221" s="399" t="s">
        <v>842</v>
      </c>
      <c r="B221" s="101"/>
      <c r="C221" s="19"/>
      <c r="D221" s="19"/>
      <c r="E221" s="19"/>
      <c r="F221" s="19"/>
      <c r="G221" s="530">
        <f>SUM(G219:G220)+G214</f>
        <v>552996.85000000009</v>
      </c>
      <c r="H221" s="19"/>
      <c r="K221" s="526"/>
    </row>
    <row r="222" spans="1:11" ht="13.5" thickTop="1" x14ac:dyDescent="0.2">
      <c r="K222" s="30"/>
    </row>
    <row r="225" spans="10:10" x14ac:dyDescent="0.2">
      <c r="J225" s="232"/>
    </row>
  </sheetData>
  <customSheetViews>
    <customSheetView guid="{AB48C5D7-99F4-4378-A0F9-05018B348977}">
      <selection activeCell="C13" sqref="C13"/>
      <rowBreaks count="4" manualBreakCount="4">
        <brk id="41" max="9" man="1"/>
        <brk id="85" max="9" man="1"/>
        <brk id="130" max="9" man="1"/>
        <brk id="177" max="16383" man="1"/>
      </rowBreaks>
      <pageMargins left="0.75" right="0.75" top="1" bottom="1" header="0.5" footer="0.5"/>
      <pageSetup scale="79" firstPageNumber="93" fitToHeight="0" orientation="portrait" useFirstPageNumber="1" r:id="rId1"/>
      <headerFooter alignWithMargins="0"/>
    </customSheetView>
  </customSheetViews>
  <mergeCells count="1">
    <mergeCell ref="B18:D18"/>
  </mergeCells>
  <phoneticPr fontId="0" type="noConversion"/>
  <printOptions horizontalCentered="1"/>
  <pageMargins left="0.7" right="0.7" top="0.75" bottom="0.75" header="0.3" footer="0.3"/>
  <pageSetup scale="80" firstPageNumber="93" fitToHeight="4" orientation="portrait" r:id="rId2"/>
  <rowBreaks count="3" manualBreakCount="3">
    <brk id="64" max="9" man="1"/>
    <brk id="121" max="9" man="1"/>
    <brk id="18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00"/>
    <pageSetUpPr fitToPage="1"/>
  </sheetPr>
  <dimension ref="A1:H46"/>
  <sheetViews>
    <sheetView topLeftCell="A7" workbookViewId="0">
      <selection activeCell="A7" sqref="A7"/>
    </sheetView>
  </sheetViews>
  <sheetFormatPr defaultColWidth="9.140625" defaultRowHeight="12.75" x14ac:dyDescent="0.2"/>
  <cols>
    <col min="1" max="1" width="35.85546875" style="273" customWidth="1"/>
    <col min="2" max="2" width="13.5703125" style="273" customWidth="1"/>
    <col min="3" max="3" width="1.7109375" style="273" customWidth="1"/>
    <col min="4" max="4" width="13.5703125" style="273" customWidth="1"/>
    <col min="5" max="5" width="1.7109375" style="273" customWidth="1"/>
    <col min="6" max="6" width="13.5703125" style="273" customWidth="1"/>
    <col min="7" max="7" width="9.28515625" style="273" bestFit="1" customWidth="1"/>
    <col min="8" max="16384" width="9.140625" style="273"/>
  </cols>
  <sheetData>
    <row r="1" spans="1:8" x14ac:dyDescent="0.2">
      <c r="A1" s="879" t="s">
        <v>0</v>
      </c>
      <c r="B1" s="879"/>
      <c r="C1" s="879"/>
      <c r="D1" s="879"/>
      <c r="E1" s="879"/>
      <c r="F1" s="879"/>
    </row>
    <row r="2" spans="1:8" x14ac:dyDescent="0.2">
      <c r="A2" s="879" t="s">
        <v>655</v>
      </c>
      <c r="B2" s="879"/>
      <c r="C2" s="879"/>
      <c r="D2" s="879"/>
      <c r="E2" s="879"/>
      <c r="F2" s="879"/>
    </row>
    <row r="3" spans="1:8" x14ac:dyDescent="0.2">
      <c r="A3" s="879" t="s">
        <v>566</v>
      </c>
      <c r="B3" s="879"/>
      <c r="C3" s="879"/>
      <c r="D3" s="879"/>
      <c r="E3" s="879"/>
      <c r="F3" s="879"/>
    </row>
    <row r="4" spans="1:8" x14ac:dyDescent="0.2">
      <c r="A4" s="879" t="s">
        <v>833</v>
      </c>
      <c r="B4" s="879"/>
      <c r="C4" s="879"/>
      <c r="D4" s="879"/>
      <c r="E4" s="879"/>
      <c r="F4" s="879"/>
      <c r="H4" s="273" t="s">
        <v>172</v>
      </c>
    </row>
    <row r="5" spans="1:8" x14ac:dyDescent="0.2">
      <c r="A5" s="292"/>
      <c r="B5" s="302" t="str">
        <f>'5-GASB34GovtFundsBudget'!C4</f>
        <v>For the Year Ended June 30, 2025</v>
      </c>
      <c r="C5" s="302"/>
      <c r="D5" s="292"/>
      <c r="E5" s="292"/>
      <c r="F5" s="292"/>
    </row>
    <row r="6" spans="1:8" x14ac:dyDescent="0.2">
      <c r="A6" s="292"/>
      <c r="B6" s="302"/>
      <c r="C6" s="302"/>
      <c r="D6" s="292"/>
      <c r="E6" s="292"/>
      <c r="F6" s="292"/>
    </row>
    <row r="7" spans="1:8" x14ac:dyDescent="0.2">
      <c r="A7" s="292"/>
      <c r="B7" s="302"/>
      <c r="C7" s="302"/>
      <c r="D7" s="292"/>
      <c r="E7" s="292"/>
      <c r="F7" s="292"/>
    </row>
    <row r="8" spans="1:8" ht="13.5" thickBot="1" x14ac:dyDescent="0.25">
      <c r="A8" s="271"/>
      <c r="B8" s="272"/>
      <c r="C8" s="272"/>
      <c r="D8" s="271"/>
      <c r="E8" s="271"/>
      <c r="F8" s="271"/>
    </row>
    <row r="9" spans="1:8" x14ac:dyDescent="0.2">
      <c r="D9" s="274"/>
      <c r="E9" s="274"/>
      <c r="F9" s="12" t="s">
        <v>168</v>
      </c>
    </row>
    <row r="10" spans="1:8" x14ac:dyDescent="0.2">
      <c r="A10" s="273" t="s">
        <v>172</v>
      </c>
      <c r="B10" s="274"/>
      <c r="C10" s="274"/>
      <c r="D10" s="274"/>
      <c r="E10" s="274"/>
      <c r="F10" s="675" t="s">
        <v>831</v>
      </c>
    </row>
    <row r="11" spans="1:8" x14ac:dyDescent="0.2">
      <c r="B11" s="275" t="s">
        <v>184</v>
      </c>
      <c r="C11" s="274"/>
      <c r="D11" s="275" t="s">
        <v>167</v>
      </c>
      <c r="E11" s="274"/>
      <c r="F11" s="676" t="s">
        <v>832</v>
      </c>
    </row>
    <row r="12" spans="1:8" x14ac:dyDescent="0.2">
      <c r="A12" s="281" t="s">
        <v>127</v>
      </c>
      <c r="B12" s="277"/>
      <c r="C12" s="277"/>
      <c r="D12" s="277"/>
      <c r="E12" s="277"/>
      <c r="F12" s="277"/>
    </row>
    <row r="13" spans="1:8" x14ac:dyDescent="0.2">
      <c r="A13" s="276" t="s">
        <v>29</v>
      </c>
      <c r="B13" s="680">
        <v>300</v>
      </c>
      <c r="C13" s="279"/>
      <c r="D13" s="680">
        <v>152</v>
      </c>
      <c r="E13" s="279"/>
      <c r="F13" s="680">
        <f>D13-B13</f>
        <v>-148</v>
      </c>
    </row>
    <row r="14" spans="1:8" x14ac:dyDescent="0.2">
      <c r="B14" s="279"/>
      <c r="C14" s="279"/>
      <c r="D14" s="279"/>
      <c r="E14" s="279"/>
      <c r="F14" s="279"/>
    </row>
    <row r="15" spans="1:8" x14ac:dyDescent="0.2">
      <c r="A15" s="273" t="s">
        <v>30</v>
      </c>
      <c r="B15" s="278">
        <f>SUM(B12:B13)</f>
        <v>300</v>
      </c>
      <c r="C15" s="279"/>
      <c r="D15" s="278">
        <f>SUM(D12:D13)</f>
        <v>152</v>
      </c>
      <c r="E15" s="279"/>
      <c r="F15" s="278">
        <f>D15-B15</f>
        <v>-148</v>
      </c>
    </row>
    <row r="16" spans="1:8" x14ac:dyDescent="0.2">
      <c r="B16" s="279"/>
      <c r="C16" s="279"/>
      <c r="D16" s="279"/>
      <c r="E16" s="279"/>
      <c r="F16" s="279"/>
    </row>
    <row r="17" spans="1:6" x14ac:dyDescent="0.2">
      <c r="A17" s="281" t="s">
        <v>128</v>
      </c>
      <c r="B17" s="279"/>
      <c r="C17" s="279"/>
      <c r="D17" s="279"/>
      <c r="E17" s="279"/>
      <c r="F17" s="279"/>
    </row>
    <row r="18" spans="1:6" x14ac:dyDescent="0.2">
      <c r="A18" s="681" t="s">
        <v>835</v>
      </c>
      <c r="B18" s="278">
        <v>14800</v>
      </c>
      <c r="C18" s="279"/>
      <c r="D18" s="278">
        <v>0</v>
      </c>
      <c r="E18" s="279"/>
      <c r="F18" s="278">
        <f>B18-D18</f>
        <v>14800</v>
      </c>
    </row>
    <row r="19" spans="1:6" x14ac:dyDescent="0.2">
      <c r="B19" s="279"/>
      <c r="C19" s="279"/>
      <c r="D19" s="279"/>
      <c r="E19" s="279"/>
      <c r="F19" s="279"/>
    </row>
    <row r="20" spans="1:6" x14ac:dyDescent="0.2">
      <c r="A20" s="281" t="s">
        <v>132</v>
      </c>
      <c r="B20" s="279">
        <f>+B15-B18</f>
        <v>-14500</v>
      </c>
      <c r="C20" s="279"/>
      <c r="D20" s="279">
        <f>+D15-D18</f>
        <v>152</v>
      </c>
      <c r="E20" s="279"/>
      <c r="F20" s="279">
        <f>+F18+F15</f>
        <v>14652</v>
      </c>
    </row>
    <row r="21" spans="1:6" x14ac:dyDescent="0.2">
      <c r="B21" s="279"/>
      <c r="C21" s="279"/>
      <c r="D21" s="279"/>
      <c r="E21" s="279"/>
      <c r="F21" s="279"/>
    </row>
    <row r="22" spans="1:6" x14ac:dyDescent="0.2">
      <c r="A22" s="281" t="s">
        <v>588</v>
      </c>
      <c r="B22" s="279"/>
      <c r="C22" s="279"/>
      <c r="D22" s="279"/>
      <c r="E22" s="279"/>
      <c r="F22" s="279"/>
    </row>
    <row r="23" spans="1:6" x14ac:dyDescent="0.2">
      <c r="A23" s="280" t="s">
        <v>460</v>
      </c>
      <c r="B23" s="279">
        <v>14500</v>
      </c>
      <c r="C23" s="279"/>
      <c r="D23" s="278">
        <v>14500</v>
      </c>
      <c r="E23" s="279"/>
      <c r="F23" s="279">
        <f>D23-B23</f>
        <v>0</v>
      </c>
    </row>
    <row r="24" spans="1:6" x14ac:dyDescent="0.2">
      <c r="A24" s="282"/>
      <c r="B24" s="279"/>
      <c r="C24" s="279"/>
      <c r="D24" s="279"/>
      <c r="E24" s="279"/>
      <c r="F24" s="279"/>
    </row>
    <row r="25" spans="1:6" ht="13.5" thickBot="1" x14ac:dyDescent="0.25">
      <c r="A25" s="724" t="s">
        <v>75</v>
      </c>
      <c r="B25" s="446">
        <f>B20+B23</f>
        <v>0</v>
      </c>
      <c r="C25" s="443"/>
      <c r="D25" s="279">
        <f>D20+D23</f>
        <v>14652</v>
      </c>
      <c r="E25" s="279"/>
      <c r="F25" s="446">
        <f>D25-B25</f>
        <v>14652</v>
      </c>
    </row>
    <row r="26" spans="1:6" ht="13.5" thickTop="1" x14ac:dyDescent="0.2">
      <c r="A26" s="280"/>
      <c r="B26" s="279"/>
      <c r="C26" s="279"/>
      <c r="D26" s="279"/>
      <c r="E26" s="279"/>
      <c r="F26" s="279"/>
    </row>
    <row r="27" spans="1:6" x14ac:dyDescent="0.2">
      <c r="A27" s="762" t="s">
        <v>844</v>
      </c>
      <c r="B27" s="279"/>
      <c r="C27" s="279"/>
      <c r="D27" s="278">
        <f>15801+23459</f>
        <v>39260</v>
      </c>
      <c r="E27" s="279"/>
      <c r="F27" s="279"/>
    </row>
    <row r="28" spans="1:6" ht="13.5" thickBot="1" x14ac:dyDescent="0.25">
      <c r="A28" s="762" t="s">
        <v>845</v>
      </c>
      <c r="B28" s="277"/>
      <c r="C28" s="277"/>
      <c r="D28" s="284">
        <f>D27+D25</f>
        <v>53912</v>
      </c>
      <c r="E28" s="277"/>
      <c r="F28" s="277"/>
    </row>
    <row r="29" spans="1:6" ht="13.5" thickTop="1" x14ac:dyDescent="0.2">
      <c r="B29" s="277"/>
      <c r="C29" s="277"/>
      <c r="D29" s="277"/>
      <c r="E29" s="277"/>
      <c r="F29" s="277"/>
    </row>
    <row r="30" spans="1:6" x14ac:dyDescent="0.2">
      <c r="B30" s="277"/>
      <c r="C30" s="277"/>
      <c r="D30" s="277"/>
      <c r="E30" s="277"/>
      <c r="F30" s="277"/>
    </row>
    <row r="31" spans="1:6" x14ac:dyDescent="0.2">
      <c r="B31" s="277"/>
      <c r="C31" s="277"/>
      <c r="D31" s="277"/>
      <c r="E31" s="277"/>
      <c r="F31" s="277"/>
    </row>
    <row r="32" spans="1:6" x14ac:dyDescent="0.2">
      <c r="A32" s="672" t="s">
        <v>834</v>
      </c>
      <c r="B32" s="673"/>
      <c r="C32" s="673"/>
      <c r="D32" s="674"/>
      <c r="E32" s="674"/>
      <c r="F32" s="671"/>
    </row>
    <row r="33" spans="1:7" x14ac:dyDescent="0.2">
      <c r="A33" s="677"/>
      <c r="B33" s="678"/>
      <c r="C33" s="678"/>
      <c r="D33" s="679"/>
      <c r="E33" s="679"/>
      <c r="F33" s="671"/>
    </row>
    <row r="34" spans="1:7" ht="13.5" thickBot="1" x14ac:dyDescent="0.25"/>
    <row r="35" spans="1:7" ht="13.15" customHeight="1" x14ac:dyDescent="0.2">
      <c r="A35" s="878" t="s">
        <v>629</v>
      </c>
      <c r="B35" s="828"/>
      <c r="C35" s="828"/>
      <c r="D35" s="828"/>
      <c r="E35" s="828"/>
      <c r="F35" s="829"/>
    </row>
    <row r="36" spans="1:7" x14ac:dyDescent="0.2">
      <c r="A36" s="830"/>
      <c r="B36" s="831"/>
      <c r="C36" s="831"/>
      <c r="D36" s="831"/>
      <c r="E36" s="831"/>
      <c r="F36" s="832"/>
    </row>
    <row r="37" spans="1:7" x14ac:dyDescent="0.2">
      <c r="A37" s="830"/>
      <c r="B37" s="831"/>
      <c r="C37" s="831"/>
      <c r="D37" s="831"/>
      <c r="E37" s="831"/>
      <c r="F37" s="832"/>
    </row>
    <row r="38" spans="1:7" x14ac:dyDescent="0.2">
      <c r="A38" s="830"/>
      <c r="B38" s="831"/>
      <c r="C38" s="831"/>
      <c r="D38" s="831"/>
      <c r="E38" s="831"/>
      <c r="F38" s="832"/>
    </row>
    <row r="39" spans="1:7" ht="13.5" thickBot="1" x14ac:dyDescent="0.25">
      <c r="A39" s="833"/>
      <c r="B39" s="834"/>
      <c r="C39" s="834"/>
      <c r="D39" s="834"/>
      <c r="E39" s="834"/>
      <c r="F39" s="835"/>
    </row>
    <row r="46" spans="1:7" x14ac:dyDescent="0.2">
      <c r="G46" s="549"/>
    </row>
  </sheetData>
  <customSheetViews>
    <customSheetView guid="{AB48C5D7-99F4-4378-A0F9-05018B348977}">
      <selection activeCell="B39" sqref="B39"/>
      <pageMargins left="0.75" right="0.75" top="1" bottom="1" header="0.5" footer="0.5"/>
      <pageSetup scale="79" firstPageNumber="98" orientation="portrait" useFirstPageNumber="1" r:id="rId1"/>
      <headerFooter alignWithMargins="0"/>
    </customSheetView>
  </customSheetViews>
  <mergeCells count="5">
    <mergeCell ref="A35:F39"/>
    <mergeCell ref="A1:F1"/>
    <mergeCell ref="A2:F2"/>
    <mergeCell ref="A3:F3"/>
    <mergeCell ref="A4:F4"/>
  </mergeCells>
  <printOptions horizontalCentered="1"/>
  <pageMargins left="0.7" right="0.7" top="0.75" bottom="0.75" header="0.3" footer="0.3"/>
  <pageSetup firstPageNumber="98" fitToWidth="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FF00"/>
    <pageSetUpPr fitToPage="1"/>
  </sheetPr>
  <dimension ref="A1:Q44"/>
  <sheetViews>
    <sheetView topLeftCell="A25" workbookViewId="0">
      <selection activeCell="J44" sqref="J44"/>
    </sheetView>
  </sheetViews>
  <sheetFormatPr defaultColWidth="9.140625" defaultRowHeight="12.75" x14ac:dyDescent="0.2"/>
  <cols>
    <col min="1" max="1" width="1.85546875" style="19" customWidth="1"/>
    <col min="2" max="2" width="9.140625" style="19"/>
    <col min="3" max="3" width="20.7109375" style="19" customWidth="1"/>
    <col min="4" max="4" width="10.7109375" style="19" customWidth="1"/>
    <col min="5" max="5" width="1.7109375" style="19" customWidth="1"/>
    <col min="6" max="6" width="10.7109375" style="19" customWidth="1"/>
    <col min="7" max="7" width="1.7109375" style="19" customWidth="1"/>
    <col min="8" max="8" width="10.7109375" style="19" customWidth="1"/>
    <col min="9" max="16384" width="9.140625" style="19"/>
  </cols>
  <sheetData>
    <row r="1" spans="1:17" x14ac:dyDescent="0.2">
      <c r="A1" s="332" t="s">
        <v>136</v>
      </c>
      <c r="B1" s="333"/>
      <c r="C1" s="333"/>
      <c r="D1" s="333"/>
      <c r="E1" s="46"/>
      <c r="F1" s="46"/>
      <c r="G1" s="46"/>
      <c r="H1" s="46"/>
    </row>
    <row r="2" spans="1:17" x14ac:dyDescent="0.2">
      <c r="A2" s="332" t="s">
        <v>126</v>
      </c>
      <c r="B2" s="333"/>
      <c r="C2" s="333"/>
      <c r="D2" s="333"/>
      <c r="E2" s="46"/>
      <c r="F2" s="46"/>
      <c r="G2" s="46"/>
      <c r="H2" s="46"/>
    </row>
    <row r="3" spans="1:17" x14ac:dyDescent="0.2">
      <c r="A3" s="332" t="s">
        <v>465</v>
      </c>
      <c r="B3" s="333"/>
      <c r="C3" s="333"/>
      <c r="D3" s="333"/>
      <c r="E3" s="46"/>
      <c r="F3" s="46"/>
      <c r="G3" s="46"/>
      <c r="H3" s="46"/>
    </row>
    <row r="4" spans="1:17" x14ac:dyDescent="0.2">
      <c r="A4" s="332" t="s">
        <v>165</v>
      </c>
      <c r="B4" s="333"/>
      <c r="C4" s="333"/>
      <c r="D4" s="333"/>
      <c r="E4" s="46"/>
      <c r="F4" s="46"/>
      <c r="G4" s="46"/>
      <c r="H4" s="46"/>
    </row>
    <row r="5" spans="1:17" x14ac:dyDescent="0.2">
      <c r="A5" s="332" t="str">
        <f>'5-GASB34GovtFundsBudget'!C4</f>
        <v>For the Year Ended June 30, 2025</v>
      </c>
      <c r="B5" s="333"/>
      <c r="C5" s="333"/>
      <c r="D5" s="333"/>
      <c r="E5" s="46"/>
      <c r="F5" s="46"/>
      <c r="G5" s="46"/>
      <c r="H5" s="46"/>
    </row>
    <row r="6" spans="1:17" x14ac:dyDescent="0.2">
      <c r="A6" s="332"/>
      <c r="B6" s="333"/>
      <c r="C6" s="333"/>
      <c r="D6" s="333"/>
      <c r="E6" s="46"/>
      <c r="F6" s="46"/>
      <c r="G6" s="46"/>
      <c r="H6" s="46"/>
    </row>
    <row r="7" spans="1:17" x14ac:dyDescent="0.2">
      <c r="A7" s="332"/>
      <c r="B7" s="333"/>
      <c r="C7" s="333"/>
      <c r="D7" s="333"/>
      <c r="E7" s="46"/>
      <c r="F7" s="46"/>
      <c r="G7" s="46"/>
      <c r="H7" s="46"/>
    </row>
    <row r="8" spans="1:17" ht="12" customHeight="1" thickBot="1" x14ac:dyDescent="0.25">
      <c r="A8" s="682"/>
      <c r="B8" s="682"/>
      <c r="C8" s="682"/>
      <c r="D8" s="682"/>
      <c r="E8" s="683"/>
      <c r="F8" s="683"/>
      <c r="G8" s="683"/>
      <c r="H8" s="683"/>
    </row>
    <row r="9" spans="1:17" x14ac:dyDescent="0.2">
      <c r="A9" s="334"/>
      <c r="B9" s="334"/>
      <c r="C9" s="334"/>
      <c r="D9" s="334"/>
      <c r="E9" s="2"/>
      <c r="F9" s="2"/>
      <c r="G9" s="2"/>
      <c r="H9" s="335" t="s">
        <v>168</v>
      </c>
      <c r="I9" s="336"/>
      <c r="J9" s="336"/>
      <c r="K9" s="336"/>
      <c r="L9" s="336"/>
      <c r="M9" s="336"/>
      <c r="N9" s="2"/>
      <c r="O9" s="2"/>
      <c r="P9" s="2"/>
      <c r="Q9" s="2"/>
    </row>
    <row r="10" spans="1:17" x14ac:dyDescent="0.2">
      <c r="A10" s="334"/>
      <c r="B10" s="334"/>
      <c r="C10" s="334"/>
      <c r="D10" s="337" t="s">
        <v>124</v>
      </c>
      <c r="E10" s="2"/>
      <c r="F10" s="2"/>
      <c r="G10" s="2"/>
      <c r="H10" s="684" t="s">
        <v>831</v>
      </c>
      <c r="I10" s="336"/>
      <c r="J10" s="336"/>
      <c r="K10" s="336"/>
      <c r="L10" s="336"/>
      <c r="M10" s="336"/>
      <c r="N10" s="2"/>
      <c r="O10" s="2"/>
      <c r="P10" s="2"/>
      <c r="Q10" s="335"/>
    </row>
    <row r="11" spans="1:17" x14ac:dyDescent="0.2">
      <c r="A11" s="334"/>
      <c r="B11" s="522" t="s">
        <v>172</v>
      </c>
      <c r="C11" s="334"/>
      <c r="D11" s="338" t="s">
        <v>184</v>
      </c>
      <c r="E11" s="2"/>
      <c r="F11" s="339" t="s">
        <v>167</v>
      </c>
      <c r="G11" s="2"/>
      <c r="H11" s="685" t="s">
        <v>832</v>
      </c>
      <c r="I11" s="336"/>
      <c r="J11" s="336"/>
      <c r="K11" s="336"/>
      <c r="L11" s="336"/>
      <c r="M11" s="340"/>
      <c r="N11" s="2"/>
      <c r="O11" s="2"/>
      <c r="P11" s="2"/>
      <c r="Q11" s="335"/>
    </row>
    <row r="12" spans="1:17" x14ac:dyDescent="0.2">
      <c r="A12" s="700" t="s">
        <v>127</v>
      </c>
      <c r="B12" s="2"/>
      <c r="C12" s="334"/>
      <c r="D12" s="342"/>
      <c r="E12" s="314"/>
      <c r="F12" s="314"/>
      <c r="G12" s="314"/>
      <c r="H12" s="314"/>
      <c r="I12" s="2"/>
      <c r="J12" s="336"/>
      <c r="K12" s="336"/>
      <c r="L12" s="336"/>
      <c r="M12" s="336"/>
      <c r="N12" s="2"/>
      <c r="O12" s="2"/>
      <c r="P12" s="2"/>
      <c r="Q12" s="2"/>
    </row>
    <row r="13" spans="1:17" x14ac:dyDescent="0.2">
      <c r="A13" s="334"/>
      <c r="B13" s="2" t="s">
        <v>69</v>
      </c>
      <c r="D13" s="270">
        <v>790000</v>
      </c>
      <c r="E13" s="344"/>
      <c r="F13" s="270">
        <v>785000</v>
      </c>
      <c r="G13" s="344"/>
      <c r="H13" s="270">
        <f>+F13-D13</f>
        <v>-5000</v>
      </c>
      <c r="I13" s="341"/>
      <c r="J13" s="2"/>
      <c r="K13" s="336"/>
      <c r="L13" s="336"/>
      <c r="M13" s="42"/>
      <c r="N13" s="314"/>
      <c r="O13" s="314"/>
      <c r="P13" s="314"/>
      <c r="Q13" s="314"/>
    </row>
    <row r="14" spans="1:17" x14ac:dyDescent="0.2">
      <c r="A14" s="334"/>
      <c r="B14" s="2" t="s">
        <v>580</v>
      </c>
      <c r="D14" s="345">
        <v>0</v>
      </c>
      <c r="E14" s="346"/>
      <c r="F14" s="345">
        <v>0</v>
      </c>
      <c r="G14" s="346"/>
      <c r="H14" s="343">
        <f>+F14-D14</f>
        <v>0</v>
      </c>
      <c r="I14" s="336"/>
      <c r="J14" s="2"/>
      <c r="L14" s="347"/>
      <c r="M14" s="42"/>
      <c r="N14" s="348"/>
      <c r="O14" s="42"/>
      <c r="P14" s="348"/>
      <c r="Q14" s="42"/>
    </row>
    <row r="15" spans="1:17" x14ac:dyDescent="0.2">
      <c r="A15" s="334"/>
      <c r="C15" s="2" t="s">
        <v>1</v>
      </c>
      <c r="D15" s="349">
        <f>SUM(D13:D14)</f>
        <v>790000</v>
      </c>
      <c r="E15" s="346"/>
      <c r="F15" s="349">
        <f>SUM(F13:F14)</f>
        <v>785000</v>
      </c>
      <c r="G15" s="346"/>
      <c r="H15" s="349">
        <f>SUM(H13:H14)</f>
        <v>-5000</v>
      </c>
      <c r="I15" s="336"/>
      <c r="L15" s="347"/>
      <c r="M15" s="42"/>
      <c r="N15" s="348"/>
      <c r="O15" s="42"/>
      <c r="P15" s="348"/>
      <c r="Q15" s="42"/>
    </row>
    <row r="16" spans="1:17" x14ac:dyDescent="0.2">
      <c r="A16" s="334"/>
      <c r="B16" s="334"/>
      <c r="C16" s="334"/>
      <c r="D16" s="342"/>
      <c r="E16" s="314"/>
      <c r="F16" s="314"/>
      <c r="G16" s="314"/>
      <c r="H16" s="314"/>
      <c r="I16" s="336"/>
      <c r="J16" s="336"/>
      <c r="K16" s="336"/>
      <c r="L16" s="341"/>
      <c r="M16" s="42"/>
      <c r="N16" s="314"/>
      <c r="O16" s="314"/>
      <c r="P16" s="314"/>
      <c r="Q16" s="314"/>
    </row>
    <row r="17" spans="1:17" x14ac:dyDescent="0.2">
      <c r="A17" s="700" t="s">
        <v>128</v>
      </c>
      <c r="B17" s="334"/>
      <c r="C17" s="334"/>
      <c r="D17" s="334"/>
      <c r="E17" s="2"/>
      <c r="F17" s="2"/>
      <c r="G17" s="2"/>
      <c r="H17" s="2"/>
      <c r="I17" s="341"/>
      <c r="J17" s="336"/>
      <c r="K17" s="336"/>
      <c r="L17" s="336"/>
      <c r="M17" s="336"/>
      <c r="N17" s="2"/>
      <c r="O17" s="2"/>
      <c r="P17" s="2"/>
      <c r="Q17" s="2"/>
    </row>
    <row r="18" spans="1:17" x14ac:dyDescent="0.2">
      <c r="A18" s="522"/>
      <c r="B18" s="334" t="s">
        <v>691</v>
      </c>
      <c r="C18" s="334"/>
      <c r="D18" s="334"/>
      <c r="E18" s="2"/>
      <c r="F18" s="2"/>
      <c r="G18" s="2"/>
      <c r="H18" s="2"/>
      <c r="I18" s="341"/>
      <c r="J18" s="336"/>
      <c r="K18" s="336"/>
      <c r="L18" s="336"/>
      <c r="M18" s="336"/>
      <c r="N18" s="2"/>
      <c r="O18" s="2"/>
      <c r="P18" s="2"/>
      <c r="Q18" s="2"/>
    </row>
    <row r="19" spans="1:17" x14ac:dyDescent="0.2">
      <c r="A19" s="2"/>
      <c r="B19" s="544" t="s">
        <v>581</v>
      </c>
      <c r="C19" s="544"/>
      <c r="D19" s="350">
        <v>162007</v>
      </c>
      <c r="E19" s="350"/>
      <c r="F19" s="350">
        <v>162007</v>
      </c>
      <c r="G19" s="350"/>
      <c r="H19" s="350">
        <f>D19-F19</f>
        <v>0</v>
      </c>
      <c r="I19" s="2"/>
      <c r="J19" s="341"/>
      <c r="K19" s="336"/>
      <c r="L19" s="336"/>
      <c r="M19" s="351"/>
      <c r="N19" s="351"/>
      <c r="O19" s="351"/>
      <c r="P19" s="351"/>
      <c r="Q19" s="351"/>
    </row>
    <row r="20" spans="1:17" x14ac:dyDescent="0.2">
      <c r="A20" s="2"/>
      <c r="B20" s="880" t="s">
        <v>582</v>
      </c>
      <c r="C20" s="880"/>
      <c r="D20" s="350">
        <v>62512</v>
      </c>
      <c r="E20" s="350"/>
      <c r="F20" s="350">
        <v>62512</v>
      </c>
      <c r="G20" s="350"/>
      <c r="H20" s="350">
        <f t="shared" ref="H20:H26" si="0">D20-F20</f>
        <v>0</v>
      </c>
      <c r="I20" s="2"/>
      <c r="J20" s="341"/>
      <c r="K20" s="336"/>
      <c r="L20" s="336"/>
      <c r="M20" s="352"/>
      <c r="N20" s="352"/>
      <c r="O20" s="352"/>
      <c r="P20" s="351"/>
      <c r="Q20" s="351"/>
    </row>
    <row r="21" spans="1:17" x14ac:dyDescent="0.2">
      <c r="A21" s="2"/>
      <c r="B21" s="880" t="s">
        <v>583</v>
      </c>
      <c r="C21" s="880"/>
      <c r="D21" s="350">
        <v>100235</v>
      </c>
      <c r="E21" s="350"/>
      <c r="F21" s="350">
        <v>100235</v>
      </c>
      <c r="G21" s="350"/>
      <c r="H21" s="350">
        <f t="shared" si="0"/>
        <v>0</v>
      </c>
      <c r="I21" s="2"/>
      <c r="J21" s="341"/>
      <c r="K21" s="336"/>
      <c r="L21" s="336"/>
      <c r="M21" s="352"/>
      <c r="N21" s="352"/>
      <c r="O21" s="352"/>
      <c r="P21" s="351"/>
      <c r="Q21" s="351"/>
    </row>
    <row r="22" spans="1:17" x14ac:dyDescent="0.2">
      <c r="A22" s="2"/>
      <c r="B22" s="880" t="s">
        <v>584</v>
      </c>
      <c r="C22" s="880"/>
      <c r="D22" s="350">
        <v>29500</v>
      </c>
      <c r="E22" s="350"/>
      <c r="F22" s="350">
        <v>29500</v>
      </c>
      <c r="G22" s="350"/>
      <c r="H22" s="350">
        <f t="shared" si="0"/>
        <v>0</v>
      </c>
      <c r="I22" s="341"/>
      <c r="J22" s="2"/>
      <c r="K22" s="2"/>
      <c r="L22" s="336"/>
      <c r="M22" s="270"/>
      <c r="N22" s="351"/>
      <c r="O22" s="351"/>
      <c r="P22" s="351"/>
      <c r="Q22" s="270"/>
    </row>
    <row r="23" spans="1:17" x14ac:dyDescent="0.2">
      <c r="A23" s="2"/>
      <c r="B23" s="880" t="s">
        <v>585</v>
      </c>
      <c r="C23" s="880"/>
      <c r="D23" s="350">
        <v>101800</v>
      </c>
      <c r="E23" s="350"/>
      <c r="F23" s="350">
        <f>101800-4962</f>
        <v>96838</v>
      </c>
      <c r="G23" s="350"/>
      <c r="H23" s="350">
        <f t="shared" si="0"/>
        <v>4962</v>
      </c>
      <c r="I23" s="2"/>
      <c r="J23" s="2"/>
      <c r="K23" s="2"/>
      <c r="L23" s="336"/>
      <c r="M23" s="352"/>
      <c r="N23" s="352"/>
      <c r="O23" s="352"/>
      <c r="P23" s="352"/>
      <c r="Q23" s="352"/>
    </row>
    <row r="24" spans="1:17" x14ac:dyDescent="0.2">
      <c r="A24" s="2"/>
      <c r="B24" s="880" t="s">
        <v>586</v>
      </c>
      <c r="C24" s="880"/>
      <c r="D24" s="350">
        <v>87000</v>
      </c>
      <c r="E24" s="350"/>
      <c r="F24" s="350">
        <v>87000</v>
      </c>
      <c r="G24" s="350"/>
      <c r="H24" s="350">
        <f t="shared" si="0"/>
        <v>0</v>
      </c>
      <c r="I24" s="341"/>
      <c r="J24" s="341"/>
      <c r="K24" s="336"/>
      <c r="L24" s="336"/>
      <c r="M24" s="336"/>
      <c r="N24" s="352"/>
      <c r="O24" s="352"/>
      <c r="P24" s="352"/>
      <c r="Q24" s="336"/>
    </row>
    <row r="25" spans="1:17" x14ac:dyDescent="0.2">
      <c r="A25" s="2"/>
      <c r="B25" s="880" t="s">
        <v>36</v>
      </c>
      <c r="C25" s="880"/>
      <c r="D25" s="350">
        <v>91572</v>
      </c>
      <c r="E25" s="350"/>
      <c r="F25" s="350">
        <v>91572</v>
      </c>
      <c r="G25" s="350"/>
      <c r="H25" s="350">
        <f t="shared" si="0"/>
        <v>0</v>
      </c>
      <c r="I25" s="341"/>
      <c r="J25" s="341"/>
      <c r="K25" s="336"/>
      <c r="L25" s="341"/>
      <c r="M25" s="341"/>
      <c r="N25" s="353"/>
      <c r="O25" s="354"/>
      <c r="P25" s="353"/>
      <c r="Q25" s="341"/>
    </row>
    <row r="26" spans="1:17" x14ac:dyDescent="0.2">
      <c r="A26" s="2"/>
      <c r="B26" s="880" t="s">
        <v>587</v>
      </c>
      <c r="C26" s="880"/>
      <c r="D26" s="350">
        <v>155374</v>
      </c>
      <c r="E26" s="350"/>
      <c r="F26" s="350">
        <v>155374</v>
      </c>
      <c r="G26" s="350"/>
      <c r="H26" s="350">
        <f t="shared" si="0"/>
        <v>0</v>
      </c>
      <c r="I26" s="2"/>
      <c r="J26" s="2"/>
      <c r="K26" s="2"/>
      <c r="L26" s="2"/>
      <c r="M26" s="2"/>
      <c r="N26" s="2"/>
      <c r="O26" s="2"/>
      <c r="P26" s="2"/>
      <c r="Q26" s="2"/>
    </row>
    <row r="27" spans="1:17" x14ac:dyDescent="0.2">
      <c r="A27" s="2"/>
      <c r="B27" s="522"/>
      <c r="C27" s="334" t="s">
        <v>1</v>
      </c>
      <c r="D27" s="355">
        <f>SUM(D19:D26)</f>
        <v>790000</v>
      </c>
      <c r="E27" s="356"/>
      <c r="F27" s="355">
        <f>SUM(F19:F26)</f>
        <v>785038</v>
      </c>
      <c r="G27" s="357"/>
      <c r="H27" s="358">
        <f>SUM(H19:H25)</f>
        <v>4962</v>
      </c>
      <c r="I27" s="2"/>
      <c r="J27" s="2"/>
      <c r="K27" s="2"/>
      <c r="L27" s="2"/>
      <c r="M27" s="2"/>
      <c r="N27" s="2"/>
      <c r="O27" s="2"/>
      <c r="P27" s="2"/>
      <c r="Q27" s="2"/>
    </row>
    <row r="28" spans="1:17" x14ac:dyDescent="0.2">
      <c r="A28" s="2"/>
      <c r="B28" s="522"/>
      <c r="C28" s="334"/>
      <c r="D28" s="359"/>
      <c r="E28" s="359"/>
      <c r="F28" s="359"/>
      <c r="G28" s="350"/>
      <c r="H28" s="350"/>
      <c r="I28" s="2"/>
      <c r="J28" s="2"/>
      <c r="K28" s="2"/>
      <c r="L28" s="2"/>
      <c r="M28" s="2"/>
      <c r="N28" s="2"/>
      <c r="O28" s="2"/>
      <c r="P28" s="2"/>
      <c r="Q28" s="2"/>
    </row>
    <row r="29" spans="1:17" x14ac:dyDescent="0.2">
      <c r="A29" s="700" t="s">
        <v>836</v>
      </c>
      <c r="B29" s="2"/>
      <c r="C29" s="2"/>
      <c r="D29" s="360">
        <f>D15-D27</f>
        <v>0</v>
      </c>
      <c r="E29" s="350"/>
      <c r="F29" s="360">
        <f>+F15-F27</f>
        <v>-38</v>
      </c>
      <c r="G29" s="350"/>
      <c r="H29" s="360">
        <f>H15+H27</f>
        <v>-38</v>
      </c>
      <c r="I29" s="2"/>
      <c r="J29" s="2"/>
      <c r="K29" s="2"/>
      <c r="L29" s="2"/>
      <c r="M29" s="2"/>
      <c r="N29" s="2"/>
      <c r="O29" s="2"/>
      <c r="P29" s="2"/>
      <c r="Q29" s="2"/>
    </row>
    <row r="30" spans="1:17" x14ac:dyDescent="0.2">
      <c r="A30" s="2"/>
      <c r="B30" s="2"/>
      <c r="C30" s="2"/>
      <c r="D30" s="361"/>
      <c r="E30" s="361"/>
      <c r="F30" s="361"/>
      <c r="G30" s="361"/>
      <c r="H30" s="361"/>
      <c r="I30" s="2"/>
      <c r="J30" s="2"/>
      <c r="K30" s="2"/>
      <c r="L30" s="2"/>
      <c r="M30" s="2"/>
      <c r="N30" s="2"/>
      <c r="O30" s="2"/>
      <c r="P30" s="2"/>
      <c r="Q30" s="2"/>
    </row>
    <row r="31" spans="1:17" ht="14.25" hidden="1" customHeight="1" x14ac:dyDescent="0.2">
      <c r="A31" s="522" t="s">
        <v>588</v>
      </c>
      <c r="I31" s="2"/>
    </row>
    <row r="32" spans="1:17" hidden="1" x14ac:dyDescent="0.2">
      <c r="A32" s="522"/>
      <c r="B32" s="881" t="s">
        <v>460</v>
      </c>
      <c r="C32" s="881"/>
      <c r="D32" s="362">
        <v>0</v>
      </c>
      <c r="E32" s="361"/>
      <c r="F32" s="363">
        <v>0</v>
      </c>
      <c r="G32" s="361"/>
      <c r="H32" s="362">
        <f>F32-D32</f>
        <v>0</v>
      </c>
    </row>
    <row r="33" spans="1:8" hidden="1" x14ac:dyDescent="0.2">
      <c r="A33" s="522"/>
      <c r="B33" s="522"/>
      <c r="C33" s="522"/>
      <c r="D33" s="334"/>
      <c r="E33" s="361"/>
      <c r="F33" s="361"/>
      <c r="G33" s="361"/>
      <c r="H33" s="334"/>
    </row>
    <row r="34" spans="1:8" hidden="1" x14ac:dyDescent="0.2">
      <c r="A34" s="522" t="s">
        <v>589</v>
      </c>
      <c r="B34" s="522"/>
      <c r="C34" s="522"/>
      <c r="D34" s="334">
        <v>0</v>
      </c>
      <c r="E34" s="361"/>
      <c r="F34" s="361">
        <v>0</v>
      </c>
      <c r="G34" s="361"/>
      <c r="H34" s="334">
        <f>D34-F34</f>
        <v>0</v>
      </c>
    </row>
    <row r="35" spans="1:8" hidden="1" x14ac:dyDescent="0.2">
      <c r="A35" s="522"/>
      <c r="B35" s="522"/>
      <c r="C35" s="522"/>
      <c r="D35" s="334"/>
      <c r="E35" s="361"/>
      <c r="F35" s="361"/>
      <c r="G35" s="361"/>
      <c r="H35" s="334"/>
    </row>
    <row r="36" spans="1:8" ht="13.5" thickBot="1" x14ac:dyDescent="0.25">
      <c r="A36" s="725" t="s">
        <v>75</v>
      </c>
      <c r="B36" s="687"/>
      <c r="C36" s="687"/>
      <c r="D36" s="364">
        <f>D29+D32+D34</f>
        <v>0</v>
      </c>
      <c r="E36" s="361"/>
      <c r="F36" s="361">
        <f>F29+F32</f>
        <v>-38</v>
      </c>
      <c r="G36" s="361"/>
      <c r="H36" s="365">
        <f>H29+H32-H34</f>
        <v>-38</v>
      </c>
    </row>
    <row r="37" spans="1:8" ht="13.5" thickTop="1" x14ac:dyDescent="0.2">
      <c r="A37" s="522"/>
      <c r="B37" s="522"/>
      <c r="C37" s="522"/>
      <c r="D37" s="334"/>
      <c r="E37" s="361"/>
      <c r="F37" s="361"/>
      <c r="G37" s="361"/>
      <c r="H37" s="334"/>
    </row>
    <row r="38" spans="1:8" x14ac:dyDescent="0.2">
      <c r="A38" s="522" t="s">
        <v>844</v>
      </c>
      <c r="B38" s="522"/>
      <c r="C38" s="334"/>
      <c r="D38" s="334"/>
      <c r="E38" s="361"/>
      <c r="F38" s="361">
        <v>5453</v>
      </c>
      <c r="G38" s="361"/>
      <c r="H38" s="334"/>
    </row>
    <row r="39" spans="1:8" ht="13.5" thickBot="1" x14ac:dyDescent="0.25">
      <c r="A39" s="522" t="s">
        <v>845</v>
      </c>
      <c r="B39" s="522"/>
      <c r="C39" s="334"/>
      <c r="D39" s="522"/>
      <c r="E39" s="366"/>
      <c r="F39" s="367">
        <f>F38+F15-F27+F32</f>
        <v>5415</v>
      </c>
      <c r="G39" s="366"/>
      <c r="H39" s="522"/>
    </row>
    <row r="40" spans="1:8" ht="13.5" thickTop="1" x14ac:dyDescent="0.2">
      <c r="A40" s="522"/>
      <c r="B40" s="522"/>
      <c r="C40" s="334"/>
      <c r="D40" s="522"/>
      <c r="E40" s="366"/>
      <c r="F40" s="686"/>
      <c r="G40" s="366"/>
      <c r="H40" s="522"/>
    </row>
    <row r="41" spans="1:8" ht="13.5" thickBot="1" x14ac:dyDescent="0.25">
      <c r="A41" s="2"/>
      <c r="B41" s="2"/>
      <c r="C41" s="2"/>
      <c r="D41" s="2"/>
      <c r="E41" s="2"/>
      <c r="F41" s="2"/>
      <c r="G41" s="2"/>
      <c r="H41" s="2"/>
    </row>
    <row r="42" spans="1:8" ht="49.5" customHeight="1" thickBot="1" x14ac:dyDescent="0.25">
      <c r="B42" s="803" t="s">
        <v>749</v>
      </c>
      <c r="C42" s="804"/>
      <c r="D42" s="804"/>
      <c r="E42" s="804"/>
      <c r="F42" s="804"/>
      <c r="G42" s="804"/>
      <c r="H42" s="805"/>
    </row>
    <row r="43" spans="1:8" ht="13.5" thickBot="1" x14ac:dyDescent="0.25"/>
    <row r="44" spans="1:8" ht="104.25" customHeight="1" thickBot="1" x14ac:dyDescent="0.25">
      <c r="B44" s="800" t="s">
        <v>891</v>
      </c>
      <c r="C44" s="801"/>
      <c r="D44" s="801"/>
      <c r="E44" s="801"/>
      <c r="F44" s="801"/>
      <c r="G44" s="801"/>
      <c r="H44" s="802"/>
    </row>
  </sheetData>
  <customSheetViews>
    <customSheetView guid="{AB48C5D7-99F4-4378-A0F9-05018B348977}" topLeftCell="A13">
      <selection activeCell="B39" sqref="B39"/>
      <pageMargins left="0.75" right="0.75" top="1" bottom="1" header="0.5" footer="0.5"/>
      <pageSetup scale="79" orientation="portrait" r:id="rId1"/>
      <headerFooter alignWithMargins="0"/>
    </customSheetView>
  </customSheetViews>
  <mergeCells count="10">
    <mergeCell ref="B42:H42"/>
    <mergeCell ref="B44:H44"/>
    <mergeCell ref="B26:C26"/>
    <mergeCell ref="B32:C32"/>
    <mergeCell ref="B20:C20"/>
    <mergeCell ref="B21:C21"/>
    <mergeCell ref="B22:C22"/>
    <mergeCell ref="B23:C23"/>
    <mergeCell ref="B24:C24"/>
    <mergeCell ref="B25:C25"/>
  </mergeCells>
  <printOptions horizontalCentered="1"/>
  <pageMargins left="0.7" right="0.7" top="0.75" bottom="0.75" header="0.3" footer="0.3"/>
  <pageSetup scale="96" fitToWidth="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6"/>
  <sheetViews>
    <sheetView topLeftCell="A24" workbookViewId="0">
      <selection activeCell="A4" sqref="A4"/>
    </sheetView>
  </sheetViews>
  <sheetFormatPr defaultColWidth="9.140625" defaultRowHeight="12.75" x14ac:dyDescent="0.2"/>
  <cols>
    <col min="1" max="1" width="28.28515625" customWidth="1"/>
    <col min="2" max="2" width="11.5703125" customWidth="1"/>
    <col min="3" max="3" width="1.28515625" customWidth="1"/>
    <col min="4" max="4" width="12.85546875" customWidth="1"/>
    <col min="5" max="5" width="1.28515625" customWidth="1"/>
    <col min="6" max="6" width="12.85546875" customWidth="1"/>
    <col min="7" max="7" width="1.28515625" customWidth="1"/>
    <col min="8" max="8" width="12.85546875" customWidth="1"/>
    <col min="9" max="9" width="1.28515625" customWidth="1"/>
    <col min="10" max="10" width="12.85546875" customWidth="1"/>
    <col min="11" max="11" width="1.28515625" customWidth="1"/>
    <col min="12" max="12" width="12.85546875" customWidth="1"/>
    <col min="13" max="13" width="1.28515625" customWidth="1"/>
    <col min="14" max="14" width="12.85546875" customWidth="1"/>
    <col min="15" max="15" width="1.28515625" customWidth="1"/>
    <col min="16" max="16" width="12.42578125" customWidth="1"/>
    <col min="18" max="18" width="11.42578125" bestFit="1" customWidth="1"/>
    <col min="19" max="19" width="9.7109375" bestFit="1" customWidth="1"/>
  </cols>
  <sheetData>
    <row r="1" spans="1:21" x14ac:dyDescent="0.2">
      <c r="A1" s="777" t="s">
        <v>136</v>
      </c>
      <c r="B1" s="777"/>
      <c r="C1" s="777"/>
      <c r="D1" s="777"/>
      <c r="E1" s="777"/>
      <c r="F1" s="777"/>
      <c r="G1" s="777"/>
      <c r="H1" s="777"/>
      <c r="I1" s="777"/>
      <c r="J1" s="777"/>
      <c r="K1" s="777"/>
      <c r="L1" s="777"/>
      <c r="M1" s="777"/>
      <c r="N1" s="777"/>
      <c r="O1" s="777"/>
      <c r="P1" s="777"/>
    </row>
    <row r="2" spans="1:21" x14ac:dyDescent="0.2">
      <c r="A2" s="777" t="s">
        <v>417</v>
      </c>
      <c r="B2" s="777"/>
      <c r="C2" s="777"/>
      <c r="D2" s="777"/>
      <c r="E2" s="777"/>
      <c r="F2" s="777"/>
      <c r="G2" s="777"/>
      <c r="H2" s="777"/>
      <c r="I2" s="777"/>
      <c r="J2" s="777"/>
      <c r="K2" s="777"/>
      <c r="L2" s="777"/>
      <c r="M2" s="777"/>
      <c r="N2" s="777"/>
      <c r="O2" s="777"/>
      <c r="P2" s="777"/>
    </row>
    <row r="3" spans="1:21" s="19" customFormat="1" x14ac:dyDescent="0.2">
      <c r="A3" s="781" t="s">
        <v>783</v>
      </c>
      <c r="B3" s="777"/>
      <c r="C3" s="777"/>
      <c r="D3" s="777"/>
      <c r="E3" s="777"/>
      <c r="F3" s="777"/>
      <c r="G3" s="777"/>
      <c r="H3" s="777"/>
      <c r="I3" s="777"/>
      <c r="J3" s="777"/>
      <c r="K3" s="777"/>
      <c r="L3" s="777"/>
      <c r="M3" s="777"/>
      <c r="N3" s="777"/>
      <c r="O3" s="777"/>
      <c r="P3" s="777"/>
    </row>
    <row r="4" spans="1:21" s="19" customFormat="1" x14ac:dyDescent="0.2">
      <c r="A4" s="590"/>
      <c r="B4" s="228"/>
      <c r="C4" s="228"/>
      <c r="D4" s="228"/>
      <c r="E4" s="228"/>
      <c r="F4" s="228"/>
      <c r="G4" s="228"/>
      <c r="H4" s="228"/>
      <c r="I4" s="228"/>
      <c r="J4" s="228"/>
      <c r="K4" s="228"/>
      <c r="L4" s="228"/>
      <c r="M4" s="228"/>
      <c r="N4" s="228"/>
      <c r="O4" s="228"/>
      <c r="P4" s="55" t="s">
        <v>416</v>
      </c>
    </row>
    <row r="5" spans="1:21" ht="13.5" thickBot="1" x14ac:dyDescent="0.25">
      <c r="A5" s="619"/>
      <c r="B5" s="619"/>
      <c r="C5" s="619"/>
      <c r="D5" s="619"/>
      <c r="E5" s="619"/>
      <c r="F5" s="619"/>
      <c r="G5" s="619"/>
      <c r="H5" s="619"/>
      <c r="I5" s="619"/>
      <c r="J5" s="619"/>
      <c r="K5" s="619"/>
      <c r="L5" s="619"/>
      <c r="M5" s="619"/>
      <c r="N5" s="619"/>
      <c r="O5" s="619"/>
      <c r="P5" s="619"/>
    </row>
    <row r="6" spans="1:21" x14ac:dyDescent="0.2">
      <c r="A6" s="101"/>
      <c r="B6" s="101"/>
      <c r="C6" s="101"/>
      <c r="D6" s="779" t="s">
        <v>544</v>
      </c>
      <c r="E6" s="779"/>
      <c r="F6" s="779"/>
      <c r="G6" s="779"/>
      <c r="H6" s="779"/>
      <c r="I6" s="228"/>
      <c r="J6" s="779" t="s">
        <v>620</v>
      </c>
      <c r="K6" s="779"/>
      <c r="L6" s="779"/>
      <c r="M6" s="779"/>
      <c r="N6" s="779"/>
      <c r="O6" s="779"/>
      <c r="P6" s="779"/>
    </row>
    <row r="7" spans="1:21" x14ac:dyDescent="0.2">
      <c r="A7" s="101"/>
      <c r="B7" s="400"/>
      <c r="C7" s="400"/>
      <c r="D7" s="101"/>
      <c r="E7" s="101"/>
      <c r="F7" s="101"/>
      <c r="G7" s="101"/>
      <c r="H7" s="101"/>
      <c r="I7" s="101"/>
      <c r="J7" s="780" t="s">
        <v>418</v>
      </c>
      <c r="K7" s="780"/>
      <c r="L7" s="780"/>
      <c r="M7" s="780"/>
      <c r="N7" s="780"/>
      <c r="O7" s="228"/>
      <c r="P7" s="101"/>
    </row>
    <row r="8" spans="1:21" ht="39.75" customHeight="1" x14ac:dyDescent="0.2">
      <c r="A8" s="240" t="s">
        <v>419</v>
      </c>
      <c r="B8" s="56" t="s">
        <v>9</v>
      </c>
      <c r="C8" s="228"/>
      <c r="D8" s="54" t="s">
        <v>420</v>
      </c>
      <c r="E8" s="594"/>
      <c r="F8" s="54" t="s">
        <v>421</v>
      </c>
      <c r="G8" s="594"/>
      <c r="H8" s="54" t="s">
        <v>422</v>
      </c>
      <c r="I8" s="594"/>
      <c r="J8" s="54" t="s">
        <v>423</v>
      </c>
      <c r="K8" s="594"/>
      <c r="L8" s="54" t="s">
        <v>424</v>
      </c>
      <c r="M8" s="594"/>
      <c r="N8" s="56" t="s">
        <v>1</v>
      </c>
      <c r="O8" s="228"/>
      <c r="P8" s="54" t="s">
        <v>505</v>
      </c>
    </row>
    <row r="9" spans="1:21" x14ac:dyDescent="0.2">
      <c r="A9" s="101" t="s">
        <v>425</v>
      </c>
      <c r="B9" s="101"/>
      <c r="C9" s="101"/>
      <c r="D9" s="101"/>
      <c r="E9" s="101"/>
      <c r="F9" s="101"/>
      <c r="G9" s="101"/>
      <c r="H9" s="101"/>
      <c r="I9" s="101"/>
      <c r="J9" s="101"/>
      <c r="K9" s="101"/>
      <c r="L9" s="101"/>
      <c r="M9" s="101"/>
      <c r="N9" s="101"/>
      <c r="O9" s="101"/>
      <c r="P9" s="101"/>
    </row>
    <row r="10" spans="1:21" x14ac:dyDescent="0.2">
      <c r="A10" t="s">
        <v>426</v>
      </c>
      <c r="R10" s="19"/>
    </row>
    <row r="11" spans="1:21" x14ac:dyDescent="0.2">
      <c r="A11" s="251" t="s">
        <v>10</v>
      </c>
      <c r="B11" s="433">
        <f>'[1]Conversion Worksheet'!$AX$244</f>
        <v>658660</v>
      </c>
      <c r="C11" s="433"/>
      <c r="D11" s="433">
        <f>'[1]Conversion Worksheet'!$AY$202</f>
        <v>33727</v>
      </c>
      <c r="E11" s="433"/>
      <c r="F11" s="419">
        <f>'[1]Conversion Worksheet'!$AY$203</f>
        <v>0</v>
      </c>
      <c r="G11" s="419"/>
      <c r="H11" s="419">
        <f>'[1]Conversion Worksheet'!$AY$204</f>
        <v>0</v>
      </c>
      <c r="I11" s="419"/>
      <c r="J11" s="419">
        <f t="shared" ref="J11:J17" si="0">SUM(D11:H11)-B11</f>
        <v>-624933</v>
      </c>
      <c r="K11" s="419"/>
      <c r="L11" s="419">
        <v>0</v>
      </c>
      <c r="M11" s="419"/>
      <c r="N11" s="419">
        <f t="shared" ref="N11:N17" si="1">SUM(J11:L11)</f>
        <v>-624933</v>
      </c>
      <c r="O11" s="419"/>
      <c r="P11" s="419">
        <v>0</v>
      </c>
      <c r="S11" s="232"/>
      <c r="T11" s="232"/>
    </row>
    <row r="12" spans="1:21" x14ac:dyDescent="0.2">
      <c r="A12" s="251" t="s">
        <v>11</v>
      </c>
      <c r="B12" s="565">
        <f>'[1]Conversion Worksheet'!$AX$254+106458</f>
        <v>1474716</v>
      </c>
      <c r="C12" s="601"/>
      <c r="D12" s="420">
        <f>'[1]Conversion Worksheet'!$AY$207</f>
        <v>16125</v>
      </c>
      <c r="E12" s="420"/>
      <c r="F12" s="420">
        <f>'[1]Conversion Worksheet'!$AY$208</f>
        <v>918786</v>
      </c>
      <c r="G12" s="420"/>
      <c r="H12" s="420">
        <f>'[1]Conversion Worksheet'!$AY$210</f>
        <v>0</v>
      </c>
      <c r="I12" s="420"/>
      <c r="J12" s="748">
        <f t="shared" si="0"/>
        <v>-539805</v>
      </c>
      <c r="K12" s="420"/>
      <c r="L12" s="420">
        <v>0</v>
      </c>
      <c r="M12" s="420"/>
      <c r="N12" s="420">
        <f t="shared" si="1"/>
        <v>-539805</v>
      </c>
      <c r="O12" s="420"/>
      <c r="P12" s="420">
        <v>0</v>
      </c>
      <c r="R12" s="420"/>
      <c r="S12" s="232"/>
      <c r="T12" s="232"/>
    </row>
    <row r="13" spans="1:21" x14ac:dyDescent="0.2">
      <c r="A13" s="251" t="s">
        <v>72</v>
      </c>
      <c r="B13" s="466">
        <f>'[1]Conversion Worksheet'!$AX$264</f>
        <v>515880</v>
      </c>
      <c r="C13" s="466"/>
      <c r="D13" s="420">
        <f>'[1]Conversion Worksheet'!$AY$213</f>
        <v>0</v>
      </c>
      <c r="E13" s="420"/>
      <c r="F13" s="420">
        <f>'[1]Conversion Worksheet'!$AY$214</f>
        <v>132457</v>
      </c>
      <c r="G13" s="420"/>
      <c r="H13" s="420">
        <f>'[1]Conversion Worksheet'!$AY$215</f>
        <v>0</v>
      </c>
      <c r="I13" s="420"/>
      <c r="J13" s="420">
        <f t="shared" si="0"/>
        <v>-383423</v>
      </c>
      <c r="K13" s="420"/>
      <c r="L13" s="420">
        <v>0</v>
      </c>
      <c r="M13" s="420"/>
      <c r="N13" s="420">
        <f t="shared" si="1"/>
        <v>-383423</v>
      </c>
      <c r="O13" s="420"/>
      <c r="P13" s="420">
        <v>0</v>
      </c>
      <c r="R13" s="434"/>
      <c r="S13" s="232"/>
      <c r="T13" s="232"/>
    </row>
    <row r="14" spans="1:21" ht="25.5" x14ac:dyDescent="0.2">
      <c r="A14" s="251" t="s">
        <v>64</v>
      </c>
      <c r="B14" s="420">
        <f>'[1]Conversion Worksheet'!$AX$272</f>
        <v>117218</v>
      </c>
      <c r="C14" s="420"/>
      <c r="D14" s="420">
        <f>'[1]Conversion Worksheet'!$AY$218</f>
        <v>0</v>
      </c>
      <c r="E14" s="420"/>
      <c r="F14" s="420">
        <f>'[1]Conversion Worksheet'!$AY$219</f>
        <v>88402</v>
      </c>
      <c r="G14" s="420"/>
      <c r="H14" s="420">
        <f>'[1]Conversion Worksheet'!$AY$220</f>
        <v>26598</v>
      </c>
      <c r="I14" s="420"/>
      <c r="J14" s="420">
        <f t="shared" si="0"/>
        <v>-2218</v>
      </c>
      <c r="K14" s="420"/>
      <c r="L14" s="420">
        <v>0</v>
      </c>
      <c r="M14" s="420"/>
      <c r="N14" s="420">
        <f t="shared" si="1"/>
        <v>-2218</v>
      </c>
      <c r="O14" s="420"/>
      <c r="P14" s="420">
        <v>0</v>
      </c>
      <c r="S14" s="232"/>
      <c r="T14" s="232"/>
    </row>
    <row r="15" spans="1:21" ht="18" customHeight="1" x14ac:dyDescent="0.2">
      <c r="A15" s="251" t="s">
        <v>73</v>
      </c>
      <c r="B15" s="466">
        <f>'[1]Conversion Worksheet'!$AX$280</f>
        <v>280111</v>
      </c>
      <c r="C15" s="466"/>
      <c r="D15" s="420">
        <f>'[1]Conversion Worksheet'!$AY$223</f>
        <v>0</v>
      </c>
      <c r="E15" s="420"/>
      <c r="F15" s="420">
        <f>'[1]Conversion Worksheet'!$AY$224</f>
        <v>3000</v>
      </c>
      <c r="G15" s="420"/>
      <c r="H15" s="420">
        <f>'[1]Conversion Worksheet'!$AY$225</f>
        <v>0</v>
      </c>
      <c r="I15" s="420"/>
      <c r="J15" s="420">
        <f t="shared" si="0"/>
        <v>-277111</v>
      </c>
      <c r="K15" s="420"/>
      <c r="L15" s="420">
        <v>0</v>
      </c>
      <c r="M15" s="420"/>
      <c r="N15" s="420">
        <f t="shared" si="1"/>
        <v>-277111</v>
      </c>
      <c r="O15" s="420"/>
      <c r="P15" s="420">
        <v>0</v>
      </c>
      <c r="S15" s="232"/>
      <c r="T15" s="232"/>
    </row>
    <row r="16" spans="1:21" x14ac:dyDescent="0.2">
      <c r="A16" s="251" t="s">
        <v>129</v>
      </c>
      <c r="B16" s="466">
        <f>'[1]Conversion Worksheet'!$AX$288</f>
        <v>78989</v>
      </c>
      <c r="C16" s="466"/>
      <c r="D16" s="420">
        <f>'[1]Conversion Worksheet'!$AY$228</f>
        <v>26843</v>
      </c>
      <c r="E16" s="420"/>
      <c r="F16" s="420">
        <f>'[1]Conversion Worksheet'!$AY$229</f>
        <v>412</v>
      </c>
      <c r="G16" s="420"/>
      <c r="H16" s="420">
        <f>'[1]Conversion Worksheet'!$AY$230</f>
        <v>205000</v>
      </c>
      <c r="I16" s="420"/>
      <c r="J16" s="420">
        <f t="shared" si="0"/>
        <v>153266</v>
      </c>
      <c r="K16" s="420"/>
      <c r="L16" s="420">
        <v>0</v>
      </c>
      <c r="M16" s="420"/>
      <c r="N16" s="420">
        <f t="shared" si="1"/>
        <v>153266</v>
      </c>
      <c r="O16" s="420"/>
      <c r="P16" s="420">
        <v>0</v>
      </c>
      <c r="S16" s="232"/>
      <c r="T16" s="232"/>
      <c r="U16" s="232"/>
    </row>
    <row r="17" spans="1:20" x14ac:dyDescent="0.2">
      <c r="A17" s="251" t="s">
        <v>427</v>
      </c>
      <c r="B17" s="512">
        <f>'[1]Conversion Worksheet'!$AX$317</f>
        <v>8818</v>
      </c>
      <c r="C17" s="511"/>
      <c r="D17" s="425">
        <v>0</v>
      </c>
      <c r="E17" s="422"/>
      <c r="F17" s="425">
        <v>0</v>
      </c>
      <c r="G17" s="422"/>
      <c r="H17" s="425">
        <v>0</v>
      </c>
      <c r="I17" s="422"/>
      <c r="J17" s="425">
        <f t="shared" si="0"/>
        <v>-8818</v>
      </c>
      <c r="K17" s="422"/>
      <c r="L17" s="425">
        <v>0</v>
      </c>
      <c r="M17" s="422"/>
      <c r="N17" s="425">
        <f t="shared" si="1"/>
        <v>-8818</v>
      </c>
      <c r="O17" s="422"/>
      <c r="P17" s="425">
        <v>0</v>
      </c>
      <c r="S17" s="232"/>
      <c r="T17" s="232"/>
    </row>
    <row r="18" spans="1:20" x14ac:dyDescent="0.2">
      <c r="A18" s="746" t="s">
        <v>867</v>
      </c>
      <c r="B18" s="747">
        <f>SUM(B11:B17)</f>
        <v>3134392</v>
      </c>
      <c r="C18" s="422"/>
      <c r="D18" s="424">
        <f>SUM(D11:D17)</f>
        <v>76695</v>
      </c>
      <c r="E18" s="422"/>
      <c r="F18" s="424">
        <f>SUM(F11:F17)</f>
        <v>1143057</v>
      </c>
      <c r="G18" s="422"/>
      <c r="H18" s="424">
        <f>SUM(H11:H17)</f>
        <v>231598</v>
      </c>
      <c r="I18" s="422"/>
      <c r="J18" s="747">
        <f t="shared" ref="J18" si="2">SUM(D18:H18)-B18</f>
        <v>-1683042</v>
      </c>
      <c r="K18" s="422"/>
      <c r="L18" s="424">
        <v>0</v>
      </c>
      <c r="M18" s="422"/>
      <c r="N18" s="424">
        <f t="shared" ref="N18" si="3">SUM(J18:L18)</f>
        <v>-1683042</v>
      </c>
      <c r="O18" s="422"/>
      <c r="P18" s="424">
        <v>0</v>
      </c>
      <c r="S18" s="232"/>
    </row>
    <row r="19" spans="1:20" x14ac:dyDescent="0.2">
      <c r="F19" s="422"/>
      <c r="G19" s="422"/>
    </row>
    <row r="20" spans="1:20" x14ac:dyDescent="0.2">
      <c r="A20" t="s">
        <v>428</v>
      </c>
    </row>
    <row r="21" spans="1:20" x14ac:dyDescent="0.2">
      <c r="A21" s="33" t="s">
        <v>441</v>
      </c>
      <c r="B21" s="421">
        <f>'7-Rev, Exp-Prop'!D24+78979+10000-208</f>
        <v>1265748.5</v>
      </c>
      <c r="C21" s="423"/>
      <c r="D21" s="421">
        <f>1116554+12100+415000+12830</f>
        <v>1556484</v>
      </c>
      <c r="E21" s="423"/>
      <c r="F21" s="420">
        <f>12730-12100</f>
        <v>630</v>
      </c>
      <c r="G21" s="422"/>
      <c r="H21" s="420">
        <v>127948</v>
      </c>
      <c r="I21" s="422"/>
      <c r="J21" s="420">
        <v>0</v>
      </c>
      <c r="K21" s="422"/>
      <c r="L21" s="462">
        <f>SUM(D21:H21)-B21-0.01</f>
        <v>419313.49</v>
      </c>
      <c r="M21" s="600"/>
      <c r="N21" s="420">
        <f>SUM(J21:L21)</f>
        <v>419313.49</v>
      </c>
      <c r="O21" s="422"/>
      <c r="P21" s="422">
        <v>0</v>
      </c>
    </row>
    <row r="22" spans="1:20" x14ac:dyDescent="0.2">
      <c r="A22" s="33" t="s">
        <v>382</v>
      </c>
      <c r="B22" s="524">
        <f>'7-Rev, Exp-Prop'!B24-92</f>
        <v>2844737.625</v>
      </c>
      <c r="C22" s="599"/>
      <c r="D22" s="425">
        <v>2821645</v>
      </c>
      <c r="E22" s="422"/>
      <c r="F22" s="425">
        <v>11524</v>
      </c>
      <c r="G22" s="422"/>
      <c r="H22" s="425">
        <v>0</v>
      </c>
      <c r="I22" s="422"/>
      <c r="J22" s="425">
        <v>0</v>
      </c>
      <c r="K22" s="422"/>
      <c r="L22" s="425">
        <f>SUM(D22:H22)-B22</f>
        <v>-11568.625</v>
      </c>
      <c r="M22" s="422"/>
      <c r="N22" s="425">
        <f>SUM(J22:L22)</f>
        <v>-11568.625</v>
      </c>
      <c r="O22" s="422"/>
      <c r="P22" s="422">
        <v>0</v>
      </c>
    </row>
    <row r="23" spans="1:20" x14ac:dyDescent="0.2">
      <c r="A23" s="4" t="s">
        <v>429</v>
      </c>
      <c r="B23" s="424">
        <f>SUM(B21:B22)+0.38</f>
        <v>4110486.5049999999</v>
      </c>
      <c r="C23" s="422"/>
      <c r="D23" s="424">
        <f t="shared" ref="D23:N23" si="4">SUM(D21:D22)</f>
        <v>4378129</v>
      </c>
      <c r="E23" s="422"/>
      <c r="F23" s="424">
        <f t="shared" si="4"/>
        <v>12154</v>
      </c>
      <c r="G23" s="422"/>
      <c r="H23" s="424">
        <f t="shared" si="4"/>
        <v>127948</v>
      </c>
      <c r="I23" s="422"/>
      <c r="J23" s="424">
        <f t="shared" si="4"/>
        <v>0</v>
      </c>
      <c r="K23" s="422"/>
      <c r="L23" s="424">
        <f>SUM(L21:L22)-0.38</f>
        <v>407744.48499999999</v>
      </c>
      <c r="M23" s="422"/>
      <c r="N23" s="424">
        <f t="shared" si="4"/>
        <v>407744.86499999999</v>
      </c>
      <c r="O23" s="422"/>
      <c r="P23" s="422">
        <v>0</v>
      </c>
    </row>
    <row r="24" spans="1:20" ht="13.5" thickBot="1" x14ac:dyDescent="0.25">
      <c r="A24" t="s">
        <v>430</v>
      </c>
      <c r="B24" s="283">
        <f t="shared" ref="B24:N24" si="5">+B18+B23</f>
        <v>7244878.5049999999</v>
      </c>
      <c r="C24" s="443"/>
      <c r="D24" s="283">
        <f t="shared" si="5"/>
        <v>4454824</v>
      </c>
      <c r="E24" s="443"/>
      <c r="F24" s="283">
        <f t="shared" si="5"/>
        <v>1155211</v>
      </c>
      <c r="G24" s="443"/>
      <c r="H24" s="283">
        <f t="shared" si="5"/>
        <v>359546</v>
      </c>
      <c r="I24" s="443"/>
      <c r="J24" s="747">
        <f t="shared" si="5"/>
        <v>-1683042</v>
      </c>
      <c r="K24" s="422"/>
      <c r="L24" s="424">
        <f t="shared" si="5"/>
        <v>407744.48499999999</v>
      </c>
      <c r="M24" s="422"/>
      <c r="N24" s="424">
        <f t="shared" si="5"/>
        <v>-1275297.135</v>
      </c>
      <c r="O24" s="422"/>
      <c r="P24" s="435">
        <v>0</v>
      </c>
    </row>
    <row r="25" spans="1:20" ht="13.5" thickTop="1" x14ac:dyDescent="0.2">
      <c r="S25" s="19"/>
    </row>
    <row r="26" spans="1:20" x14ac:dyDescent="0.2">
      <c r="A26" t="s">
        <v>506</v>
      </c>
    </row>
    <row r="27" spans="1:20" x14ac:dyDescent="0.2">
      <c r="A27" s="33" t="s">
        <v>442</v>
      </c>
      <c r="B27" s="433">
        <f>851707+14540+4283+4146+(-140+121-3773+4162)+(397-208-4080-51+2379+3998)-369</f>
        <v>877112</v>
      </c>
      <c r="C27" s="444"/>
      <c r="D27" s="419">
        <v>875074</v>
      </c>
      <c r="E27" s="443"/>
      <c r="F27" s="419">
        <v>0</v>
      </c>
      <c r="G27" s="443"/>
      <c r="H27" s="419">
        <v>0</v>
      </c>
      <c r="I27" s="443"/>
      <c r="J27" s="420">
        <v>0</v>
      </c>
      <c r="K27" s="422"/>
      <c r="L27" s="420">
        <v>0</v>
      </c>
      <c r="M27" s="422"/>
      <c r="N27" s="420">
        <v>0</v>
      </c>
      <c r="O27" s="422"/>
      <c r="P27" s="436">
        <f>SUM(D27:H27)-B27</f>
        <v>-2038</v>
      </c>
    </row>
    <row r="28" spans="1:20" ht="13.5" thickBot="1" x14ac:dyDescent="0.25">
      <c r="A28" t="s">
        <v>507</v>
      </c>
      <c r="B28" s="283">
        <f t="shared" ref="B28:P28" si="6">SUM(B27:B27)</f>
        <v>877112</v>
      </c>
      <c r="C28" s="443"/>
      <c r="D28" s="283">
        <f t="shared" si="6"/>
        <v>875074</v>
      </c>
      <c r="E28" s="443"/>
      <c r="F28" s="283">
        <f t="shared" si="6"/>
        <v>0</v>
      </c>
      <c r="G28" s="443"/>
      <c r="H28" s="283">
        <f t="shared" si="6"/>
        <v>0</v>
      </c>
      <c r="I28" s="443"/>
      <c r="J28" s="437">
        <f t="shared" si="6"/>
        <v>0</v>
      </c>
      <c r="K28" s="443"/>
      <c r="L28" s="437">
        <f t="shared" si="6"/>
        <v>0</v>
      </c>
      <c r="M28" s="443"/>
      <c r="N28" s="437">
        <f t="shared" si="6"/>
        <v>0</v>
      </c>
      <c r="O28" s="443"/>
      <c r="P28" s="424">
        <f t="shared" si="6"/>
        <v>-2038</v>
      </c>
    </row>
    <row r="29" spans="1:20" ht="13.5" thickTop="1" x14ac:dyDescent="0.2">
      <c r="S29" s="19"/>
    </row>
    <row r="30" spans="1:20" x14ac:dyDescent="0.2">
      <c r="B30" t="s">
        <v>431</v>
      </c>
    </row>
    <row r="31" spans="1:20" x14ac:dyDescent="0.2">
      <c r="B31" s="33" t="s">
        <v>212</v>
      </c>
      <c r="C31" s="33"/>
      <c r="J31" s="420"/>
      <c r="K31" s="420"/>
      <c r="L31" s="420"/>
      <c r="M31" s="420"/>
      <c r="N31" s="420"/>
      <c r="O31" s="420"/>
      <c r="P31" s="420"/>
    </row>
    <row r="32" spans="1:20" x14ac:dyDescent="0.2">
      <c r="B32" s="4" t="s">
        <v>432</v>
      </c>
      <c r="C32" s="4"/>
      <c r="J32" s="420">
        <v>968186</v>
      </c>
      <c r="K32" s="420"/>
      <c r="L32" s="420">
        <v>0</v>
      </c>
      <c r="M32" s="420"/>
      <c r="N32" s="420">
        <f t="shared" ref="N32:N39" si="7">SUM(J32:L32)</f>
        <v>968186</v>
      </c>
      <c r="O32" s="420"/>
      <c r="P32" s="420">
        <v>0</v>
      </c>
      <c r="R32" s="30"/>
    </row>
    <row r="33" spans="1:16" x14ac:dyDescent="0.2">
      <c r="B33" s="4" t="s">
        <v>449</v>
      </c>
      <c r="C33" s="4"/>
      <c r="J33" s="421">
        <f>53314-29187</f>
        <v>24127</v>
      </c>
      <c r="K33" s="421"/>
      <c r="L33" s="420">
        <v>0</v>
      </c>
      <c r="M33" s="420"/>
      <c r="N33" s="420">
        <f t="shared" si="7"/>
        <v>24127</v>
      </c>
      <c r="O33" s="420"/>
      <c r="P33" s="420">
        <v>0</v>
      </c>
    </row>
    <row r="34" spans="1:16" x14ac:dyDescent="0.2">
      <c r="B34" s="33" t="s">
        <v>433</v>
      </c>
      <c r="C34" s="33"/>
      <c r="J34" s="421">
        <f>702269+216639</f>
        <v>918908</v>
      </c>
      <c r="K34" s="421"/>
      <c r="L34" s="420">
        <v>0</v>
      </c>
      <c r="M34" s="420"/>
      <c r="N34" s="420">
        <f t="shared" si="7"/>
        <v>918908</v>
      </c>
      <c r="O34" s="420"/>
      <c r="P34" s="420">
        <v>0</v>
      </c>
    </row>
    <row r="35" spans="1:16" x14ac:dyDescent="0.2">
      <c r="B35" s="33" t="s">
        <v>434</v>
      </c>
      <c r="C35" s="33"/>
      <c r="J35" s="421">
        <f>24504+152</f>
        <v>24656</v>
      </c>
      <c r="K35" s="421"/>
      <c r="L35" s="420">
        <f>'7-Rev, Exp-Prop'!F30</f>
        <v>40218</v>
      </c>
      <c r="M35" s="420"/>
      <c r="N35" s="420">
        <f t="shared" si="7"/>
        <v>64874</v>
      </c>
      <c r="O35" s="420"/>
      <c r="P35" s="420">
        <v>1226</v>
      </c>
    </row>
    <row r="36" spans="1:16" x14ac:dyDescent="0.2">
      <c r="B36" s="33" t="s">
        <v>13</v>
      </c>
      <c r="C36" s="33"/>
      <c r="J36" s="510">
        <f>73438+398</f>
        <v>73836</v>
      </c>
      <c r="K36" s="510"/>
      <c r="L36" s="420">
        <v>0</v>
      </c>
      <c r="M36" s="420"/>
      <c r="N36" s="420">
        <f t="shared" si="7"/>
        <v>73836</v>
      </c>
      <c r="O36" s="420"/>
      <c r="P36" s="420">
        <v>0</v>
      </c>
    </row>
    <row r="37" spans="1:16" x14ac:dyDescent="0.2">
      <c r="A37" s="30"/>
      <c r="B37" s="44" t="s">
        <v>511</v>
      </c>
      <c r="C37" s="44"/>
      <c r="J37" s="420">
        <v>0</v>
      </c>
      <c r="K37" s="422"/>
      <c r="L37" s="420">
        <v>1281046</v>
      </c>
      <c r="M37" s="422"/>
      <c r="N37" s="420">
        <f t="shared" si="7"/>
        <v>1281046</v>
      </c>
      <c r="O37" s="422"/>
      <c r="P37" s="420">
        <v>0</v>
      </c>
    </row>
    <row r="38" spans="1:16" x14ac:dyDescent="0.2">
      <c r="B38" s="44" t="s">
        <v>556</v>
      </c>
      <c r="C38" s="44"/>
      <c r="J38" s="424">
        <f>SUM(J32:J37)</f>
        <v>2009713</v>
      </c>
      <c r="K38" s="422"/>
      <c r="L38" s="424">
        <f>SUM(L32:L37)</f>
        <v>1321264</v>
      </c>
      <c r="M38" s="422"/>
      <c r="N38" s="424">
        <f>SUM(N32:N37)</f>
        <v>3330977</v>
      </c>
      <c r="O38" s="422"/>
      <c r="P38" s="424">
        <f>SUM(P32:P37)</f>
        <v>1226</v>
      </c>
    </row>
    <row r="39" spans="1:16" x14ac:dyDescent="0.2">
      <c r="B39" t="s">
        <v>376</v>
      </c>
      <c r="J39" s="425">
        <f>-97400+10813</f>
        <v>-86587</v>
      </c>
      <c r="K39" s="422"/>
      <c r="L39" s="425">
        <v>86587</v>
      </c>
      <c r="M39" s="422"/>
      <c r="N39" s="425">
        <f t="shared" si="7"/>
        <v>0</v>
      </c>
      <c r="O39" s="422"/>
      <c r="P39" s="425">
        <v>0</v>
      </c>
    </row>
    <row r="40" spans="1:16" x14ac:dyDescent="0.2">
      <c r="A40" s="30"/>
      <c r="B40" s="32" t="s">
        <v>504</v>
      </c>
      <c r="C40" s="32"/>
      <c r="J40" s="429">
        <f>SUM(J32:J37,J39)</f>
        <v>1923126</v>
      </c>
      <c r="K40" s="423"/>
      <c r="L40" s="424">
        <f>SUM(L32:L37,L39)</f>
        <v>1407851</v>
      </c>
      <c r="M40" s="422"/>
      <c r="N40" s="424">
        <f>SUM(N32:N37,N39)</f>
        <v>3330977</v>
      </c>
      <c r="O40" s="422"/>
      <c r="P40" s="424">
        <f>SUM(P32:P37,P39)</f>
        <v>1226</v>
      </c>
    </row>
    <row r="41" spans="1:16" x14ac:dyDescent="0.2">
      <c r="A41" s="267"/>
      <c r="B41" s="311" t="s">
        <v>600</v>
      </c>
      <c r="C41" s="311"/>
      <c r="D41" s="19"/>
      <c r="E41" s="19"/>
      <c r="J41" s="421">
        <f>SUM(J40+J24)</f>
        <v>240084</v>
      </c>
      <c r="K41" s="423"/>
      <c r="L41" s="421">
        <f>SUM(L40+L24)</f>
        <v>1815595.4849999999</v>
      </c>
      <c r="M41" s="423"/>
      <c r="N41" s="420">
        <f>SUM(N40+N24)-2</f>
        <v>2055677.865</v>
      </c>
      <c r="O41" s="422"/>
      <c r="P41" s="420">
        <f>+P28+P40</f>
        <v>-812</v>
      </c>
    </row>
    <row r="42" spans="1:16" s="293" customFormat="1" x14ac:dyDescent="0.2">
      <c r="A42" s="267"/>
      <c r="B42" s="634" t="s">
        <v>870</v>
      </c>
      <c r="C42" s="541"/>
      <c r="D42" s="541"/>
      <c r="E42" s="541"/>
      <c r="F42" s="739"/>
      <c r="G42" s="749"/>
      <c r="H42" s="749"/>
      <c r="I42" s="749"/>
      <c r="J42" s="509">
        <v>3425564</v>
      </c>
      <c r="K42" s="602"/>
      <c r="L42" s="509">
        <v>8763993</v>
      </c>
      <c r="M42" s="602"/>
      <c r="N42" s="509">
        <f>SUM(J42:L42)+1</f>
        <v>12189558</v>
      </c>
      <c r="O42" s="423"/>
      <c r="P42" s="423">
        <v>184887</v>
      </c>
    </row>
    <row r="43" spans="1:16" s="293" customFormat="1" x14ac:dyDescent="0.2">
      <c r="A43" s="267"/>
      <c r="B43" s="687" t="s">
        <v>863</v>
      </c>
      <c r="C43" s="687"/>
      <c r="D43" s="541"/>
      <c r="E43" s="541"/>
      <c r="F43" s="739"/>
      <c r="G43" s="749"/>
      <c r="H43" s="749"/>
      <c r="I43" s="749"/>
      <c r="J43" s="740">
        <v>-43001</v>
      </c>
      <c r="K43" s="602"/>
      <c r="L43" s="740">
        <v>-22339</v>
      </c>
      <c r="M43" s="602"/>
      <c r="N43" s="740">
        <f>+J43+L43</f>
        <v>-65340</v>
      </c>
      <c r="O43" s="423"/>
      <c r="P43" s="431">
        <v>0</v>
      </c>
    </row>
    <row r="44" spans="1:16" s="293" customFormat="1" x14ac:dyDescent="0.2">
      <c r="A44" s="267"/>
      <c r="B44" s="634" t="s">
        <v>876</v>
      </c>
      <c r="C44" s="541"/>
      <c r="D44" s="541"/>
      <c r="E44" s="541"/>
      <c r="F44" s="739"/>
      <c r="G44" s="749"/>
      <c r="H44" s="749"/>
      <c r="I44" s="749"/>
      <c r="J44" s="509">
        <f>+J42+J43</f>
        <v>3382563</v>
      </c>
      <c r="K44" s="602"/>
      <c r="L44" s="509">
        <f>+L42+L43</f>
        <v>8741654</v>
      </c>
      <c r="M44" s="602"/>
      <c r="N44" s="509">
        <f>SUM(J44:L44)+1</f>
        <v>12124218</v>
      </c>
      <c r="O44" s="423"/>
      <c r="P44" s="423">
        <f>SUM(P42:P43)</f>
        <v>184887</v>
      </c>
    </row>
    <row r="45" spans="1:16" s="293" customFormat="1" ht="13.5" thickBot="1" x14ac:dyDescent="0.25">
      <c r="A45" s="402"/>
      <c r="B45" s="582" t="s">
        <v>871</v>
      </c>
      <c r="C45" s="19"/>
      <c r="D45" s="19"/>
      <c r="E45" s="19"/>
      <c r="J45" s="432">
        <f>+J41+J44</f>
        <v>3622647</v>
      </c>
      <c r="K45" s="444"/>
      <c r="L45" s="432">
        <f>+L41+L44</f>
        <v>10557249.484999999</v>
      </c>
      <c r="M45" s="444"/>
      <c r="N45" s="432">
        <f>+N41+N44</f>
        <v>14179895.865</v>
      </c>
      <c r="O45" s="444"/>
      <c r="P45" s="432">
        <f>P41+P44</f>
        <v>184075</v>
      </c>
    </row>
    <row r="46" spans="1:16" ht="13.5" thickTop="1" x14ac:dyDescent="0.2">
      <c r="A46" s="232"/>
      <c r="B46" s="401"/>
      <c r="C46" s="401"/>
    </row>
    <row r="47" spans="1:16" x14ac:dyDescent="0.2">
      <c r="A47" s="232"/>
      <c r="J47" s="232"/>
      <c r="K47" s="232"/>
      <c r="L47" s="232"/>
      <c r="M47" s="232"/>
      <c r="N47" s="232"/>
      <c r="O47" s="232"/>
    </row>
    <row r="48" spans="1:16" x14ac:dyDescent="0.2">
      <c r="A48" t="s">
        <v>8</v>
      </c>
      <c r="J48" s="30"/>
      <c r="K48" s="30"/>
      <c r="L48" s="30"/>
      <c r="N48" s="30"/>
    </row>
    <row r="49" spans="1:16" x14ac:dyDescent="0.2">
      <c r="J49" s="30"/>
      <c r="K49" s="30"/>
      <c r="L49" s="30"/>
      <c r="M49" s="232"/>
      <c r="N49" s="30"/>
    </row>
    <row r="51" spans="1:16" x14ac:dyDescent="0.2">
      <c r="H51" s="237"/>
      <c r="I51" s="237"/>
      <c r="J51" s="481"/>
      <c r="K51" s="481"/>
      <c r="L51" s="481"/>
      <c r="M51" s="481"/>
      <c r="N51" s="481"/>
      <c r="O51" s="481"/>
      <c r="P51" s="481"/>
    </row>
    <row r="52" spans="1:16" x14ac:dyDescent="0.2">
      <c r="J52" s="30"/>
      <c r="L52" s="30"/>
      <c r="N52" s="30"/>
    </row>
    <row r="53" spans="1:16" x14ac:dyDescent="0.2">
      <c r="A53" s="19"/>
      <c r="B53" s="19"/>
      <c r="C53" s="19"/>
      <c r="J53" s="30"/>
      <c r="K53" s="30"/>
    </row>
    <row r="54" spans="1:16" x14ac:dyDescent="0.2">
      <c r="A54" s="19"/>
    </row>
    <row r="55" spans="1:16" x14ac:dyDescent="0.2">
      <c r="A55" s="19"/>
    </row>
    <row r="56" spans="1:16" x14ac:dyDescent="0.2">
      <c r="A56" s="19"/>
    </row>
  </sheetData>
  <mergeCells count="6">
    <mergeCell ref="J7:N7"/>
    <mergeCell ref="A1:P1"/>
    <mergeCell ref="A2:P2"/>
    <mergeCell ref="A3:P3"/>
    <mergeCell ref="D6:H6"/>
    <mergeCell ref="J6:P6"/>
  </mergeCells>
  <printOptions horizontalCentered="1"/>
  <pageMargins left="0.7" right="0.7" top="0.75" bottom="0.75" header="0.3" footer="0.3"/>
  <pageSetup scale="77"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FF00"/>
    <pageSetUpPr fitToPage="1"/>
  </sheetPr>
  <dimension ref="A1:M45"/>
  <sheetViews>
    <sheetView topLeftCell="A27" workbookViewId="0">
      <selection activeCell="D7" sqref="D7"/>
    </sheetView>
  </sheetViews>
  <sheetFormatPr defaultColWidth="9.140625" defaultRowHeight="12.75" x14ac:dyDescent="0.2"/>
  <cols>
    <col min="1" max="3" width="2.42578125" customWidth="1"/>
    <col min="4" max="4" width="22" customWidth="1"/>
    <col min="5" max="5" width="12.28515625" customWidth="1"/>
    <col min="6" max="6" width="1.5703125" customWidth="1"/>
    <col min="7" max="7" width="10.140625" customWidth="1"/>
    <col min="8" max="8" width="1.5703125" customWidth="1"/>
    <col min="9" max="9" width="9.85546875" customWidth="1"/>
    <col min="10" max="10" width="1.5703125" customWidth="1"/>
    <col min="11" max="11" width="9.85546875" customWidth="1"/>
    <col min="12" max="12" width="1.5703125" customWidth="1"/>
    <col min="13" max="13" width="8.7109375" customWidth="1"/>
  </cols>
  <sheetData>
    <row r="1" spans="1:13" s="101" customFormat="1" x14ac:dyDescent="0.2">
      <c r="A1" s="11" t="s">
        <v>136</v>
      </c>
      <c r="B1" s="11"/>
      <c r="C1" s="11"/>
      <c r="D1" s="11"/>
      <c r="E1" s="11"/>
      <c r="F1" s="11"/>
      <c r="G1" s="11"/>
      <c r="H1" s="11"/>
      <c r="I1" s="11"/>
      <c r="J1" s="11"/>
      <c r="K1" s="11"/>
      <c r="L1" s="11"/>
      <c r="M1" s="11"/>
    </row>
    <row r="2" spans="1:13" s="101" customFormat="1" x14ac:dyDescent="0.2">
      <c r="A2" s="11" t="s">
        <v>244</v>
      </c>
      <c r="B2" s="11"/>
      <c r="C2" s="11"/>
      <c r="D2" s="11"/>
      <c r="E2" s="11"/>
      <c r="F2" s="11"/>
      <c r="G2" s="11"/>
      <c r="H2" s="11"/>
      <c r="I2" s="11"/>
      <c r="J2" s="11"/>
      <c r="K2" s="11"/>
      <c r="L2" s="11"/>
      <c r="M2" s="11"/>
    </row>
    <row r="3" spans="1:13" s="101" customFormat="1" x14ac:dyDescent="0.2">
      <c r="A3" s="11" t="s">
        <v>465</v>
      </c>
      <c r="B3" s="11"/>
      <c r="C3" s="11"/>
      <c r="D3" s="11"/>
      <c r="E3" s="11"/>
      <c r="F3" s="11"/>
      <c r="G3" s="11"/>
      <c r="H3" s="11"/>
      <c r="I3" s="11"/>
      <c r="J3" s="11"/>
      <c r="K3" s="11"/>
      <c r="L3" s="11"/>
      <c r="M3" s="11"/>
    </row>
    <row r="4" spans="1:13" s="101" customFormat="1" x14ac:dyDescent="0.2">
      <c r="A4" s="11" t="s">
        <v>165</v>
      </c>
      <c r="B4" s="11"/>
      <c r="C4" s="11"/>
      <c r="D4" s="11"/>
      <c r="E4" s="11"/>
      <c r="F4" s="11"/>
      <c r="G4" s="11"/>
      <c r="H4" s="11"/>
      <c r="I4" s="11"/>
      <c r="J4" s="11"/>
      <c r="K4" s="11"/>
      <c r="L4" s="11"/>
      <c r="M4" s="11"/>
    </row>
    <row r="5" spans="1:13" s="101" customFormat="1" x14ac:dyDescent="0.2">
      <c r="A5" s="11" t="str">
        <f>'Bud-ActNon-MajorGovt'!A5</f>
        <v>From Inception and For the Fiscal Year Ended June 30, 2025</v>
      </c>
      <c r="B5" s="11"/>
      <c r="C5" s="11"/>
      <c r="D5" s="11"/>
      <c r="E5" s="11"/>
      <c r="F5" s="11"/>
      <c r="G5" s="11"/>
      <c r="H5" s="11"/>
      <c r="I5" s="11"/>
      <c r="J5" s="11"/>
      <c r="K5" s="11"/>
      <c r="L5" s="11"/>
      <c r="M5" s="11"/>
    </row>
    <row r="6" spans="1:13" s="101" customFormat="1" x14ac:dyDescent="0.2">
      <c r="A6" s="11"/>
      <c r="B6" s="11"/>
      <c r="C6" s="11"/>
      <c r="D6" s="11"/>
      <c r="E6" s="11"/>
      <c r="F6" s="11"/>
      <c r="G6" s="11"/>
      <c r="H6" s="11"/>
      <c r="I6" s="11"/>
      <c r="J6" s="11"/>
      <c r="K6" s="11"/>
      <c r="L6" s="11"/>
      <c r="M6" s="11"/>
    </row>
    <row r="7" spans="1:13" s="101" customFormat="1" x14ac:dyDescent="0.2">
      <c r="A7" s="11"/>
      <c r="B7" s="11"/>
      <c r="C7" s="11"/>
      <c r="D7" s="11"/>
      <c r="E7" s="11"/>
      <c r="F7" s="11"/>
      <c r="G7" s="11"/>
      <c r="H7" s="11"/>
      <c r="I7" s="11"/>
      <c r="J7" s="11"/>
      <c r="K7" s="11"/>
      <c r="L7" s="11"/>
      <c r="M7" s="11"/>
    </row>
    <row r="8" spans="1:13" ht="13.5" thickBot="1" x14ac:dyDescent="0.25">
      <c r="A8" s="199"/>
      <c r="B8" s="199"/>
      <c r="C8" s="199"/>
      <c r="D8" s="199"/>
      <c r="E8" s="199"/>
      <c r="F8" s="199"/>
      <c r="G8" s="199"/>
      <c r="H8" s="199"/>
      <c r="I8" s="199"/>
      <c r="J8" s="199"/>
      <c r="K8" s="199"/>
      <c r="L8" s="199"/>
      <c r="M8" s="199"/>
    </row>
    <row r="9" spans="1:13" x14ac:dyDescent="0.2">
      <c r="A9" s="14"/>
      <c r="B9" s="14"/>
      <c r="C9" s="14"/>
      <c r="D9" s="14"/>
      <c r="F9" s="14"/>
      <c r="G9" s="200" t="s">
        <v>167</v>
      </c>
      <c r="H9" s="200"/>
      <c r="I9" s="200"/>
      <c r="J9" s="200"/>
      <c r="K9" s="200"/>
      <c r="L9" s="14"/>
      <c r="M9" s="12" t="s">
        <v>168</v>
      </c>
    </row>
    <row r="10" spans="1:13" x14ac:dyDescent="0.2">
      <c r="A10" s="14"/>
      <c r="B10" s="14"/>
      <c r="C10" s="14"/>
      <c r="D10" s="14"/>
      <c r="E10" s="12" t="s">
        <v>166</v>
      </c>
      <c r="F10" s="14"/>
      <c r="G10" s="12" t="s">
        <v>169</v>
      </c>
      <c r="H10" s="14"/>
      <c r="I10" s="12" t="s">
        <v>170</v>
      </c>
      <c r="J10" s="14"/>
      <c r="K10" s="12" t="s">
        <v>171</v>
      </c>
      <c r="L10" s="14"/>
      <c r="M10" s="675" t="s">
        <v>831</v>
      </c>
    </row>
    <row r="11" spans="1:13" x14ac:dyDescent="0.2">
      <c r="A11" s="14"/>
      <c r="B11" s="14" t="s">
        <v>172</v>
      </c>
      <c r="C11" s="14"/>
      <c r="D11" s="14"/>
      <c r="E11" s="701" t="s">
        <v>778</v>
      </c>
      <c r="F11" s="14"/>
      <c r="G11" s="13" t="s">
        <v>174</v>
      </c>
      <c r="H11" s="14"/>
      <c r="I11" s="13" t="s">
        <v>174</v>
      </c>
      <c r="J11" s="14"/>
      <c r="K11" s="13" t="s">
        <v>156</v>
      </c>
      <c r="L11" s="14"/>
      <c r="M11" s="676" t="s">
        <v>832</v>
      </c>
    </row>
    <row r="12" spans="1:13" x14ac:dyDescent="0.2">
      <c r="A12" s="201" t="s">
        <v>127</v>
      </c>
      <c r="B12" s="14"/>
      <c r="D12" s="14"/>
      <c r="E12" s="14"/>
      <c r="F12" s="14"/>
      <c r="G12" s="14"/>
      <c r="H12" s="14"/>
      <c r="I12" s="14"/>
      <c r="J12" s="14"/>
      <c r="K12" s="14"/>
      <c r="L12" s="14"/>
      <c r="M12" s="14"/>
    </row>
    <row r="13" spans="1:13" x14ac:dyDescent="0.2">
      <c r="A13" s="14" t="s">
        <v>245</v>
      </c>
      <c r="B13" s="14"/>
      <c r="C13" s="14"/>
      <c r="D13" s="14"/>
      <c r="E13" s="14" t="s">
        <v>172</v>
      </c>
      <c r="F13" s="14"/>
      <c r="G13" s="14"/>
      <c r="H13" s="14"/>
      <c r="I13" s="14"/>
      <c r="J13" s="14"/>
      <c r="K13" s="14"/>
      <c r="L13" s="14"/>
      <c r="M13" s="14"/>
    </row>
    <row r="14" spans="1:13" x14ac:dyDescent="0.2">
      <c r="A14" s="14"/>
      <c r="B14" s="14" t="s">
        <v>194</v>
      </c>
      <c r="C14" s="14"/>
      <c r="D14" s="14"/>
      <c r="E14" s="14"/>
      <c r="F14" s="14"/>
      <c r="G14" s="14"/>
      <c r="H14" s="14"/>
      <c r="I14" s="14"/>
      <c r="J14" s="14"/>
      <c r="K14" s="14"/>
      <c r="L14" s="14"/>
      <c r="M14" s="14"/>
    </row>
    <row r="15" spans="1:13" x14ac:dyDescent="0.2">
      <c r="A15" s="14"/>
      <c r="B15" s="14"/>
      <c r="C15" s="14" t="s">
        <v>246</v>
      </c>
      <c r="D15" s="14"/>
      <c r="E15" s="291">
        <v>300000</v>
      </c>
      <c r="F15" s="202"/>
      <c r="G15" s="202">
        <v>100000</v>
      </c>
      <c r="H15" s="202"/>
      <c r="I15" s="202">
        <v>200000</v>
      </c>
      <c r="J15" s="202"/>
      <c r="K15" s="202">
        <v>300000</v>
      </c>
      <c r="L15" s="202"/>
      <c r="M15" s="70">
        <f>+K15-E15</f>
        <v>0</v>
      </c>
    </row>
    <row r="16" spans="1:13" x14ac:dyDescent="0.2">
      <c r="A16" s="14"/>
      <c r="B16" s="14" t="s">
        <v>29</v>
      </c>
      <c r="C16" s="14"/>
      <c r="D16" s="14"/>
      <c r="E16" s="203">
        <v>10000</v>
      </c>
      <c r="F16" s="204"/>
      <c r="G16" s="203">
        <v>3000</v>
      </c>
      <c r="H16" s="204"/>
      <c r="I16" s="203">
        <v>5000</v>
      </c>
      <c r="J16" s="204"/>
      <c r="K16" s="203">
        <v>8000</v>
      </c>
      <c r="L16" s="204"/>
      <c r="M16" s="203">
        <f>+K16-E16</f>
        <v>-2000</v>
      </c>
    </row>
    <row r="17" spans="1:13" x14ac:dyDescent="0.2">
      <c r="A17" s="14"/>
      <c r="B17" s="14"/>
      <c r="C17" s="14"/>
      <c r="D17" s="14" t="s">
        <v>30</v>
      </c>
      <c r="E17" s="203">
        <f>SUM(E15:E16)</f>
        <v>310000</v>
      </c>
      <c r="F17" s="204"/>
      <c r="G17" s="203">
        <f>SUM(G15:G16)</f>
        <v>103000</v>
      </c>
      <c r="H17" s="204"/>
      <c r="I17" s="203">
        <f>SUM(I15:I16)</f>
        <v>205000</v>
      </c>
      <c r="J17" s="204"/>
      <c r="K17" s="203">
        <f>SUM(K15:K16)</f>
        <v>308000</v>
      </c>
      <c r="L17" s="204"/>
      <c r="M17" s="203">
        <f>SUM(M15:M16)</f>
        <v>-2000</v>
      </c>
    </row>
    <row r="18" spans="1:13" x14ac:dyDescent="0.2">
      <c r="A18" s="14"/>
      <c r="B18" s="14"/>
      <c r="C18" s="14"/>
      <c r="D18" s="14"/>
      <c r="E18" s="204"/>
      <c r="F18" s="204"/>
      <c r="G18" s="204"/>
      <c r="H18" s="204"/>
      <c r="I18" s="204"/>
      <c r="J18" s="204"/>
      <c r="K18" s="204"/>
      <c r="L18" s="204"/>
      <c r="M18" s="204"/>
    </row>
    <row r="19" spans="1:13" x14ac:dyDescent="0.2">
      <c r="A19" s="201" t="s">
        <v>128</v>
      </c>
      <c r="B19" s="14"/>
      <c r="D19" s="14"/>
      <c r="E19" s="204"/>
      <c r="F19" s="204"/>
      <c r="G19" s="204"/>
      <c r="H19" s="204"/>
      <c r="I19" s="204"/>
      <c r="J19" s="204"/>
      <c r="K19" s="204"/>
      <c r="L19" s="204"/>
      <c r="M19" s="204"/>
    </row>
    <row r="20" spans="1:13" x14ac:dyDescent="0.2">
      <c r="A20" s="14" t="s">
        <v>245</v>
      </c>
      <c r="B20" s="14"/>
      <c r="C20" s="14"/>
      <c r="D20" s="14"/>
      <c r="E20" s="204"/>
      <c r="F20" s="204"/>
      <c r="G20" s="204"/>
      <c r="H20" s="204"/>
      <c r="I20" s="204"/>
      <c r="J20" s="204"/>
      <c r="K20" s="204"/>
      <c r="L20" s="204"/>
      <c r="M20" s="204"/>
    </row>
    <row r="21" spans="1:13" x14ac:dyDescent="0.2">
      <c r="A21" s="14"/>
      <c r="B21" s="14" t="s">
        <v>36</v>
      </c>
      <c r="C21" s="14"/>
      <c r="D21" s="14"/>
      <c r="E21" s="204">
        <v>310000</v>
      </c>
      <c r="F21" s="204"/>
      <c r="G21" s="204">
        <v>103000</v>
      </c>
      <c r="H21" s="204"/>
      <c r="I21" s="204">
        <v>195000</v>
      </c>
      <c r="J21" s="204"/>
      <c r="K21" s="204">
        <v>298000</v>
      </c>
      <c r="L21" s="204"/>
      <c r="M21" s="204">
        <f>+E21-K21</f>
        <v>12000</v>
      </c>
    </row>
    <row r="22" spans="1:13" x14ac:dyDescent="0.2">
      <c r="A22" s="14"/>
      <c r="B22" s="14"/>
      <c r="C22" s="14"/>
      <c r="D22" s="14"/>
      <c r="E22" s="204"/>
      <c r="F22" s="204"/>
      <c r="G22" s="204"/>
      <c r="H22" s="204"/>
      <c r="I22" s="204"/>
      <c r="J22" s="204"/>
      <c r="K22" s="204"/>
      <c r="L22" s="204"/>
      <c r="M22" s="204"/>
    </row>
    <row r="23" spans="1:13" x14ac:dyDescent="0.2">
      <c r="A23" s="14" t="s">
        <v>248</v>
      </c>
      <c r="B23" s="14"/>
      <c r="C23" s="14"/>
      <c r="D23" s="14"/>
      <c r="E23" s="204"/>
      <c r="F23" s="204"/>
      <c r="G23" s="204"/>
      <c r="H23" s="204"/>
      <c r="I23" s="204"/>
      <c r="J23" s="204"/>
      <c r="K23" s="204"/>
      <c r="L23" s="204"/>
      <c r="M23" s="204"/>
    </row>
    <row r="24" spans="1:13" x14ac:dyDescent="0.2">
      <c r="A24" s="14"/>
      <c r="B24" s="14" t="s">
        <v>247</v>
      </c>
      <c r="C24" s="14"/>
      <c r="D24" s="14"/>
      <c r="E24" s="204"/>
      <c r="F24" s="204"/>
      <c r="G24" s="204"/>
      <c r="H24" s="204"/>
      <c r="I24" s="204"/>
      <c r="J24" s="204"/>
      <c r="K24" s="204"/>
      <c r="L24" s="204"/>
      <c r="M24" s="204"/>
    </row>
    <row r="25" spans="1:13" x14ac:dyDescent="0.2">
      <c r="A25" s="14"/>
      <c r="B25" s="14"/>
      <c r="C25" s="14" t="s">
        <v>12</v>
      </c>
      <c r="D25" s="14"/>
      <c r="E25" s="203">
        <v>435000</v>
      </c>
      <c r="F25" s="204"/>
      <c r="G25" s="170">
        <v>0</v>
      </c>
      <c r="H25" s="204"/>
      <c r="I25" s="203">
        <v>395000</v>
      </c>
      <c r="J25" s="204"/>
      <c r="K25" s="203">
        <v>395000</v>
      </c>
      <c r="L25" s="204"/>
      <c r="M25" s="203">
        <f>+E25-K25</f>
        <v>40000</v>
      </c>
    </row>
    <row r="26" spans="1:13" x14ac:dyDescent="0.2">
      <c r="A26" s="14"/>
      <c r="B26" s="14"/>
      <c r="C26" s="14"/>
      <c r="D26" s="14" t="s">
        <v>37</v>
      </c>
      <c r="E26" s="203">
        <f>+E25+E21</f>
        <v>745000</v>
      </c>
      <c r="F26" s="204"/>
      <c r="G26" s="203">
        <f>+G25+G21</f>
        <v>103000</v>
      </c>
      <c r="H26" s="204"/>
      <c r="I26" s="203">
        <f>+I25+I21</f>
        <v>590000</v>
      </c>
      <c r="J26" s="204"/>
      <c r="K26" s="203">
        <f>+K25+K21</f>
        <v>693000</v>
      </c>
      <c r="L26" s="204"/>
      <c r="M26" s="203">
        <f>+M25+M21</f>
        <v>52000</v>
      </c>
    </row>
    <row r="27" spans="1:13" x14ac:dyDescent="0.2">
      <c r="A27" s="14"/>
      <c r="B27" s="14"/>
      <c r="C27" s="14"/>
      <c r="D27" s="14"/>
      <c r="E27" s="204"/>
      <c r="F27" s="204"/>
      <c r="G27" s="204"/>
      <c r="H27" s="204"/>
      <c r="I27" s="204"/>
      <c r="J27" s="204"/>
      <c r="K27" s="204"/>
      <c r="L27" s="204"/>
      <c r="M27" s="204"/>
    </row>
    <row r="28" spans="1:13" x14ac:dyDescent="0.2">
      <c r="A28" s="201" t="s">
        <v>249</v>
      </c>
      <c r="B28" s="14"/>
      <c r="C28" s="14"/>
      <c r="D28" s="14"/>
      <c r="E28" s="203">
        <v>-435000</v>
      </c>
      <c r="F28" s="204"/>
      <c r="G28" s="169">
        <v>0</v>
      </c>
      <c r="H28" s="204"/>
      <c r="I28" s="203">
        <v>-385000</v>
      </c>
      <c r="J28" s="204"/>
      <c r="K28" s="203">
        <v>-385000</v>
      </c>
      <c r="L28" s="204"/>
      <c r="M28" s="203">
        <f>+M17+M26</f>
        <v>50000</v>
      </c>
    </row>
    <row r="29" spans="1:13" x14ac:dyDescent="0.2">
      <c r="A29" s="14"/>
      <c r="B29" s="14"/>
      <c r="C29" s="14"/>
      <c r="D29" s="14"/>
      <c r="E29" s="204"/>
      <c r="F29" s="204"/>
      <c r="G29" s="204"/>
      <c r="H29" s="204"/>
      <c r="I29" s="204"/>
      <c r="J29" s="204"/>
      <c r="K29" s="204"/>
      <c r="L29" s="204"/>
      <c r="M29" s="204"/>
    </row>
    <row r="30" spans="1:13" x14ac:dyDescent="0.2">
      <c r="A30" s="201" t="s">
        <v>588</v>
      </c>
      <c r="B30" s="14"/>
      <c r="D30" s="14"/>
      <c r="E30" s="204"/>
      <c r="F30" s="204"/>
      <c r="G30" s="204"/>
      <c r="H30" s="204"/>
      <c r="I30" s="204"/>
      <c r="J30" s="204"/>
      <c r="K30" s="204"/>
      <c r="L30" s="204"/>
      <c r="M30" s="204"/>
    </row>
    <row r="31" spans="1:13" x14ac:dyDescent="0.2">
      <c r="A31" s="14" t="s">
        <v>250</v>
      </c>
      <c r="B31" s="14"/>
      <c r="C31" s="14"/>
      <c r="D31" s="14"/>
      <c r="E31" s="204"/>
      <c r="F31" s="204"/>
      <c r="G31" s="204"/>
      <c r="H31" s="204"/>
      <c r="I31" s="204"/>
      <c r="J31" s="204"/>
      <c r="K31" s="204"/>
      <c r="L31" s="204"/>
      <c r="M31" s="204"/>
    </row>
    <row r="32" spans="1:13" x14ac:dyDescent="0.2">
      <c r="A32" s="14"/>
      <c r="B32" s="14" t="s">
        <v>469</v>
      </c>
      <c r="C32" s="14"/>
      <c r="D32" s="14"/>
      <c r="E32" s="204"/>
      <c r="F32" s="204"/>
      <c r="G32" s="204"/>
      <c r="H32" s="204"/>
      <c r="I32" s="204"/>
      <c r="J32" s="204"/>
      <c r="K32" s="204"/>
      <c r="L32" s="204"/>
      <c r="M32" s="204"/>
    </row>
    <row r="33" spans="1:13" x14ac:dyDescent="0.2">
      <c r="A33" s="14"/>
      <c r="B33" s="14"/>
      <c r="C33" s="14" t="s">
        <v>26</v>
      </c>
      <c r="D33" s="14"/>
      <c r="E33" s="204">
        <v>235000</v>
      </c>
      <c r="F33" s="204"/>
      <c r="G33" s="165">
        <v>0</v>
      </c>
      <c r="H33" s="204"/>
      <c r="I33" s="204">
        <v>208400</v>
      </c>
      <c r="J33" s="204"/>
      <c r="K33" s="204">
        <v>208400</v>
      </c>
      <c r="L33" s="204"/>
      <c r="M33" s="204">
        <f>+K33-E33</f>
        <v>-26600</v>
      </c>
    </row>
    <row r="34" spans="1:13" x14ac:dyDescent="0.2">
      <c r="A34" s="14"/>
      <c r="B34" s="14" t="s">
        <v>477</v>
      </c>
      <c r="C34" s="14"/>
      <c r="D34" s="14"/>
      <c r="E34" s="204"/>
      <c r="F34" s="204"/>
      <c r="G34" s="265"/>
      <c r="H34" s="204"/>
      <c r="I34" s="204"/>
      <c r="J34" s="204"/>
      <c r="K34" s="204"/>
      <c r="L34" s="204"/>
      <c r="M34" s="204"/>
    </row>
    <row r="35" spans="1:13" x14ac:dyDescent="0.2">
      <c r="A35" s="14"/>
      <c r="B35" s="14" t="s">
        <v>478</v>
      </c>
      <c r="C35" s="14"/>
      <c r="D35" s="14"/>
      <c r="E35" s="203">
        <v>200000</v>
      </c>
      <c r="F35" s="204"/>
      <c r="G35" s="170">
        <v>0</v>
      </c>
      <c r="H35" s="204"/>
      <c r="I35" s="203">
        <v>200000</v>
      </c>
      <c r="J35" s="204"/>
      <c r="K35" s="203">
        <v>200000</v>
      </c>
      <c r="L35" s="204"/>
      <c r="M35" s="169">
        <f>+K35-E35</f>
        <v>0</v>
      </c>
    </row>
    <row r="36" spans="1:13" x14ac:dyDescent="0.2">
      <c r="A36" s="14"/>
      <c r="B36" s="14"/>
      <c r="C36" s="14" t="s">
        <v>251</v>
      </c>
      <c r="D36" s="14"/>
      <c r="E36" s="203">
        <f>+E33+E35</f>
        <v>435000</v>
      </c>
      <c r="F36" s="204"/>
      <c r="G36" s="203">
        <f>+G33+G35</f>
        <v>0</v>
      </c>
      <c r="H36" s="204"/>
      <c r="I36" s="203">
        <f>+I33+I35</f>
        <v>408400</v>
      </c>
      <c r="J36" s="204"/>
      <c r="K36" s="203">
        <f>+K33+K35</f>
        <v>408400</v>
      </c>
      <c r="L36" s="204"/>
      <c r="M36" s="203">
        <f>+M33+M35</f>
        <v>-26600</v>
      </c>
    </row>
    <row r="37" spans="1:13" x14ac:dyDescent="0.2">
      <c r="A37" s="14"/>
      <c r="B37" s="14"/>
      <c r="C37" s="14"/>
      <c r="D37" s="14"/>
      <c r="E37" s="205"/>
      <c r="F37" s="205"/>
      <c r="G37" s="205"/>
      <c r="H37" s="205"/>
      <c r="I37" s="205"/>
      <c r="J37" s="205"/>
      <c r="K37" s="205"/>
      <c r="L37" s="205"/>
      <c r="M37" s="205"/>
    </row>
    <row r="38" spans="1:13" ht="13.5" thickBot="1" x14ac:dyDescent="0.25">
      <c r="A38" s="201" t="s">
        <v>75</v>
      </c>
      <c r="B38" s="14"/>
      <c r="C38" s="14"/>
      <c r="D38" s="14"/>
      <c r="E38" s="266">
        <f>+E36+E28</f>
        <v>0</v>
      </c>
      <c r="F38" s="202"/>
      <c r="G38" s="266">
        <f>+G36+G28</f>
        <v>0</v>
      </c>
      <c r="H38" s="205"/>
      <c r="I38" s="205">
        <f>+I36+I28</f>
        <v>23400</v>
      </c>
      <c r="J38" s="205"/>
      <c r="K38" s="92">
        <f>+K36+K28</f>
        <v>23400</v>
      </c>
      <c r="L38" s="202"/>
      <c r="M38" s="206">
        <f>+M28+M36</f>
        <v>23400</v>
      </c>
    </row>
    <row r="39" spans="1:13" ht="13.5" thickTop="1" x14ac:dyDescent="0.2">
      <c r="A39" s="14"/>
      <c r="B39" s="14"/>
      <c r="C39" s="14"/>
      <c r="D39" s="14"/>
      <c r="E39" s="205"/>
      <c r="F39" s="205"/>
      <c r="G39" s="205"/>
      <c r="H39" s="205"/>
      <c r="I39" s="205"/>
      <c r="J39" s="205"/>
      <c r="K39" s="205"/>
      <c r="L39" s="205"/>
      <c r="M39" s="205"/>
    </row>
    <row r="40" spans="1:13" x14ac:dyDescent="0.2">
      <c r="B40" s="582" t="s">
        <v>844</v>
      </c>
      <c r="C40" s="250"/>
      <c r="I40" s="31">
        <v>0</v>
      </c>
    </row>
    <row r="41" spans="1:13" ht="13.5" thickBot="1" x14ac:dyDescent="0.25">
      <c r="B41" s="582" t="s">
        <v>845</v>
      </c>
      <c r="I41" s="61">
        <v>23400</v>
      </c>
    </row>
    <row r="42" spans="1:13" ht="13.5" thickTop="1" x14ac:dyDescent="0.2">
      <c r="B42" s="582"/>
      <c r="I42" s="59"/>
    </row>
    <row r="43" spans="1:13" x14ac:dyDescent="0.2">
      <c r="I43" s="31"/>
    </row>
    <row r="44" spans="1:13" ht="12" customHeight="1" thickBot="1" x14ac:dyDescent="0.25">
      <c r="I44" s="31"/>
    </row>
    <row r="45" spans="1:13" s="44" customFormat="1" ht="91.5" customHeight="1" thickBot="1" x14ac:dyDescent="0.25">
      <c r="A45" s="800" t="s">
        <v>644</v>
      </c>
      <c r="B45" s="801"/>
      <c r="C45" s="801"/>
      <c r="D45" s="801"/>
      <c r="E45" s="801"/>
      <c r="F45" s="801"/>
      <c r="G45" s="801"/>
      <c r="H45" s="801"/>
      <c r="I45" s="801"/>
      <c r="J45" s="801"/>
      <c r="K45" s="801"/>
      <c r="L45" s="801"/>
      <c r="M45" s="802"/>
    </row>
  </sheetData>
  <customSheetViews>
    <customSheetView guid="{AB48C5D7-99F4-4378-A0F9-05018B348977}">
      <selection activeCell="B39" sqref="B39"/>
      <pageMargins left="0.75" right="0.75" top="1" bottom="1" header="0.5" footer="0.5"/>
      <pageSetup scale="79" firstPageNumber="97" orientation="portrait" useFirstPageNumber="1" r:id="rId1"/>
      <headerFooter alignWithMargins="0"/>
    </customSheetView>
  </customSheetViews>
  <mergeCells count="1">
    <mergeCell ref="A45:M45"/>
  </mergeCells>
  <phoneticPr fontId="0" type="noConversion"/>
  <printOptions horizontalCentered="1"/>
  <pageMargins left="0.7" right="0.7" top="0.75" bottom="0.75" header="0.3" footer="0.3"/>
  <pageSetup firstPageNumber="97" fitToWidth="0"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FF00"/>
    <pageSetUpPr fitToPage="1"/>
  </sheetPr>
  <dimension ref="A1:N49"/>
  <sheetViews>
    <sheetView topLeftCell="A9" workbookViewId="0">
      <selection activeCell="A34" sqref="A34:H34"/>
    </sheetView>
  </sheetViews>
  <sheetFormatPr defaultColWidth="9.140625" defaultRowHeight="12.75" x14ac:dyDescent="0.2"/>
  <cols>
    <col min="1" max="1" width="36.42578125" customWidth="1"/>
    <col min="2" max="2" width="13.5703125" customWidth="1"/>
    <col min="3" max="3" width="1.7109375" customWidth="1"/>
    <col min="4" max="4" width="13.5703125" customWidth="1"/>
    <col min="5" max="5" width="1.7109375" customWidth="1"/>
    <col min="6" max="6" width="15.7109375" customWidth="1"/>
    <col min="7" max="7" width="1.7109375" customWidth="1"/>
    <col min="8" max="8" width="14.7109375" customWidth="1"/>
  </cols>
  <sheetData>
    <row r="1" spans="1:8" x14ac:dyDescent="0.2">
      <c r="A1" s="777" t="s">
        <v>0</v>
      </c>
      <c r="B1" s="777"/>
      <c r="C1" s="777"/>
      <c r="D1" s="777"/>
      <c r="E1" s="777"/>
      <c r="F1" s="777"/>
      <c r="G1" s="777"/>
      <c r="H1" s="777"/>
    </row>
    <row r="2" spans="1:8" x14ac:dyDescent="0.2">
      <c r="A2" s="777" t="s">
        <v>484</v>
      </c>
      <c r="B2" s="777"/>
      <c r="C2" s="777"/>
      <c r="D2" s="777"/>
      <c r="E2" s="777"/>
      <c r="F2" s="777"/>
      <c r="G2" s="777"/>
      <c r="H2" s="777"/>
    </row>
    <row r="3" spans="1:8" x14ac:dyDescent="0.2">
      <c r="A3" s="777" t="s">
        <v>485</v>
      </c>
      <c r="B3" s="777"/>
      <c r="C3" s="777"/>
      <c r="D3" s="777"/>
      <c r="E3" s="777"/>
      <c r="F3" s="777"/>
      <c r="G3" s="777"/>
      <c r="H3" s="777"/>
    </row>
    <row r="4" spans="1:8" x14ac:dyDescent="0.2">
      <c r="A4" s="778" t="s">
        <v>782</v>
      </c>
      <c r="B4" s="777"/>
      <c r="C4" s="777"/>
      <c r="D4" s="777"/>
      <c r="E4" s="777"/>
      <c r="F4" s="777"/>
      <c r="G4" s="777"/>
      <c r="H4" s="777"/>
    </row>
    <row r="5" spans="1:8" x14ac:dyDescent="0.2">
      <c r="A5" s="589"/>
      <c r="B5" s="228"/>
      <c r="C5" s="228"/>
      <c r="D5" s="228"/>
      <c r="E5" s="228"/>
      <c r="F5" s="228"/>
      <c r="G5" s="228"/>
      <c r="H5" s="228"/>
    </row>
    <row r="6" spans="1:8" x14ac:dyDescent="0.2">
      <c r="A6" s="589"/>
      <c r="B6" s="228"/>
      <c r="C6" s="228"/>
      <c r="D6" s="228"/>
      <c r="E6" s="228"/>
      <c r="F6" s="228"/>
      <c r="G6" s="228"/>
      <c r="H6" s="228"/>
    </row>
    <row r="7" spans="1:8" ht="13.5" thickBot="1" x14ac:dyDescent="0.25">
      <c r="A7" s="107"/>
      <c r="B7" s="107"/>
      <c r="C7" s="107"/>
      <c r="D7" s="107"/>
      <c r="E7" s="689"/>
      <c r="F7" s="107"/>
      <c r="G7" s="8"/>
      <c r="H7" s="8"/>
    </row>
    <row r="8" spans="1:8" ht="13.5" thickBot="1" x14ac:dyDescent="0.25">
      <c r="B8" s="889" t="s">
        <v>837</v>
      </c>
      <c r="C8" s="889"/>
      <c r="D8" s="889"/>
      <c r="E8" s="688"/>
      <c r="F8" s="690" t="s">
        <v>840</v>
      </c>
      <c r="G8" s="101"/>
      <c r="H8" s="101"/>
    </row>
    <row r="9" spans="1:8" x14ac:dyDescent="0.2">
      <c r="B9" s="101"/>
      <c r="C9" s="101"/>
      <c r="D9" s="228" t="s">
        <v>728</v>
      </c>
      <c r="E9" s="228"/>
      <c r="F9" s="228"/>
      <c r="G9" s="228"/>
      <c r="H9" s="228" t="s">
        <v>486</v>
      </c>
    </row>
    <row r="10" spans="1:8" x14ac:dyDescent="0.2">
      <c r="B10" s="228" t="s">
        <v>487</v>
      </c>
      <c r="C10" s="228"/>
      <c r="D10" s="228" t="s">
        <v>730</v>
      </c>
      <c r="E10" s="228"/>
      <c r="F10" s="228" t="s">
        <v>841</v>
      </c>
      <c r="G10" s="228"/>
      <c r="H10" s="228" t="s">
        <v>488</v>
      </c>
    </row>
    <row r="11" spans="1:8" x14ac:dyDescent="0.2">
      <c r="B11" s="56" t="s">
        <v>385</v>
      </c>
      <c r="C11" s="228"/>
      <c r="D11" s="56" t="s">
        <v>385</v>
      </c>
      <c r="E11" s="228"/>
      <c r="F11" s="56" t="s">
        <v>385</v>
      </c>
      <c r="G11" s="228"/>
      <c r="H11" s="56" t="s">
        <v>489</v>
      </c>
    </row>
    <row r="12" spans="1:8" x14ac:dyDescent="0.2">
      <c r="A12" s="399" t="s">
        <v>2</v>
      </c>
    </row>
    <row r="13" spans="1:8" x14ac:dyDescent="0.2">
      <c r="A13" s="33" t="s">
        <v>3</v>
      </c>
      <c r="B13" s="59">
        <v>0</v>
      </c>
      <c r="C13" s="59"/>
      <c r="D13" s="59">
        <v>570</v>
      </c>
      <c r="E13" s="59"/>
      <c r="F13" s="59">
        <v>24681</v>
      </c>
      <c r="G13" s="59"/>
      <c r="H13" s="59">
        <f>SUM(B13:F13)</f>
        <v>25251</v>
      </c>
    </row>
    <row r="14" spans="1:8" x14ac:dyDescent="0.2">
      <c r="A14" s="33" t="s">
        <v>490</v>
      </c>
      <c r="B14" s="31">
        <v>0</v>
      </c>
      <c r="C14" s="31"/>
      <c r="D14" s="31">
        <v>4295</v>
      </c>
      <c r="E14" s="31"/>
      <c r="F14" s="31">
        <v>375</v>
      </c>
      <c r="G14" s="31"/>
      <c r="H14" s="31">
        <f>SUM(B14:F14)</f>
        <v>4670</v>
      </c>
    </row>
    <row r="15" spans="1:8" x14ac:dyDescent="0.2">
      <c r="A15" s="33" t="s">
        <v>163</v>
      </c>
      <c r="B15" s="5">
        <v>5000</v>
      </c>
      <c r="C15" s="31"/>
      <c r="D15" s="5">
        <v>0</v>
      </c>
      <c r="E15" s="31"/>
      <c r="F15" s="5">
        <v>0</v>
      </c>
      <c r="G15" s="31"/>
      <c r="H15" s="5">
        <f>SUM(B15:F15)</f>
        <v>5000</v>
      </c>
    </row>
    <row r="16" spans="1:8" ht="13.5" thickBot="1" x14ac:dyDescent="0.25">
      <c r="A16" t="s">
        <v>5</v>
      </c>
      <c r="B16" s="102">
        <f>SUM(B13:B15)</f>
        <v>5000</v>
      </c>
      <c r="C16" s="59"/>
      <c r="D16" s="102">
        <f>SUM(D13:D15)</f>
        <v>4865</v>
      </c>
      <c r="E16" s="59"/>
      <c r="F16" s="102">
        <f>SUM(F13:F15)</f>
        <v>25056</v>
      </c>
      <c r="G16" s="59"/>
      <c r="H16" s="102">
        <f>SUM(H13:H15)</f>
        <v>34921</v>
      </c>
    </row>
    <row r="17" spans="1:8" ht="13.5" thickTop="1" x14ac:dyDescent="0.2"/>
    <row r="18" spans="1:8" x14ac:dyDescent="0.2">
      <c r="A18" s="101" t="s">
        <v>6</v>
      </c>
    </row>
    <row r="19" spans="1:8" ht="12.75" customHeight="1" x14ac:dyDescent="0.2">
      <c r="A19" s="251" t="s">
        <v>121</v>
      </c>
      <c r="B19" s="59">
        <v>5000</v>
      </c>
      <c r="C19" s="59"/>
      <c r="D19" s="59">
        <v>0</v>
      </c>
      <c r="E19" s="59"/>
      <c r="F19" s="59">
        <v>0</v>
      </c>
      <c r="G19" s="59"/>
      <c r="H19" s="59">
        <f>+B19+F19</f>
        <v>5000</v>
      </c>
    </row>
    <row r="20" spans="1:8" x14ac:dyDescent="0.2">
      <c r="A20" s="251" t="s">
        <v>456</v>
      </c>
      <c r="B20" s="5">
        <v>0</v>
      </c>
      <c r="C20" s="31"/>
      <c r="D20" s="5">
        <v>570</v>
      </c>
      <c r="E20" s="31"/>
      <c r="F20" s="5">
        <v>0</v>
      </c>
      <c r="G20" s="31"/>
      <c r="H20" s="5">
        <f>SUM(B20:F20)</f>
        <v>570</v>
      </c>
    </row>
    <row r="21" spans="1:8" x14ac:dyDescent="0.2">
      <c r="A21" t="s">
        <v>7</v>
      </c>
      <c r="B21" s="5">
        <f>SUM(B19:B20)</f>
        <v>5000</v>
      </c>
      <c r="C21" s="31"/>
      <c r="D21" s="5">
        <f>SUM(D19:D20)</f>
        <v>570</v>
      </c>
      <c r="E21" s="31"/>
      <c r="F21" s="5">
        <f>SUM(F19:F20)</f>
        <v>0</v>
      </c>
      <c r="G21" s="31"/>
      <c r="H21" s="5">
        <f>SUM(H19:H20)</f>
        <v>5570</v>
      </c>
    </row>
    <row r="22" spans="1:8" x14ac:dyDescent="0.2">
      <c r="B22" s="31"/>
      <c r="C22" s="31"/>
      <c r="D22" s="31"/>
      <c r="E22" s="31"/>
      <c r="F22" s="31"/>
      <c r="G22" s="31"/>
      <c r="H22" s="31"/>
    </row>
    <row r="23" spans="1:8" x14ac:dyDescent="0.2">
      <c r="A23" s="101" t="s">
        <v>612</v>
      </c>
      <c r="B23" s="31"/>
      <c r="C23" s="31"/>
      <c r="D23" s="31"/>
      <c r="E23" s="31"/>
      <c r="F23" s="31"/>
      <c r="G23" s="31"/>
      <c r="H23" s="31"/>
    </row>
    <row r="24" spans="1:8" ht="12.75" customHeight="1" x14ac:dyDescent="0.2">
      <c r="A24" s="588" t="s">
        <v>838</v>
      </c>
      <c r="B24" s="31">
        <v>0</v>
      </c>
      <c r="C24" s="31"/>
      <c r="D24" s="31">
        <v>0</v>
      </c>
      <c r="E24" s="31"/>
      <c r="F24" s="31">
        <v>25056</v>
      </c>
      <c r="G24" s="31"/>
      <c r="H24" s="31">
        <f>+B24+F24</f>
        <v>25056</v>
      </c>
    </row>
    <row r="25" spans="1:8" x14ac:dyDescent="0.2">
      <c r="A25" s="588" t="s">
        <v>839</v>
      </c>
      <c r="B25" s="5">
        <v>0</v>
      </c>
      <c r="C25" s="31"/>
      <c r="D25" s="5">
        <v>4295</v>
      </c>
      <c r="E25" s="31"/>
      <c r="F25" s="5">
        <v>0</v>
      </c>
      <c r="G25" s="31"/>
      <c r="H25" s="5">
        <f>SUM(B25:F25)</f>
        <v>4295</v>
      </c>
    </row>
    <row r="26" spans="1:8" x14ac:dyDescent="0.2">
      <c r="A26" t="s">
        <v>20</v>
      </c>
      <c r="B26" s="5">
        <f>SUM(B24:B25)</f>
        <v>0</v>
      </c>
      <c r="C26" s="31"/>
      <c r="D26" s="5">
        <f>SUM(D24:D25)</f>
        <v>4295</v>
      </c>
      <c r="E26" s="31"/>
      <c r="F26" s="5">
        <f>SUM(F24:F25)</f>
        <v>25056</v>
      </c>
      <c r="G26" s="31"/>
      <c r="H26" s="5">
        <f>SUM(H24:H25)</f>
        <v>29351</v>
      </c>
    </row>
    <row r="27" spans="1:8" x14ac:dyDescent="0.2">
      <c r="B27" s="31"/>
      <c r="C27" s="31"/>
      <c r="D27" s="31"/>
      <c r="E27" s="31"/>
      <c r="F27" s="31"/>
      <c r="G27" s="31"/>
      <c r="H27" s="31"/>
    </row>
    <row r="28" spans="1:8" ht="13.5" thickBot="1" x14ac:dyDescent="0.25">
      <c r="A28" t="s">
        <v>21</v>
      </c>
      <c r="B28" s="102">
        <f>B26+B21</f>
        <v>5000</v>
      </c>
      <c r="C28" s="59"/>
      <c r="D28" s="102">
        <f>D26+D21</f>
        <v>4865</v>
      </c>
      <c r="E28" s="59"/>
      <c r="F28" s="102">
        <f>F26+F21</f>
        <v>25056</v>
      </c>
      <c r="G28" s="59"/>
      <c r="H28" s="102">
        <f>H26+H21</f>
        <v>34921</v>
      </c>
    </row>
    <row r="29" spans="1:8" ht="13.5" thickTop="1" x14ac:dyDescent="0.2"/>
    <row r="31" spans="1:8" ht="13.5" thickBot="1" x14ac:dyDescent="0.25"/>
    <row r="32" spans="1:8" ht="61.9" customHeight="1" thickBot="1" x14ac:dyDescent="0.25">
      <c r="A32" s="883" t="s">
        <v>889</v>
      </c>
      <c r="B32" s="884"/>
      <c r="C32" s="884"/>
      <c r="D32" s="884"/>
      <c r="E32" s="884"/>
      <c r="F32" s="884"/>
      <c r="G32" s="884"/>
      <c r="H32" s="885"/>
    </row>
    <row r="33" spans="1:14" ht="13.5" thickBot="1" x14ac:dyDescent="0.25">
      <c r="A33" s="507"/>
      <c r="B33" s="507"/>
      <c r="C33" s="507"/>
      <c r="D33" s="507"/>
      <c r="E33" s="507"/>
      <c r="F33" s="507"/>
      <c r="G33" s="507"/>
      <c r="H33" s="507"/>
    </row>
    <row r="34" spans="1:14" ht="51" customHeight="1" thickBot="1" x14ac:dyDescent="0.25">
      <c r="A34" s="886" t="s">
        <v>879</v>
      </c>
      <c r="B34" s="887"/>
      <c r="C34" s="887"/>
      <c r="D34" s="887"/>
      <c r="E34" s="887"/>
      <c r="F34" s="887"/>
      <c r="G34" s="887"/>
      <c r="H34" s="888"/>
      <c r="I34" s="545"/>
      <c r="J34" s="545"/>
    </row>
    <row r="35" spans="1:14" x14ac:dyDescent="0.2">
      <c r="A35" s="545"/>
      <c r="B35" s="545"/>
      <c r="C35" s="545"/>
      <c r="D35" s="545"/>
      <c r="E35" s="545"/>
      <c r="F35" s="545"/>
      <c r="G35" s="545"/>
      <c r="H35" s="545"/>
      <c r="I35" s="545"/>
      <c r="J35" s="545"/>
    </row>
    <row r="36" spans="1:14" x14ac:dyDescent="0.2">
      <c r="A36" s="545"/>
      <c r="B36" s="545"/>
      <c r="C36" s="545"/>
      <c r="D36" s="545"/>
      <c r="E36" s="545"/>
      <c r="F36" s="545"/>
      <c r="G36" s="545"/>
      <c r="H36" s="545"/>
      <c r="I36" s="545"/>
      <c r="J36" s="545"/>
    </row>
    <row r="37" spans="1:14" x14ac:dyDescent="0.2">
      <c r="A37" s="545"/>
      <c r="B37" s="545"/>
      <c r="C37" s="545"/>
      <c r="D37" s="545"/>
      <c r="E37" s="545"/>
      <c r="F37" s="545"/>
      <c r="G37" s="545"/>
      <c r="H37" s="545"/>
      <c r="I37" s="545"/>
      <c r="J37" s="545"/>
    </row>
    <row r="38" spans="1:14" x14ac:dyDescent="0.2">
      <c r="A38" s="545"/>
      <c r="B38" s="545"/>
      <c r="C38" s="545"/>
      <c r="D38" s="545"/>
      <c r="E38" s="545"/>
      <c r="F38" s="545"/>
      <c r="G38" s="545"/>
      <c r="H38" s="545"/>
      <c r="I38" s="545"/>
      <c r="J38" s="545"/>
    </row>
    <row r="46" spans="1:14" x14ac:dyDescent="0.2">
      <c r="F46" s="882"/>
      <c r="G46" s="882"/>
      <c r="H46" s="831"/>
      <c r="I46" s="831"/>
      <c r="J46" s="831"/>
      <c r="K46" s="831"/>
      <c r="L46" s="831"/>
      <c r="M46" s="831"/>
      <c r="N46" s="831"/>
    </row>
    <row r="47" spans="1:14" x14ac:dyDescent="0.2">
      <c r="F47" s="831"/>
      <c r="G47" s="831"/>
      <c r="H47" s="831"/>
      <c r="I47" s="831"/>
      <c r="J47" s="831"/>
      <c r="K47" s="831"/>
      <c r="L47" s="831"/>
      <c r="M47" s="831"/>
      <c r="N47" s="831"/>
    </row>
    <row r="48" spans="1:14" x14ac:dyDescent="0.2">
      <c r="F48" s="831"/>
      <c r="G48" s="831"/>
      <c r="H48" s="831"/>
      <c r="I48" s="831"/>
      <c r="J48" s="831"/>
      <c r="K48" s="831"/>
      <c r="L48" s="831"/>
      <c r="M48" s="831"/>
      <c r="N48" s="831"/>
    </row>
    <row r="49" spans="6:14" x14ac:dyDescent="0.2">
      <c r="F49" s="831"/>
      <c r="G49" s="831"/>
      <c r="H49" s="831"/>
      <c r="I49" s="831"/>
      <c r="J49" s="831"/>
      <c r="K49" s="831"/>
      <c r="L49" s="831"/>
      <c r="M49" s="831"/>
      <c r="N49" s="831"/>
    </row>
  </sheetData>
  <customSheetViews>
    <customSheetView guid="{AB48C5D7-99F4-4378-A0F9-05018B348977}">
      <selection activeCell="B39" sqref="B39"/>
      <pageMargins left="0.75" right="0.75" top="1" bottom="1" header="0.5" footer="0.5"/>
      <pageSetup scale="79" firstPageNumber="99" orientation="portrait" useFirstPageNumber="1" r:id="rId1"/>
      <headerFooter alignWithMargins="0"/>
    </customSheetView>
  </customSheetViews>
  <mergeCells count="8">
    <mergeCell ref="A1:H1"/>
    <mergeCell ref="A2:H2"/>
    <mergeCell ref="A3:H3"/>
    <mergeCell ref="A4:H4"/>
    <mergeCell ref="F46:N49"/>
    <mergeCell ref="A32:H32"/>
    <mergeCell ref="A34:H34"/>
    <mergeCell ref="B8:D8"/>
  </mergeCells>
  <phoneticPr fontId="0" type="noConversion"/>
  <printOptions horizontalCentered="1"/>
  <pageMargins left="0.7" right="0.7" top="0.75" bottom="0.75" header="0.3" footer="0.3"/>
  <pageSetup scale="91" firstPageNumber="9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FF00"/>
    <pageSetUpPr fitToPage="1"/>
  </sheetPr>
  <dimension ref="A1:N51"/>
  <sheetViews>
    <sheetView workbookViewId="0">
      <selection activeCell="A6" sqref="A6"/>
    </sheetView>
  </sheetViews>
  <sheetFormatPr defaultColWidth="9.140625" defaultRowHeight="12.75" x14ac:dyDescent="0.2"/>
  <cols>
    <col min="1" max="1" width="40.42578125" customWidth="1"/>
    <col min="2" max="2" width="15.7109375" customWidth="1"/>
    <col min="3" max="3" width="1.7109375" customWidth="1"/>
    <col min="4" max="4" width="15.7109375" customWidth="1"/>
    <col min="5" max="5" width="1.7109375" customWidth="1"/>
    <col min="6" max="6" width="15.7109375" customWidth="1"/>
    <col min="7" max="7" width="1.7109375" customWidth="1"/>
    <col min="8" max="8" width="15" customWidth="1"/>
  </cols>
  <sheetData>
    <row r="1" spans="1:9" x14ac:dyDescent="0.2">
      <c r="A1" s="777" t="s">
        <v>0</v>
      </c>
      <c r="B1" s="777"/>
      <c r="C1" s="777"/>
      <c r="D1" s="777"/>
      <c r="E1" s="777"/>
      <c r="F1" s="777"/>
      <c r="G1" s="777"/>
      <c r="H1" s="777"/>
      <c r="I1" s="100"/>
    </row>
    <row r="2" spans="1:9" x14ac:dyDescent="0.2">
      <c r="A2" s="777" t="s">
        <v>491</v>
      </c>
      <c r="B2" s="777"/>
      <c r="C2" s="777"/>
      <c r="D2" s="777"/>
      <c r="E2" s="777"/>
      <c r="F2" s="777"/>
      <c r="G2" s="777"/>
      <c r="H2" s="777"/>
      <c r="I2" s="100"/>
    </row>
    <row r="3" spans="1:9" x14ac:dyDescent="0.2">
      <c r="A3" s="777" t="s">
        <v>485</v>
      </c>
      <c r="B3" s="777"/>
      <c r="C3" s="777"/>
      <c r="D3" s="777"/>
      <c r="E3" s="777"/>
      <c r="F3" s="777"/>
      <c r="G3" s="777"/>
      <c r="H3" s="777"/>
      <c r="I3" s="100"/>
    </row>
    <row r="4" spans="1:9" x14ac:dyDescent="0.2">
      <c r="A4" s="777" t="str">
        <f>'5-GASB34GovtFundsBudget'!C4</f>
        <v>For the Year Ended June 30, 2025</v>
      </c>
      <c r="B4" s="777"/>
      <c r="C4" s="777"/>
      <c r="D4" s="777"/>
      <c r="E4" s="777"/>
      <c r="F4" s="777"/>
      <c r="G4" s="777"/>
      <c r="H4" s="777"/>
      <c r="I4" s="100"/>
    </row>
    <row r="5" spans="1:9" x14ac:dyDescent="0.2">
      <c r="A5" s="228"/>
      <c r="B5" s="228"/>
      <c r="C5" s="228"/>
      <c r="D5" s="228"/>
      <c r="E5" s="228"/>
      <c r="F5" s="228"/>
      <c r="G5" s="228"/>
      <c r="H5" s="228"/>
      <c r="I5" s="100"/>
    </row>
    <row r="6" spans="1:9" x14ac:dyDescent="0.2">
      <c r="A6" s="228"/>
      <c r="B6" s="228"/>
      <c r="C6" s="228"/>
      <c r="D6" s="228"/>
      <c r="E6" s="228"/>
      <c r="F6" s="228"/>
      <c r="G6" s="228"/>
      <c r="H6" s="228"/>
      <c r="I6" s="100"/>
    </row>
    <row r="7" spans="1:9" ht="13.5" thickBot="1" x14ac:dyDescent="0.25">
      <c r="A7" s="107"/>
      <c r="B7" s="107"/>
      <c r="C7" s="107"/>
      <c r="D7" s="107"/>
      <c r="E7" s="107"/>
      <c r="F7" s="107"/>
      <c r="G7" s="107"/>
      <c r="H7" s="107"/>
      <c r="I7" s="100"/>
    </row>
    <row r="8" spans="1:9" ht="13.5" thickBot="1" x14ac:dyDescent="0.25">
      <c r="B8" s="889" t="s">
        <v>837</v>
      </c>
      <c r="C8" s="889"/>
      <c r="D8" s="889"/>
      <c r="E8" s="101"/>
      <c r="F8" s="771" t="s">
        <v>840</v>
      </c>
      <c r="G8" s="101"/>
      <c r="H8" s="228"/>
    </row>
    <row r="9" spans="1:9" x14ac:dyDescent="0.2">
      <c r="B9" s="101"/>
      <c r="C9" s="101"/>
      <c r="D9" s="228" t="s">
        <v>728</v>
      </c>
      <c r="E9" s="228"/>
      <c r="H9" s="228" t="s">
        <v>486</v>
      </c>
    </row>
    <row r="10" spans="1:9" x14ac:dyDescent="0.2">
      <c r="B10" s="228" t="s">
        <v>487</v>
      </c>
      <c r="C10" s="228"/>
      <c r="D10" s="228" t="s">
        <v>730</v>
      </c>
      <c r="E10" s="228"/>
      <c r="F10" s="228" t="s">
        <v>533</v>
      </c>
      <c r="G10" s="228"/>
      <c r="H10" s="228" t="s">
        <v>488</v>
      </c>
    </row>
    <row r="11" spans="1:9" x14ac:dyDescent="0.2">
      <c r="A11" s="582"/>
      <c r="B11" s="56" t="s">
        <v>385</v>
      </c>
      <c r="C11" s="228"/>
      <c r="D11" s="56" t="s">
        <v>385</v>
      </c>
      <c r="E11" s="228"/>
      <c r="F11" s="56" t="s">
        <v>385</v>
      </c>
      <c r="G11" s="228"/>
      <c r="H11" s="56" t="s">
        <v>489</v>
      </c>
    </row>
    <row r="12" spans="1:9" x14ac:dyDescent="0.2">
      <c r="A12" s="101" t="s">
        <v>27</v>
      </c>
      <c r="B12" s="213"/>
      <c r="C12" s="213"/>
      <c r="D12" s="213"/>
      <c r="E12" s="213"/>
      <c r="F12" s="213"/>
      <c r="G12" s="213"/>
      <c r="H12" s="213"/>
    </row>
    <row r="13" spans="1:9" x14ac:dyDescent="0.2">
      <c r="A13" s="33" t="s">
        <v>69</v>
      </c>
      <c r="B13" s="59">
        <v>115000</v>
      </c>
      <c r="C13" s="59"/>
      <c r="D13" s="59">
        <v>0</v>
      </c>
      <c r="E13" s="59"/>
      <c r="F13" s="59">
        <v>0</v>
      </c>
      <c r="G13" s="59"/>
      <c r="H13" s="59">
        <f>SUM(B13:F13)</f>
        <v>115000</v>
      </c>
    </row>
    <row r="14" spans="1:9" x14ac:dyDescent="0.2">
      <c r="A14" s="33" t="s">
        <v>71</v>
      </c>
      <c r="B14" s="31">
        <v>0</v>
      </c>
      <c r="C14" s="31"/>
      <c r="D14" s="31">
        <v>3935</v>
      </c>
      <c r="E14" s="31"/>
      <c r="F14" s="31">
        <v>4836</v>
      </c>
      <c r="G14" s="31"/>
      <c r="H14" s="31">
        <f>SUM(B14:F14)</f>
        <v>8771</v>
      </c>
    </row>
    <row r="15" spans="1:9" x14ac:dyDescent="0.2">
      <c r="A15" s="33" t="s">
        <v>29</v>
      </c>
      <c r="B15" s="5">
        <v>0</v>
      </c>
      <c r="C15" s="31"/>
      <c r="D15" s="5">
        <v>0</v>
      </c>
      <c r="E15" s="31"/>
      <c r="F15" s="5">
        <v>412</v>
      </c>
      <c r="G15" s="31"/>
      <c r="H15" s="5">
        <f>SUM(B15:F15)</f>
        <v>412</v>
      </c>
    </row>
    <row r="16" spans="1:9" x14ac:dyDescent="0.2">
      <c r="A16" t="s">
        <v>30</v>
      </c>
      <c r="B16" s="5">
        <f>SUM(B13:B15)</f>
        <v>115000</v>
      </c>
      <c r="C16" s="31"/>
      <c r="D16" s="5">
        <f>SUM(D13:D15)</f>
        <v>3935</v>
      </c>
      <c r="E16" s="31"/>
      <c r="F16" s="5">
        <f>SUM(F13:F15)</f>
        <v>5248</v>
      </c>
      <c r="G16" s="31"/>
      <c r="H16" s="5">
        <f>SUM(H13:H15)</f>
        <v>124183</v>
      </c>
    </row>
    <row r="17" spans="1:12" x14ac:dyDescent="0.2">
      <c r="B17" s="31"/>
      <c r="C17" s="31"/>
      <c r="D17" s="31"/>
      <c r="E17" s="31"/>
      <c r="F17" s="31"/>
      <c r="G17" s="31"/>
      <c r="H17" s="31"/>
    </row>
    <row r="18" spans="1:12" x14ac:dyDescent="0.2">
      <c r="A18" s="101" t="s">
        <v>31</v>
      </c>
      <c r="B18" s="31"/>
      <c r="C18" s="31"/>
      <c r="D18" s="31"/>
      <c r="E18" s="31"/>
      <c r="F18" s="31"/>
      <c r="G18" s="31"/>
      <c r="H18" s="31"/>
    </row>
    <row r="19" spans="1:12" ht="25.5" customHeight="1" x14ac:dyDescent="0.2">
      <c r="A19" s="251" t="s">
        <v>729</v>
      </c>
      <c r="B19" s="31">
        <v>0</v>
      </c>
      <c r="C19" s="31"/>
      <c r="D19" s="31">
        <v>2095</v>
      </c>
      <c r="E19" s="31"/>
      <c r="F19" s="31">
        <v>0</v>
      </c>
      <c r="G19" s="31"/>
      <c r="H19" s="31">
        <f>SUM(B19:F19)</f>
        <v>2095</v>
      </c>
    </row>
    <row r="20" spans="1:12" ht="19.899999999999999" customHeight="1" x14ac:dyDescent="0.2">
      <c r="A20" s="251" t="s">
        <v>64</v>
      </c>
      <c r="B20" s="5">
        <v>115000</v>
      </c>
      <c r="C20" s="31"/>
      <c r="D20" s="5">
        <v>0</v>
      </c>
      <c r="E20" s="31"/>
      <c r="F20" s="5">
        <v>0</v>
      </c>
      <c r="G20" s="31"/>
      <c r="H20" s="5">
        <v>115000</v>
      </c>
    </row>
    <row r="21" spans="1:12" x14ac:dyDescent="0.2">
      <c r="A21" s="251" t="s">
        <v>37</v>
      </c>
      <c r="B21" s="5">
        <f>SUM(B19:B20)</f>
        <v>115000</v>
      </c>
      <c r="C21" s="31"/>
      <c r="D21" s="5">
        <f>SUM(D19:D20)</f>
        <v>2095</v>
      </c>
      <c r="E21" s="31"/>
      <c r="F21" s="5">
        <f>SUM(F19:F20)</f>
        <v>0</v>
      </c>
      <c r="G21" s="31"/>
      <c r="H21" s="5">
        <f>SUM(H19:H20)</f>
        <v>117095</v>
      </c>
    </row>
    <row r="22" spans="1:12" x14ac:dyDescent="0.2">
      <c r="B22" s="31"/>
      <c r="C22" s="31"/>
      <c r="D22" s="31"/>
      <c r="E22" s="31"/>
      <c r="F22" s="31"/>
      <c r="G22" s="31"/>
      <c r="H22" s="31"/>
    </row>
    <row r="23" spans="1:12" x14ac:dyDescent="0.2">
      <c r="A23" s="101" t="s">
        <v>182</v>
      </c>
      <c r="B23" s="31">
        <f>B16-B21</f>
        <v>0</v>
      </c>
      <c r="C23" s="31"/>
      <c r="D23" s="31">
        <f>D16-D21</f>
        <v>1840</v>
      </c>
      <c r="E23" s="31"/>
      <c r="F23" s="31">
        <f>F16-F21</f>
        <v>5248</v>
      </c>
      <c r="G23" s="31"/>
      <c r="H23" s="31">
        <f>H16-H21</f>
        <v>7088</v>
      </c>
    </row>
    <row r="24" spans="1:12" x14ac:dyDescent="0.2">
      <c r="B24" s="31"/>
      <c r="C24" s="31"/>
      <c r="D24" s="31"/>
      <c r="E24" s="31"/>
      <c r="F24" s="31"/>
      <c r="G24" s="31"/>
      <c r="H24" s="31"/>
    </row>
    <row r="25" spans="1:12" x14ac:dyDescent="0.2">
      <c r="A25" s="582" t="s">
        <v>843</v>
      </c>
      <c r="B25" s="31">
        <v>0</v>
      </c>
      <c r="C25" s="31"/>
      <c r="D25" s="31">
        <v>2455</v>
      </c>
      <c r="E25" s="31"/>
      <c r="F25" s="31">
        <v>19808</v>
      </c>
      <c r="G25" s="31"/>
      <c r="H25" s="31">
        <f>+B25+D25+F25</f>
        <v>22263</v>
      </c>
    </row>
    <row r="26" spans="1:12" ht="13.5" thickBot="1" x14ac:dyDescent="0.25">
      <c r="A26" s="582" t="s">
        <v>842</v>
      </c>
      <c r="B26" s="61">
        <f>+B23+B25</f>
        <v>0</v>
      </c>
      <c r="C26" s="59"/>
      <c r="D26" s="61">
        <f>+D23+D25</f>
        <v>4295</v>
      </c>
      <c r="E26" s="59"/>
      <c r="F26" s="61">
        <f>+F23+F25</f>
        <v>25056</v>
      </c>
      <c r="G26" s="59"/>
      <c r="H26" s="61">
        <f>+H23+H25</f>
        <v>29351</v>
      </c>
    </row>
    <row r="27" spans="1:12" ht="13.5" thickTop="1" x14ac:dyDescent="0.2"/>
    <row r="29" spans="1:12" ht="13.5" thickBot="1" x14ac:dyDescent="0.25">
      <c r="A29" s="551"/>
      <c r="B29" s="551"/>
      <c r="C29" s="551"/>
      <c r="D29" s="551"/>
      <c r="E29" s="551"/>
      <c r="F29" s="551"/>
      <c r="G29" s="551"/>
      <c r="H29" s="551"/>
      <c r="I29" s="550"/>
      <c r="J29" s="550"/>
      <c r="K29" s="550"/>
      <c r="L29" s="550"/>
    </row>
    <row r="30" spans="1:12" ht="50.25" customHeight="1" thickBot="1" x14ac:dyDescent="0.25">
      <c r="A30" s="886" t="s">
        <v>652</v>
      </c>
      <c r="B30" s="887"/>
      <c r="C30" s="887"/>
      <c r="D30" s="887"/>
      <c r="E30" s="887"/>
      <c r="F30" s="887"/>
      <c r="G30" s="887"/>
      <c r="H30" s="888"/>
    </row>
    <row r="48" spans="6:14" x14ac:dyDescent="0.2">
      <c r="F48" s="882"/>
      <c r="G48" s="882"/>
      <c r="H48" s="831"/>
      <c r="I48" s="831"/>
      <c r="J48" s="831"/>
      <c r="K48" s="831"/>
      <c r="L48" s="831"/>
      <c r="M48" s="831"/>
      <c r="N48" s="831"/>
    </row>
    <row r="49" spans="6:14" x14ac:dyDescent="0.2">
      <c r="F49" s="831"/>
      <c r="G49" s="831"/>
      <c r="H49" s="831"/>
      <c r="I49" s="831"/>
      <c r="J49" s="831"/>
      <c r="K49" s="831"/>
      <c r="L49" s="831"/>
      <c r="M49" s="831"/>
      <c r="N49" s="831"/>
    </row>
    <row r="50" spans="6:14" x14ac:dyDescent="0.2">
      <c r="F50" s="831"/>
      <c r="G50" s="831"/>
      <c r="H50" s="831"/>
      <c r="I50" s="831"/>
      <c r="J50" s="831"/>
      <c r="K50" s="831"/>
      <c r="L50" s="831"/>
      <c r="M50" s="831"/>
      <c r="N50" s="831"/>
    </row>
    <row r="51" spans="6:14" x14ac:dyDescent="0.2">
      <c r="F51" s="831"/>
      <c r="G51" s="831"/>
      <c r="H51" s="831"/>
      <c r="I51" s="831"/>
      <c r="J51" s="831"/>
      <c r="K51" s="831"/>
      <c r="L51" s="831"/>
      <c r="M51" s="831"/>
      <c r="N51" s="831"/>
    </row>
  </sheetData>
  <customSheetViews>
    <customSheetView guid="{AB48C5D7-99F4-4378-A0F9-05018B348977}">
      <selection activeCell="B39" sqref="B39"/>
      <pageMargins left="0.75" right="0.75" top="1" bottom="1" header="0.5" footer="0.5"/>
      <pageSetup scale="79" firstPageNumber="100" orientation="portrait" useFirstPageNumber="1" r:id="rId1"/>
      <headerFooter alignWithMargins="0"/>
    </customSheetView>
  </customSheetViews>
  <mergeCells count="7">
    <mergeCell ref="A1:H1"/>
    <mergeCell ref="A2:H2"/>
    <mergeCell ref="A3:H3"/>
    <mergeCell ref="A4:H4"/>
    <mergeCell ref="F48:N51"/>
    <mergeCell ref="A30:H30"/>
    <mergeCell ref="B8:D8"/>
  </mergeCells>
  <phoneticPr fontId="0" type="noConversion"/>
  <printOptions horizontalCentered="1"/>
  <pageMargins left="0.6" right="0.6" top="0.75" bottom="0.75" header="0.3" footer="0.3"/>
  <pageSetup scale="86" firstPageNumber="100"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FF00"/>
    <pageSetUpPr fitToPage="1"/>
  </sheetPr>
  <dimension ref="A1:M46"/>
  <sheetViews>
    <sheetView workbookViewId="0">
      <selection activeCell="E7" sqref="E7"/>
    </sheetView>
  </sheetViews>
  <sheetFormatPr defaultColWidth="9.140625" defaultRowHeight="12.75" x14ac:dyDescent="0.2"/>
  <cols>
    <col min="1" max="3" width="2.42578125" customWidth="1"/>
    <col min="4" max="4" width="20.140625" customWidth="1"/>
    <col min="5" max="5" width="13.42578125" customWidth="1"/>
    <col min="6" max="6" width="1.7109375" customWidth="1"/>
    <col min="7" max="7" width="10.140625" bestFit="1" customWidth="1"/>
    <col min="8" max="8" width="1.7109375" customWidth="1"/>
    <col min="9" max="9" width="10.140625" bestFit="1" customWidth="1"/>
    <col min="10" max="10" width="1.7109375" customWidth="1"/>
    <col min="11" max="11" width="10.140625" bestFit="1" customWidth="1"/>
    <col min="12" max="12" width="1.7109375" customWidth="1"/>
    <col min="13" max="13" width="11.28515625" customWidth="1"/>
  </cols>
  <sheetData>
    <row r="1" spans="1:13" s="101" customFormat="1" x14ac:dyDescent="0.2">
      <c r="A1" s="207" t="s">
        <v>136</v>
      </c>
      <c r="B1" s="67"/>
      <c r="C1" s="67"/>
      <c r="D1" s="67"/>
      <c r="E1" s="67"/>
      <c r="F1" s="67"/>
      <c r="G1" s="67"/>
      <c r="H1" s="67"/>
      <c r="I1" s="67"/>
      <c r="J1" s="67"/>
      <c r="K1" s="67"/>
      <c r="L1" s="67"/>
      <c r="M1" s="67"/>
    </row>
    <row r="2" spans="1:13" s="101" customFormat="1" x14ac:dyDescent="0.2">
      <c r="A2" s="67" t="s">
        <v>164</v>
      </c>
      <c r="B2" s="67"/>
      <c r="C2" s="67"/>
      <c r="D2" s="67"/>
      <c r="E2" s="67"/>
      <c r="F2" s="67"/>
      <c r="G2" s="67"/>
      <c r="H2" s="67"/>
      <c r="I2" s="67"/>
      <c r="J2" s="67"/>
      <c r="K2" s="67"/>
      <c r="L2" s="67"/>
      <c r="M2" s="67"/>
    </row>
    <row r="3" spans="1:13" s="101" customFormat="1" x14ac:dyDescent="0.2">
      <c r="A3" s="67" t="s">
        <v>465</v>
      </c>
      <c r="B3" s="67"/>
      <c r="C3" s="67"/>
      <c r="D3" s="67"/>
      <c r="E3" s="67"/>
      <c r="F3" s="67"/>
      <c r="G3" s="67"/>
      <c r="H3" s="67"/>
      <c r="I3" s="67"/>
      <c r="J3" s="67"/>
      <c r="K3" s="67"/>
      <c r="L3" s="67"/>
      <c r="M3" s="67"/>
    </row>
    <row r="4" spans="1:13" s="101" customFormat="1" x14ac:dyDescent="0.2">
      <c r="A4" s="67" t="s">
        <v>165</v>
      </c>
      <c r="B4" s="67"/>
      <c r="C4" s="67"/>
      <c r="D4" s="67"/>
      <c r="E4" s="67"/>
      <c r="F4" s="67"/>
      <c r="G4" s="67"/>
      <c r="H4" s="67"/>
      <c r="I4" s="67"/>
      <c r="J4" s="67"/>
      <c r="K4" s="67"/>
      <c r="L4" s="67"/>
      <c r="M4" s="67"/>
    </row>
    <row r="5" spans="1:13" s="101" customFormat="1" x14ac:dyDescent="0.2">
      <c r="A5" s="67" t="s">
        <v>784</v>
      </c>
      <c r="B5" s="67"/>
      <c r="C5" s="67"/>
      <c r="D5" s="67"/>
      <c r="E5" s="67"/>
      <c r="F5" s="67"/>
      <c r="G5" s="67"/>
      <c r="H5" s="67"/>
      <c r="I5" s="67"/>
      <c r="J5" s="67"/>
      <c r="K5" s="67"/>
      <c r="L5" s="67"/>
      <c r="M5" s="67"/>
    </row>
    <row r="6" spans="1:13" s="101" customFormat="1" x14ac:dyDescent="0.2">
      <c r="A6" s="67"/>
      <c r="B6" s="67"/>
      <c r="C6" s="67"/>
      <c r="D6" s="67"/>
      <c r="E6" s="67"/>
      <c r="F6" s="67"/>
      <c r="G6" s="67"/>
      <c r="H6" s="67"/>
      <c r="I6" s="67"/>
      <c r="J6" s="67"/>
      <c r="K6" s="67"/>
      <c r="L6" s="67"/>
      <c r="M6" s="67"/>
    </row>
    <row r="7" spans="1:13" s="101" customFormat="1" x14ac:dyDescent="0.2">
      <c r="A7" s="67"/>
      <c r="B7" s="67"/>
      <c r="C7" s="67"/>
      <c r="D7" s="67"/>
      <c r="E7" s="67"/>
      <c r="F7" s="67"/>
      <c r="G7" s="67"/>
      <c r="H7" s="67"/>
      <c r="I7" s="67"/>
      <c r="J7" s="67"/>
      <c r="K7" s="67"/>
      <c r="L7" s="67"/>
      <c r="M7" s="67"/>
    </row>
    <row r="8" spans="1:13" ht="13.5" thickBot="1" x14ac:dyDescent="0.25">
      <c r="A8" s="68"/>
      <c r="B8" s="68"/>
      <c r="C8" s="68"/>
      <c r="D8" s="68"/>
      <c r="E8" s="68"/>
      <c r="F8" s="68"/>
      <c r="G8" s="68"/>
      <c r="H8" s="68"/>
      <c r="I8" s="68"/>
      <c r="J8" s="68"/>
      <c r="K8" s="68"/>
      <c r="L8" s="68"/>
      <c r="M8" s="68"/>
    </row>
    <row r="9" spans="1:13" x14ac:dyDescent="0.2">
      <c r="A9" s="25"/>
      <c r="B9" s="25"/>
      <c r="C9" s="25"/>
      <c r="D9" s="25"/>
      <c r="F9" s="25"/>
      <c r="G9" s="208" t="s">
        <v>167</v>
      </c>
      <c r="H9" s="208"/>
      <c r="I9" s="208"/>
      <c r="J9" s="208"/>
      <c r="K9" s="208"/>
      <c r="L9" s="25"/>
      <c r="M9" s="9" t="s">
        <v>168</v>
      </c>
    </row>
    <row r="10" spans="1:13" x14ac:dyDescent="0.2">
      <c r="A10" s="25"/>
      <c r="B10" s="25"/>
      <c r="C10" s="25"/>
      <c r="D10" s="25"/>
      <c r="E10" s="9" t="s">
        <v>166</v>
      </c>
      <c r="F10" s="25"/>
      <c r="G10" s="9" t="s">
        <v>169</v>
      </c>
      <c r="H10" s="25"/>
      <c r="I10" s="9" t="s">
        <v>170</v>
      </c>
      <c r="J10" s="25"/>
      <c r="K10" s="9" t="s">
        <v>171</v>
      </c>
      <c r="L10" s="25"/>
      <c r="M10" s="691" t="s">
        <v>831</v>
      </c>
    </row>
    <row r="11" spans="1:13" x14ac:dyDescent="0.2">
      <c r="A11" s="25"/>
      <c r="B11" s="25" t="s">
        <v>172</v>
      </c>
      <c r="C11" s="25"/>
      <c r="D11" s="25"/>
      <c r="E11" s="695" t="s">
        <v>778</v>
      </c>
      <c r="F11" s="25"/>
      <c r="G11" s="10" t="s">
        <v>173</v>
      </c>
      <c r="H11" s="25"/>
      <c r="I11" s="10" t="s">
        <v>174</v>
      </c>
      <c r="J11" s="25"/>
      <c r="K11" s="10" t="s">
        <v>156</v>
      </c>
      <c r="L11" s="25"/>
      <c r="M11" s="692" t="s">
        <v>832</v>
      </c>
    </row>
    <row r="12" spans="1:13" x14ac:dyDescent="0.2">
      <c r="A12" s="697" t="s">
        <v>127</v>
      </c>
      <c r="B12" s="25"/>
      <c r="C12" s="25"/>
      <c r="D12" s="25"/>
      <c r="E12" s="72"/>
      <c r="F12" s="72"/>
      <c r="G12" s="72"/>
      <c r="H12" s="72"/>
      <c r="I12" s="72"/>
      <c r="J12" s="72"/>
      <c r="K12" s="72"/>
      <c r="L12" s="72"/>
      <c r="M12" s="72"/>
    </row>
    <row r="13" spans="1:13" x14ac:dyDescent="0.2">
      <c r="A13" s="25"/>
      <c r="B13" s="25" t="s">
        <v>194</v>
      </c>
      <c r="C13" s="25"/>
      <c r="D13" s="25"/>
      <c r="E13" s="72"/>
      <c r="F13" s="72"/>
      <c r="G13" s="72"/>
      <c r="H13" s="72"/>
      <c r="I13" s="72"/>
      <c r="J13" s="72"/>
      <c r="K13" s="72"/>
      <c r="L13" s="72"/>
      <c r="M13" s="25"/>
    </row>
    <row r="14" spans="1:13" x14ac:dyDescent="0.2">
      <c r="A14" s="25"/>
      <c r="B14" s="25"/>
      <c r="C14" s="25" t="s">
        <v>175</v>
      </c>
      <c r="D14" s="25"/>
      <c r="E14" s="72"/>
      <c r="F14" s="72"/>
      <c r="G14" s="72"/>
      <c r="H14" s="72"/>
      <c r="I14" s="72"/>
      <c r="J14" s="72"/>
      <c r="K14" s="72"/>
      <c r="L14" s="72"/>
      <c r="M14" s="25"/>
    </row>
    <row r="15" spans="1:13" x14ac:dyDescent="0.2">
      <c r="A15" s="25"/>
      <c r="B15" s="25"/>
      <c r="C15" s="25" t="s">
        <v>529</v>
      </c>
      <c r="D15" s="25"/>
      <c r="E15" s="209">
        <v>320000</v>
      </c>
      <c r="F15" s="693"/>
      <c r="G15" s="209">
        <v>205000</v>
      </c>
      <c r="H15" s="693"/>
      <c r="I15" s="209">
        <v>115000</v>
      </c>
      <c r="J15" s="693"/>
      <c r="K15" s="209">
        <f>+I15+G15</f>
        <v>320000</v>
      </c>
      <c r="L15" s="694"/>
      <c r="M15" s="209">
        <f>+K15-E15</f>
        <v>0</v>
      </c>
    </row>
    <row r="16" spans="1:13" x14ac:dyDescent="0.2">
      <c r="A16" s="25"/>
      <c r="B16" s="25"/>
      <c r="C16" s="25"/>
      <c r="D16" s="25"/>
      <c r="E16" s="72"/>
      <c r="F16" s="72"/>
      <c r="G16" s="72"/>
      <c r="H16" s="72"/>
      <c r="I16" s="72"/>
      <c r="J16" s="72"/>
      <c r="K16" s="72"/>
      <c r="L16" s="72"/>
      <c r="M16" s="72"/>
    </row>
    <row r="17" spans="1:13" x14ac:dyDescent="0.2">
      <c r="A17" s="697" t="s">
        <v>128</v>
      </c>
      <c r="B17" s="25"/>
      <c r="C17" s="25"/>
      <c r="D17" s="25"/>
      <c r="E17" s="72"/>
      <c r="F17" s="72"/>
      <c r="G17" s="72"/>
      <c r="H17" s="72"/>
      <c r="I17" s="72"/>
      <c r="J17" s="72"/>
      <c r="K17" s="72"/>
      <c r="L17" s="72"/>
      <c r="M17" s="72"/>
    </row>
    <row r="18" spans="1:13" x14ac:dyDescent="0.2">
      <c r="A18" s="25"/>
      <c r="B18" s="25" t="s">
        <v>176</v>
      </c>
      <c r="C18" s="25"/>
      <c r="D18" s="25"/>
      <c r="E18" s="72"/>
      <c r="F18" s="72"/>
      <c r="G18" s="72"/>
      <c r="H18" s="72"/>
      <c r="I18" s="72"/>
      <c r="J18" s="72"/>
      <c r="K18" s="72"/>
      <c r="L18" s="72"/>
      <c r="M18" s="72"/>
    </row>
    <row r="19" spans="1:13" x14ac:dyDescent="0.2">
      <c r="A19" s="25"/>
      <c r="B19" s="25" t="s">
        <v>177</v>
      </c>
      <c r="C19" s="25"/>
      <c r="D19" s="25"/>
      <c r="E19" s="25"/>
      <c r="F19" s="25"/>
      <c r="G19" s="25"/>
      <c r="H19" s="25"/>
      <c r="I19" s="25"/>
      <c r="J19" s="25"/>
      <c r="K19" s="25"/>
      <c r="L19" s="25"/>
      <c r="M19" s="25"/>
    </row>
    <row r="20" spans="1:13" x14ac:dyDescent="0.2">
      <c r="A20" s="25"/>
      <c r="B20" s="25"/>
      <c r="C20" s="25" t="s">
        <v>85</v>
      </c>
      <c r="D20" s="25"/>
      <c r="E20" s="72">
        <v>5100</v>
      </c>
      <c r="F20" s="72"/>
      <c r="G20" s="72">
        <v>3241</v>
      </c>
      <c r="H20" s="72"/>
      <c r="I20" s="72">
        <v>1859</v>
      </c>
      <c r="J20" s="72"/>
      <c r="K20" s="72">
        <f>+I20+G20</f>
        <v>5100</v>
      </c>
      <c r="L20" s="72"/>
      <c r="M20" s="72">
        <f>+E20-K20</f>
        <v>0</v>
      </c>
    </row>
    <row r="21" spans="1:13" x14ac:dyDescent="0.2">
      <c r="A21" s="25"/>
      <c r="B21" s="25"/>
      <c r="C21" s="25" t="s">
        <v>178</v>
      </c>
      <c r="D21" s="25"/>
      <c r="E21" s="72">
        <v>80600</v>
      </c>
      <c r="F21" s="72"/>
      <c r="G21" s="72">
        <v>54002</v>
      </c>
      <c r="H21" s="72"/>
      <c r="I21" s="72">
        <v>26598</v>
      </c>
      <c r="J21" s="72"/>
      <c r="K21" s="72">
        <f>+I21+G21</f>
        <v>80600</v>
      </c>
      <c r="L21" s="72"/>
      <c r="M21" s="72">
        <f>+E21-K21</f>
        <v>0</v>
      </c>
    </row>
    <row r="22" spans="1:13" x14ac:dyDescent="0.2">
      <c r="A22" s="25"/>
      <c r="B22" s="25"/>
      <c r="C22" s="25" t="s">
        <v>179</v>
      </c>
      <c r="D22" s="25"/>
      <c r="E22" s="72">
        <v>156500</v>
      </c>
      <c r="F22" s="72"/>
      <c r="G22" s="72">
        <f>77498+16503</f>
        <v>94001</v>
      </c>
      <c r="H22" s="72"/>
      <c r="I22" s="72">
        <f>61602+17400-16503</f>
        <v>62499</v>
      </c>
      <c r="J22" s="72"/>
      <c r="K22" s="72">
        <f>+I22+G22</f>
        <v>156500</v>
      </c>
      <c r="L22" s="72"/>
      <c r="M22" s="72">
        <f>+E22-K22</f>
        <v>0</v>
      </c>
    </row>
    <row r="23" spans="1:13" x14ac:dyDescent="0.2">
      <c r="A23" s="25"/>
      <c r="B23" s="25"/>
      <c r="C23" s="25" t="s">
        <v>180</v>
      </c>
      <c r="D23" s="25"/>
      <c r="E23" s="72">
        <v>71900</v>
      </c>
      <c r="F23" s="72"/>
      <c r="G23" s="72">
        <v>48196</v>
      </c>
      <c r="H23" s="72"/>
      <c r="I23" s="72">
        <v>23704</v>
      </c>
      <c r="J23" s="72"/>
      <c r="K23" s="72">
        <f>+I23+G23</f>
        <v>71900</v>
      </c>
      <c r="L23" s="72"/>
      <c r="M23" s="72">
        <f>+E23-K23</f>
        <v>0</v>
      </c>
    </row>
    <row r="24" spans="1:13" x14ac:dyDescent="0.2">
      <c r="A24" s="25"/>
      <c r="B24" s="25"/>
      <c r="C24" s="25" t="s">
        <v>181</v>
      </c>
      <c r="D24" s="25"/>
      <c r="E24" s="64">
        <v>5900</v>
      </c>
      <c r="F24" s="72"/>
      <c r="G24" s="64">
        <v>5560</v>
      </c>
      <c r="H24" s="72"/>
      <c r="I24" s="64">
        <v>340</v>
      </c>
      <c r="J24" s="72"/>
      <c r="K24" s="83">
        <f>+I24+G24</f>
        <v>5900</v>
      </c>
      <c r="L24" s="72"/>
      <c r="M24" s="83">
        <f>+E24-K24</f>
        <v>0</v>
      </c>
    </row>
    <row r="25" spans="1:13" x14ac:dyDescent="0.2">
      <c r="A25" s="25"/>
      <c r="B25" s="25"/>
      <c r="C25" s="25"/>
      <c r="D25" s="25" t="s">
        <v>37</v>
      </c>
      <c r="E25" s="64">
        <f>SUM(E20:E24)</f>
        <v>320000</v>
      </c>
      <c r="F25" s="72"/>
      <c r="G25" s="64">
        <f>SUM(G20:G24)</f>
        <v>205000</v>
      </c>
      <c r="H25" s="72"/>
      <c r="I25" s="64">
        <f>SUM(I20:I24)</f>
        <v>115000</v>
      </c>
      <c r="J25" s="72"/>
      <c r="K25" s="64">
        <f>SUM(K20:K24)</f>
        <v>320000</v>
      </c>
      <c r="L25" s="72"/>
      <c r="M25" s="64">
        <f>SUM(M20:M24)</f>
        <v>0</v>
      </c>
    </row>
    <row r="26" spans="1:13" x14ac:dyDescent="0.2">
      <c r="A26" s="25"/>
      <c r="B26" s="25"/>
      <c r="C26" s="25"/>
      <c r="D26" s="25"/>
      <c r="E26" s="25"/>
      <c r="F26" s="25"/>
      <c r="G26" s="72"/>
      <c r="H26" s="72"/>
      <c r="I26" s="72"/>
      <c r="J26" s="72"/>
      <c r="K26" s="72"/>
      <c r="L26" s="72"/>
      <c r="M26" s="72"/>
    </row>
    <row r="27" spans="1:13" ht="13.5" thickBot="1" x14ac:dyDescent="0.25">
      <c r="A27" s="697" t="s">
        <v>182</v>
      </c>
      <c r="B27" s="25"/>
      <c r="C27" s="25"/>
      <c r="D27" s="25"/>
      <c r="E27" s="92">
        <f>+E15-E25</f>
        <v>0</v>
      </c>
      <c r="F27" s="210"/>
      <c r="G27" s="92">
        <f>+G15-G25</f>
        <v>0</v>
      </c>
      <c r="H27" s="25"/>
      <c r="I27" s="72">
        <f>+I15-I25</f>
        <v>0</v>
      </c>
      <c r="J27" s="25"/>
      <c r="K27" s="92">
        <f>+K15-K25</f>
        <v>0</v>
      </c>
      <c r="L27" s="211"/>
      <c r="M27" s="92">
        <f>+M15-M25</f>
        <v>0</v>
      </c>
    </row>
    <row r="28" spans="1:13" ht="13.5" thickTop="1" x14ac:dyDescent="0.2">
      <c r="A28" s="25"/>
      <c r="B28" s="25"/>
      <c r="C28" s="25"/>
      <c r="D28" s="25"/>
      <c r="E28" s="72"/>
      <c r="F28" s="72"/>
      <c r="G28" s="72"/>
      <c r="H28" s="72"/>
      <c r="I28" s="72"/>
      <c r="J28" s="72"/>
      <c r="K28" s="72"/>
      <c r="L28" s="72"/>
      <c r="M28" s="72"/>
    </row>
    <row r="29" spans="1:13" x14ac:dyDescent="0.2">
      <c r="A29" s="696" t="s">
        <v>844</v>
      </c>
      <c r="B29" s="25"/>
      <c r="C29" s="25"/>
      <c r="D29" s="25"/>
      <c r="E29" s="72"/>
      <c r="F29" s="72"/>
      <c r="G29" s="25"/>
      <c r="H29" s="72"/>
      <c r="I29" s="85">
        <v>0</v>
      </c>
      <c r="J29" s="72"/>
      <c r="K29" s="72"/>
      <c r="L29" s="72"/>
      <c r="M29" s="72"/>
    </row>
    <row r="30" spans="1:13" ht="13.5" thickBot="1" x14ac:dyDescent="0.25">
      <c r="A30" s="696" t="s">
        <v>845</v>
      </c>
      <c r="B30" s="25"/>
      <c r="C30" s="25"/>
      <c r="D30" s="25"/>
      <c r="E30" s="72"/>
      <c r="F30" s="72"/>
      <c r="G30" s="72"/>
      <c r="H30" s="72"/>
      <c r="I30" s="212">
        <f>+I29+I27</f>
        <v>0</v>
      </c>
      <c r="J30" s="72"/>
      <c r="K30" s="72"/>
      <c r="L30" s="72"/>
      <c r="M30" s="72"/>
    </row>
    <row r="31" spans="1:13" ht="13.5" thickTop="1" x14ac:dyDescent="0.2">
      <c r="A31" s="696"/>
      <c r="B31" s="25"/>
      <c r="C31" s="25"/>
      <c r="D31" s="25"/>
      <c r="E31" s="72"/>
      <c r="F31" s="72"/>
      <c r="G31" s="72"/>
      <c r="H31" s="72"/>
      <c r="I31" s="698"/>
      <c r="J31" s="72"/>
      <c r="K31" s="72"/>
      <c r="L31" s="72"/>
      <c r="M31" s="72"/>
    </row>
    <row r="32" spans="1:13" x14ac:dyDescent="0.2">
      <c r="A32" s="25"/>
      <c r="B32" s="25"/>
      <c r="C32" s="25"/>
      <c r="D32" s="25"/>
      <c r="E32" s="72"/>
      <c r="F32" s="72"/>
      <c r="G32" s="72"/>
      <c r="H32" s="72"/>
      <c r="I32" s="72"/>
      <c r="J32" s="72"/>
      <c r="K32" s="72"/>
      <c r="L32" s="72"/>
      <c r="M32" s="63"/>
    </row>
    <row r="33" spans="1:13" ht="13.5" thickBot="1" x14ac:dyDescent="0.25">
      <c r="A33" s="254"/>
      <c r="B33" s="254"/>
      <c r="C33" s="254"/>
      <c r="D33" s="254"/>
      <c r="E33" s="255"/>
      <c r="F33" s="255"/>
      <c r="G33" s="255"/>
      <c r="H33" s="255"/>
      <c r="I33" s="255"/>
      <c r="J33" s="255"/>
      <c r="K33" s="255"/>
      <c r="L33" s="72"/>
      <c r="M33" s="63"/>
    </row>
    <row r="34" spans="1:13" ht="13.15" customHeight="1" x14ac:dyDescent="0.2">
      <c r="A34" s="256"/>
      <c r="B34" s="878" t="s">
        <v>720</v>
      </c>
      <c r="C34" s="828"/>
      <c r="D34" s="828"/>
      <c r="E34" s="828"/>
      <c r="F34" s="828"/>
      <c r="G34" s="828"/>
      <c r="H34" s="828"/>
      <c r="I34" s="828"/>
      <c r="J34" s="828"/>
      <c r="K34" s="828"/>
      <c r="L34" s="828"/>
      <c r="M34" s="829"/>
    </row>
    <row r="35" spans="1:13" ht="13.15" customHeight="1" x14ac:dyDescent="0.2">
      <c r="A35" s="552"/>
      <c r="B35" s="830"/>
      <c r="C35" s="831"/>
      <c r="D35" s="831"/>
      <c r="E35" s="831"/>
      <c r="F35" s="831"/>
      <c r="G35" s="831"/>
      <c r="H35" s="831"/>
      <c r="I35" s="831"/>
      <c r="J35" s="831"/>
      <c r="K35" s="831"/>
      <c r="L35" s="831"/>
      <c r="M35" s="832"/>
    </row>
    <row r="36" spans="1:13" x14ac:dyDescent="0.2">
      <c r="A36" s="552"/>
      <c r="B36" s="830"/>
      <c r="C36" s="831"/>
      <c r="D36" s="831"/>
      <c r="E36" s="831"/>
      <c r="F36" s="831"/>
      <c r="G36" s="831"/>
      <c r="H36" s="831"/>
      <c r="I36" s="831"/>
      <c r="J36" s="831"/>
      <c r="K36" s="831"/>
      <c r="L36" s="831"/>
      <c r="M36" s="832"/>
    </row>
    <row r="37" spans="1:13" x14ac:dyDescent="0.2">
      <c r="A37" s="552"/>
      <c r="B37" s="830"/>
      <c r="C37" s="831"/>
      <c r="D37" s="831"/>
      <c r="E37" s="831"/>
      <c r="F37" s="831"/>
      <c r="G37" s="831"/>
      <c r="H37" s="831"/>
      <c r="I37" s="831"/>
      <c r="J37" s="831"/>
      <c r="K37" s="831"/>
      <c r="L37" s="831"/>
      <c r="M37" s="832"/>
    </row>
    <row r="38" spans="1:13" x14ac:dyDescent="0.2">
      <c r="A38" s="552"/>
      <c r="B38" s="830"/>
      <c r="C38" s="831"/>
      <c r="D38" s="831"/>
      <c r="E38" s="831"/>
      <c r="F38" s="831"/>
      <c r="G38" s="831"/>
      <c r="H38" s="831"/>
      <c r="I38" s="831"/>
      <c r="J38" s="831"/>
      <c r="K38" s="831"/>
      <c r="L38" s="831"/>
      <c r="M38" s="832"/>
    </row>
    <row r="39" spans="1:13" x14ac:dyDescent="0.2">
      <c r="A39" s="552"/>
      <c r="B39" s="830"/>
      <c r="C39" s="831"/>
      <c r="D39" s="831"/>
      <c r="E39" s="831"/>
      <c r="F39" s="831"/>
      <c r="G39" s="831"/>
      <c r="H39" s="831"/>
      <c r="I39" s="831"/>
      <c r="J39" s="831"/>
      <c r="K39" s="831"/>
      <c r="L39" s="831"/>
      <c r="M39" s="832"/>
    </row>
    <row r="40" spans="1:13" ht="13.5" thickBot="1" x14ac:dyDescent="0.25">
      <c r="B40" s="833"/>
      <c r="C40" s="834"/>
      <c r="D40" s="834"/>
      <c r="E40" s="834"/>
      <c r="F40" s="834"/>
      <c r="G40" s="834"/>
      <c r="H40" s="834"/>
      <c r="I40" s="834"/>
      <c r="J40" s="834"/>
      <c r="K40" s="834"/>
      <c r="L40" s="834"/>
      <c r="M40" s="835"/>
    </row>
    <row r="46" spans="1:13" x14ac:dyDescent="0.2">
      <c r="C46" s="250"/>
    </row>
  </sheetData>
  <customSheetViews>
    <customSheetView guid="{AB48C5D7-99F4-4378-A0F9-05018B348977}">
      <selection activeCell="B39" sqref="B39"/>
      <pageMargins left="0.75" right="0.75" top="1" bottom="1" header="0.5" footer="0.5"/>
      <pageSetup scale="79" firstPageNumber="101" orientation="portrait" useFirstPageNumber="1" r:id="rId1"/>
      <headerFooter alignWithMargins="0"/>
    </customSheetView>
  </customSheetViews>
  <mergeCells count="1">
    <mergeCell ref="B34:M40"/>
  </mergeCells>
  <phoneticPr fontId="0" type="noConversion"/>
  <printOptions horizontalCentered="1"/>
  <pageMargins left="0.6" right="0.6" top="0.75" bottom="0.75" header="0.3" footer="0.3"/>
  <pageSetup firstPageNumber="101"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FF00"/>
  </sheetPr>
  <dimension ref="A1:I32"/>
  <sheetViews>
    <sheetView topLeftCell="A4" workbookViewId="0">
      <selection activeCell="L30" sqref="L30"/>
    </sheetView>
  </sheetViews>
  <sheetFormatPr defaultColWidth="9.140625" defaultRowHeight="12.75" x14ac:dyDescent="0.2"/>
  <cols>
    <col min="1" max="3" width="2.85546875" style="19" customWidth="1"/>
    <col min="4" max="4" width="35.140625" style="19" customWidth="1"/>
    <col min="5" max="5" width="9.85546875" style="19" customWidth="1"/>
    <col min="6" max="6" width="1.7109375" style="19" customWidth="1"/>
    <col min="7" max="7" width="9.85546875" style="19" customWidth="1"/>
    <col min="8" max="8" width="1.7109375" style="19" customWidth="1"/>
    <col min="9" max="9" width="9.85546875" style="19" customWidth="1"/>
    <col min="10" max="16384" width="9.140625" style="19"/>
  </cols>
  <sheetData>
    <row r="1" spans="1:9" x14ac:dyDescent="0.2">
      <c r="A1" s="893" t="s">
        <v>136</v>
      </c>
      <c r="B1" s="893"/>
      <c r="C1" s="893"/>
      <c r="D1" s="893"/>
      <c r="E1" s="893"/>
      <c r="F1" s="893"/>
      <c r="G1" s="893"/>
      <c r="H1" s="893"/>
      <c r="I1" s="893"/>
    </row>
    <row r="2" spans="1:9" x14ac:dyDescent="0.2">
      <c r="A2" s="893" t="s">
        <v>727</v>
      </c>
      <c r="B2" s="893"/>
      <c r="C2" s="893"/>
      <c r="D2" s="893"/>
      <c r="E2" s="893"/>
      <c r="F2" s="893"/>
      <c r="G2" s="893"/>
      <c r="H2" s="893"/>
      <c r="I2" s="893"/>
    </row>
    <row r="3" spans="1:9" x14ac:dyDescent="0.2">
      <c r="A3" s="893" t="s">
        <v>465</v>
      </c>
      <c r="B3" s="893"/>
      <c r="C3" s="893"/>
      <c r="D3" s="893"/>
      <c r="E3" s="893"/>
      <c r="F3" s="893"/>
      <c r="G3" s="893"/>
      <c r="H3" s="893"/>
      <c r="I3" s="893"/>
    </row>
    <row r="4" spans="1:9" x14ac:dyDescent="0.2">
      <c r="A4" s="893" t="s">
        <v>165</v>
      </c>
      <c r="B4" s="893"/>
      <c r="C4" s="893"/>
      <c r="D4" s="893"/>
      <c r="E4" s="893"/>
      <c r="F4" s="893"/>
      <c r="G4" s="893"/>
      <c r="H4" s="893"/>
      <c r="I4" s="893"/>
    </row>
    <row r="5" spans="1:9" x14ac:dyDescent="0.2">
      <c r="A5" s="893" t="s">
        <v>783</v>
      </c>
      <c r="B5" s="893"/>
      <c r="C5" s="893"/>
      <c r="D5" s="893"/>
      <c r="E5" s="893"/>
      <c r="F5" s="893"/>
      <c r="G5" s="893"/>
      <c r="H5" s="893"/>
      <c r="I5" s="893"/>
    </row>
    <row r="6" spans="1:9" x14ac:dyDescent="0.2">
      <c r="A6" s="595"/>
      <c r="B6" s="595"/>
      <c r="C6" s="595"/>
      <c r="D6" s="595"/>
      <c r="E6" s="595"/>
      <c r="F6" s="595"/>
      <c r="G6" s="595"/>
      <c r="H6" s="595"/>
      <c r="I6" s="595"/>
    </row>
    <row r="7" spans="1:9" x14ac:dyDescent="0.2">
      <c r="A7" s="699"/>
      <c r="B7" s="699"/>
      <c r="C7" s="699"/>
      <c r="D7" s="699"/>
      <c r="E7" s="699"/>
      <c r="F7" s="699"/>
      <c r="G7" s="699"/>
      <c r="H7" s="699"/>
      <c r="I7" s="699"/>
    </row>
    <row r="8" spans="1:9" ht="13.5" thickBot="1" x14ac:dyDescent="0.25">
      <c r="A8" s="500"/>
      <c r="B8" s="500"/>
      <c r="C8" s="500"/>
      <c r="D8" s="500"/>
      <c r="E8" s="500"/>
      <c r="F8" s="553"/>
      <c r="G8" s="553"/>
      <c r="H8" s="553"/>
      <c r="I8" s="553"/>
    </row>
    <row r="9" spans="1:9" x14ac:dyDescent="0.2">
      <c r="A9" s="334"/>
      <c r="B9" s="334"/>
      <c r="C9" s="334"/>
      <c r="D9" s="334"/>
      <c r="E9" s="334"/>
      <c r="F9" s="2"/>
      <c r="G9" s="2"/>
      <c r="H9" s="2"/>
      <c r="I9" s="335" t="s">
        <v>168</v>
      </c>
    </row>
    <row r="10" spans="1:9" x14ac:dyDescent="0.2">
      <c r="A10" s="334"/>
      <c r="B10" s="334"/>
      <c r="C10" s="334"/>
      <c r="D10" s="334"/>
      <c r="E10" s="337" t="s">
        <v>124</v>
      </c>
      <c r="F10" s="2"/>
      <c r="G10" s="2"/>
      <c r="H10" s="2"/>
      <c r="I10" s="684" t="s">
        <v>831</v>
      </c>
    </row>
    <row r="11" spans="1:9" x14ac:dyDescent="0.2">
      <c r="A11" s="334"/>
      <c r="B11" s="522" t="s">
        <v>172</v>
      </c>
      <c r="C11" s="334"/>
      <c r="D11" s="334"/>
      <c r="E11" s="338" t="s">
        <v>184</v>
      </c>
      <c r="F11" s="2"/>
      <c r="G11" s="339" t="s">
        <v>167</v>
      </c>
      <c r="H11" s="2"/>
      <c r="I11" s="685" t="s">
        <v>832</v>
      </c>
    </row>
    <row r="12" spans="1:9" x14ac:dyDescent="0.2">
      <c r="A12" s="700" t="s">
        <v>127</v>
      </c>
      <c r="B12" s="334"/>
      <c r="C12" s="334"/>
      <c r="D12" s="334"/>
      <c r="E12" s="334"/>
      <c r="F12" s="2"/>
      <c r="G12" s="2"/>
      <c r="H12" s="2"/>
      <c r="I12" s="2"/>
    </row>
    <row r="13" spans="1:9" x14ac:dyDescent="0.2">
      <c r="A13" s="334"/>
      <c r="B13" s="522" t="s">
        <v>200</v>
      </c>
      <c r="C13" s="334"/>
      <c r="D13" s="334"/>
      <c r="E13" s="342"/>
      <c r="F13" s="314"/>
      <c r="G13" s="314"/>
      <c r="H13" s="314"/>
      <c r="I13" s="314"/>
    </row>
    <row r="14" spans="1:9" x14ac:dyDescent="0.2">
      <c r="A14" s="334"/>
      <c r="B14" s="334"/>
      <c r="C14" s="522" t="s">
        <v>726</v>
      </c>
      <c r="D14" s="334"/>
      <c r="E14" s="501">
        <v>4000</v>
      </c>
      <c r="F14" s="554"/>
      <c r="G14" s="554">
        <v>3935</v>
      </c>
      <c r="H14" s="554"/>
      <c r="I14" s="554">
        <f>G14-E14</f>
        <v>-65</v>
      </c>
    </row>
    <row r="15" spans="1:9" x14ac:dyDescent="0.2">
      <c r="A15" s="334"/>
      <c r="B15" s="334"/>
      <c r="C15" s="334"/>
      <c r="D15" s="522" t="s">
        <v>30</v>
      </c>
      <c r="E15" s="349">
        <f>SUM(E14:E14)</f>
        <v>4000</v>
      </c>
      <c r="F15" s="314"/>
      <c r="G15" s="349">
        <f>SUM(G14:G14)</f>
        <v>3935</v>
      </c>
      <c r="H15" s="314"/>
      <c r="I15" s="349">
        <f>SUM(I14:I14)</f>
        <v>-65</v>
      </c>
    </row>
    <row r="16" spans="1:9" x14ac:dyDescent="0.2">
      <c r="A16" s="334"/>
      <c r="B16" s="334"/>
      <c r="C16" s="334"/>
      <c r="D16" s="334"/>
      <c r="E16" s="342"/>
      <c r="F16" s="314"/>
      <c r="G16" s="314"/>
    </row>
    <row r="17" spans="1:9" x14ac:dyDescent="0.2">
      <c r="A17" s="700" t="s">
        <v>128</v>
      </c>
      <c r="B17" s="334"/>
      <c r="C17" s="334"/>
      <c r="D17" s="334"/>
      <c r="E17" s="342"/>
      <c r="F17" s="314"/>
      <c r="G17" s="314"/>
      <c r="H17" s="314"/>
      <c r="I17" s="314"/>
    </row>
    <row r="18" spans="1:9" x14ac:dyDescent="0.2">
      <c r="A18" s="334"/>
      <c r="B18" s="522" t="s">
        <v>204</v>
      </c>
      <c r="C18" s="334"/>
      <c r="D18" s="334"/>
      <c r="E18" s="342"/>
      <c r="F18" s="314"/>
      <c r="G18" s="314"/>
      <c r="H18" s="314"/>
      <c r="I18" s="314"/>
    </row>
    <row r="19" spans="1:9" x14ac:dyDescent="0.2">
      <c r="A19" s="334"/>
      <c r="B19" s="334"/>
      <c r="C19" s="522" t="s">
        <v>847</v>
      </c>
      <c r="D19" s="334"/>
      <c r="E19" s="342"/>
      <c r="F19" s="314"/>
      <c r="G19" s="314"/>
      <c r="H19" s="314"/>
      <c r="I19" s="502"/>
    </row>
    <row r="20" spans="1:9" x14ac:dyDescent="0.2">
      <c r="A20" s="334"/>
      <c r="B20" s="334"/>
      <c r="C20" s="522"/>
      <c r="D20" s="334" t="s">
        <v>846</v>
      </c>
      <c r="E20" s="503">
        <v>4000</v>
      </c>
      <c r="F20" s="314"/>
      <c r="G20" s="555">
        <v>2095</v>
      </c>
      <c r="H20" s="314"/>
      <c r="I20" s="504">
        <f>E20-G20</f>
        <v>1905</v>
      </c>
    </row>
    <row r="21" spans="1:9" x14ac:dyDescent="0.2">
      <c r="A21" s="334"/>
      <c r="B21" s="334"/>
      <c r="C21" s="334"/>
      <c r="D21" s="522" t="s">
        <v>37</v>
      </c>
      <c r="E21" s="503">
        <f>SUM(E19:E20)</f>
        <v>4000</v>
      </c>
      <c r="F21" s="314"/>
      <c r="G21" s="503">
        <f>SUM(G19:G20)</f>
        <v>2095</v>
      </c>
      <c r="H21" s="314"/>
      <c r="I21" s="503">
        <f>SUM(I19:I20)</f>
        <v>1905</v>
      </c>
    </row>
    <row r="22" spans="1:9" x14ac:dyDescent="0.2">
      <c r="A22" s="334"/>
      <c r="B22" s="334"/>
      <c r="C22" s="334"/>
      <c r="D22" s="334"/>
      <c r="E22" s="342"/>
      <c r="F22" s="314"/>
      <c r="G22" s="314"/>
      <c r="H22" s="314"/>
      <c r="I22" s="342"/>
    </row>
    <row r="23" spans="1:9" ht="13.5" thickBot="1" x14ac:dyDescent="0.25">
      <c r="A23" s="700" t="s">
        <v>75</v>
      </c>
      <c r="B23" s="334"/>
      <c r="C23" s="334"/>
      <c r="D23" s="334"/>
      <c r="E23" s="505">
        <f>E15-E21</f>
        <v>0</v>
      </c>
      <c r="F23" s="314"/>
      <c r="G23" s="342">
        <f>G15-G21</f>
        <v>1840</v>
      </c>
      <c r="H23" s="314"/>
      <c r="I23" s="556">
        <f>G23-E23</f>
        <v>1840</v>
      </c>
    </row>
    <row r="24" spans="1:9" ht="12.75" customHeight="1" thickTop="1" x14ac:dyDescent="0.2">
      <c r="A24" s="334"/>
      <c r="B24" s="334"/>
      <c r="C24" s="334"/>
      <c r="D24" s="334"/>
      <c r="E24" s="342"/>
      <c r="F24" s="314"/>
      <c r="G24" s="314"/>
      <c r="H24" s="314"/>
      <c r="I24" s="314"/>
    </row>
    <row r="25" spans="1:9" x14ac:dyDescent="0.2">
      <c r="A25" s="522" t="s">
        <v>844</v>
      </c>
      <c r="B25" s="522"/>
      <c r="C25" s="334"/>
      <c r="D25" s="334"/>
      <c r="E25" s="342"/>
      <c r="F25" s="314"/>
      <c r="G25" s="557">
        <v>2455</v>
      </c>
    </row>
    <row r="26" spans="1:9" ht="13.5" thickBot="1" x14ac:dyDescent="0.25">
      <c r="A26" s="522" t="s">
        <v>845</v>
      </c>
      <c r="B26" s="522"/>
      <c r="C26" s="334"/>
      <c r="D26" s="334"/>
      <c r="E26" s="342"/>
      <c r="F26" s="314"/>
      <c r="G26" s="556">
        <f>+G23+G25</f>
        <v>4295</v>
      </c>
    </row>
    <row r="27" spans="1:9" ht="13.5" thickTop="1" x14ac:dyDescent="0.2">
      <c r="A27" s="522"/>
      <c r="B27" s="522"/>
      <c r="C27" s="334"/>
      <c r="D27" s="334"/>
      <c r="E27" s="342"/>
      <c r="F27" s="314"/>
      <c r="G27" s="554"/>
    </row>
    <row r="29" spans="1:9" ht="13.5" thickBot="1" x14ac:dyDescent="0.25"/>
    <row r="30" spans="1:9" ht="39.75" customHeight="1" thickBot="1" x14ac:dyDescent="0.25">
      <c r="A30" s="890" t="s">
        <v>731</v>
      </c>
      <c r="B30" s="891"/>
      <c r="C30" s="891"/>
      <c r="D30" s="891"/>
      <c r="E30" s="891"/>
      <c r="F30" s="891"/>
      <c r="G30" s="891"/>
      <c r="H30" s="891"/>
      <c r="I30" s="892"/>
    </row>
    <row r="31" spans="1:9" ht="13.5" thickBot="1" x14ac:dyDescent="0.25">
      <c r="A31" s="506"/>
      <c r="B31" s="506"/>
      <c r="C31" s="506"/>
      <c r="D31" s="506"/>
      <c r="E31" s="506"/>
      <c r="F31" s="506"/>
      <c r="G31" s="506"/>
      <c r="H31" s="506"/>
      <c r="I31" s="506"/>
    </row>
    <row r="32" spans="1:9" ht="76.5" customHeight="1" thickBot="1" x14ac:dyDescent="0.25">
      <c r="A32" s="886" t="s">
        <v>652</v>
      </c>
      <c r="B32" s="887"/>
      <c r="C32" s="887"/>
      <c r="D32" s="887"/>
      <c r="E32" s="887"/>
      <c r="F32" s="887"/>
      <c r="G32" s="887"/>
      <c r="H32" s="887"/>
      <c r="I32" s="888"/>
    </row>
  </sheetData>
  <mergeCells count="7">
    <mergeCell ref="A32:I32"/>
    <mergeCell ref="A30:I30"/>
    <mergeCell ref="A1:I1"/>
    <mergeCell ref="A2:I2"/>
    <mergeCell ref="A3:I3"/>
    <mergeCell ref="A4:I4"/>
    <mergeCell ref="A5:I5"/>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FF00"/>
    <pageSetUpPr fitToPage="1"/>
  </sheetPr>
  <dimension ref="A1:N102"/>
  <sheetViews>
    <sheetView workbookViewId="0">
      <selection activeCell="A94" sqref="A94:I94"/>
    </sheetView>
  </sheetViews>
  <sheetFormatPr defaultColWidth="9.140625" defaultRowHeight="12.75" x14ac:dyDescent="0.2"/>
  <cols>
    <col min="1" max="3" width="2.42578125" customWidth="1"/>
    <col min="4" max="4" width="27.28515625" customWidth="1"/>
    <col min="5" max="5" width="13.28515625" bestFit="1" customWidth="1"/>
    <col min="6" max="6" width="1.7109375" customWidth="1"/>
    <col min="7" max="7" width="13" bestFit="1" customWidth="1"/>
    <col min="8" max="8" width="1.7109375" customWidth="1"/>
    <col min="9" max="9" width="10.85546875" customWidth="1"/>
  </cols>
  <sheetData>
    <row r="1" spans="1:14" s="101" customFormat="1" x14ac:dyDescent="0.2">
      <c r="A1" s="22" t="s">
        <v>136</v>
      </c>
      <c r="B1" s="22"/>
      <c r="C1" s="22"/>
      <c r="D1" s="22"/>
      <c r="E1" s="22"/>
      <c r="F1" s="22"/>
      <c r="G1" s="22"/>
      <c r="H1" s="22"/>
      <c r="I1" s="22"/>
    </row>
    <row r="2" spans="1:14" s="101" customFormat="1" x14ac:dyDescent="0.2">
      <c r="A2" s="22" t="s">
        <v>78</v>
      </c>
      <c r="B2" s="22"/>
      <c r="C2" s="22"/>
      <c r="D2" s="22"/>
      <c r="E2" s="22"/>
      <c r="F2" s="22"/>
      <c r="G2" s="22"/>
      <c r="H2" s="22"/>
      <c r="I2" s="22"/>
    </row>
    <row r="3" spans="1:14" s="101" customFormat="1" x14ac:dyDescent="0.2">
      <c r="A3" s="22" t="s">
        <v>252</v>
      </c>
      <c r="B3" s="22"/>
      <c r="C3" s="22"/>
      <c r="D3" s="22"/>
      <c r="E3" s="22"/>
      <c r="F3" s="22"/>
      <c r="G3" s="22"/>
      <c r="H3" s="22"/>
      <c r="I3" s="22"/>
    </row>
    <row r="4" spans="1:14" s="101" customFormat="1" x14ac:dyDescent="0.2">
      <c r="A4" s="22" t="s">
        <v>253</v>
      </c>
      <c r="B4" s="22"/>
      <c r="C4" s="22"/>
      <c r="D4" s="22"/>
      <c r="E4" s="22"/>
      <c r="F4" s="22"/>
      <c r="G4" s="22"/>
      <c r="H4" s="22"/>
      <c r="I4" s="22"/>
    </row>
    <row r="5" spans="1:14" s="101" customFormat="1" x14ac:dyDescent="0.2">
      <c r="A5" s="22" t="str">
        <f>'5-GASB34GovtFundsBudget'!C4</f>
        <v>For the Year Ended June 30, 2025</v>
      </c>
      <c r="B5" s="22"/>
      <c r="C5" s="22"/>
      <c r="D5" s="22"/>
      <c r="E5" s="22"/>
      <c r="F5" s="22"/>
      <c r="G5" s="22"/>
      <c r="H5" s="22"/>
      <c r="I5" s="22"/>
    </row>
    <row r="6" spans="1:14" s="101" customFormat="1" x14ac:dyDescent="0.2">
      <c r="A6" s="22"/>
      <c r="B6" s="22"/>
      <c r="C6" s="22"/>
      <c r="D6" s="22"/>
      <c r="E6" s="22"/>
      <c r="F6" s="22"/>
      <c r="G6" s="22"/>
      <c r="H6" s="22"/>
      <c r="I6" s="22"/>
    </row>
    <row r="7" spans="1:14" s="101" customFormat="1" x14ac:dyDescent="0.2">
      <c r="A7" s="22"/>
      <c r="B7" s="22"/>
      <c r="C7" s="22"/>
      <c r="D7" s="22"/>
      <c r="E7" s="22"/>
      <c r="F7" s="22"/>
      <c r="G7" s="22"/>
      <c r="H7" s="22"/>
      <c r="I7" s="22"/>
    </row>
    <row r="8" spans="1:14" ht="13.5" thickBot="1" x14ac:dyDescent="0.25">
      <c r="A8" s="175"/>
      <c r="B8" s="175"/>
      <c r="C8" s="175"/>
      <c r="D8" s="175"/>
      <c r="E8" s="175"/>
      <c r="F8" s="175"/>
      <c r="G8" s="175"/>
      <c r="H8" s="175"/>
      <c r="I8" s="175"/>
      <c r="N8" s="19"/>
    </row>
    <row r="9" spans="1:14" x14ac:dyDescent="0.2">
      <c r="A9" s="146"/>
      <c r="B9" s="146"/>
      <c r="C9" s="146"/>
      <c r="D9" s="146"/>
      <c r="E9" s="146"/>
      <c r="F9" s="146"/>
      <c r="G9" s="146"/>
      <c r="H9" s="146"/>
      <c r="I9" s="15" t="s">
        <v>254</v>
      </c>
    </row>
    <row r="10" spans="1:14" x14ac:dyDescent="0.2">
      <c r="A10" s="146"/>
      <c r="B10" s="146"/>
      <c r="C10" s="146"/>
      <c r="D10" s="146"/>
      <c r="E10" s="146"/>
      <c r="F10" s="146"/>
      <c r="G10" s="146"/>
      <c r="H10" s="146"/>
      <c r="I10" s="702" t="s">
        <v>831</v>
      </c>
    </row>
    <row r="11" spans="1:14" x14ac:dyDescent="0.2">
      <c r="A11" s="146"/>
      <c r="B11" s="17" t="s">
        <v>172</v>
      </c>
      <c r="C11" s="146"/>
      <c r="D11" s="146"/>
      <c r="E11" s="16" t="s">
        <v>184</v>
      </c>
      <c r="F11" s="146"/>
      <c r="G11" s="16" t="s">
        <v>167</v>
      </c>
      <c r="H11" s="146"/>
      <c r="I11" s="703" t="s">
        <v>832</v>
      </c>
    </row>
    <row r="12" spans="1:14" x14ac:dyDescent="0.2">
      <c r="A12" s="156" t="s">
        <v>127</v>
      </c>
      <c r="B12" s="146"/>
      <c r="C12" s="146"/>
      <c r="D12" s="146"/>
      <c r="E12" s="146"/>
      <c r="F12" s="146"/>
      <c r="G12" s="146"/>
      <c r="H12" s="146"/>
      <c r="I12" s="146"/>
    </row>
    <row r="13" spans="1:14" x14ac:dyDescent="0.2">
      <c r="A13" s="146"/>
      <c r="B13" s="17" t="s">
        <v>255</v>
      </c>
      <c r="C13" s="146"/>
      <c r="D13" s="146"/>
      <c r="E13" s="146"/>
      <c r="F13" s="146"/>
      <c r="G13" s="146"/>
      <c r="H13" s="146"/>
      <c r="I13" s="146"/>
    </row>
    <row r="14" spans="1:14" x14ac:dyDescent="0.2">
      <c r="A14" s="146"/>
      <c r="B14" s="146"/>
      <c r="C14" s="17" t="s">
        <v>256</v>
      </c>
      <c r="D14" s="146"/>
      <c r="E14" s="69"/>
      <c r="F14" s="183"/>
      <c r="G14" s="148">
        <f>2094562+10895</f>
        <v>2105457</v>
      </c>
      <c r="H14" s="183"/>
      <c r="I14" s="69"/>
    </row>
    <row r="15" spans="1:14" x14ac:dyDescent="0.2">
      <c r="A15" s="146"/>
      <c r="B15" s="146"/>
      <c r="C15" s="17" t="s">
        <v>257</v>
      </c>
      <c r="D15" s="146"/>
      <c r="E15" s="74"/>
      <c r="F15" s="149"/>
      <c r="G15" s="149">
        <v>477083</v>
      </c>
      <c r="H15" s="149"/>
      <c r="I15" s="74"/>
    </row>
    <row r="16" spans="1:14" x14ac:dyDescent="0.2">
      <c r="A16" s="146"/>
      <c r="B16" s="146"/>
      <c r="C16" s="146" t="s">
        <v>258</v>
      </c>
      <c r="D16" s="146"/>
      <c r="E16" s="82"/>
      <c r="F16" s="149"/>
      <c r="G16" s="153">
        <v>250000</v>
      </c>
      <c r="H16" s="149"/>
      <c r="I16" s="82"/>
    </row>
    <row r="17" spans="1:9" x14ac:dyDescent="0.2">
      <c r="A17" s="146"/>
      <c r="B17" s="146"/>
      <c r="C17" s="146"/>
      <c r="D17" s="17" t="s">
        <v>1</v>
      </c>
      <c r="E17" s="184">
        <f>2820000+10000</f>
        <v>2830000</v>
      </c>
      <c r="F17" s="149"/>
      <c r="G17" s="149">
        <f>SUM(G14:G16)</f>
        <v>2832540</v>
      </c>
      <c r="H17" s="149"/>
      <c r="I17" s="184">
        <f>+G17-E17</f>
        <v>2540</v>
      </c>
    </row>
    <row r="18" spans="1:9" x14ac:dyDescent="0.2">
      <c r="A18" s="146"/>
      <c r="B18" s="146"/>
      <c r="C18" s="146"/>
      <c r="D18" s="146"/>
      <c r="E18" s="149"/>
      <c r="F18" s="149"/>
      <c r="G18" s="149"/>
      <c r="H18" s="149"/>
      <c r="I18" s="149"/>
    </row>
    <row r="19" spans="1:9" x14ac:dyDescent="0.2">
      <c r="A19" s="146"/>
      <c r="B19" s="146"/>
      <c r="C19" s="17" t="s">
        <v>84</v>
      </c>
      <c r="D19" s="146"/>
      <c r="E19" s="153"/>
      <c r="F19" s="149"/>
      <c r="G19" s="153">
        <v>11524</v>
      </c>
      <c r="H19" s="149"/>
      <c r="I19" s="153"/>
    </row>
    <row r="20" spans="1:9" x14ac:dyDescent="0.2">
      <c r="A20" s="146"/>
      <c r="B20" s="146"/>
      <c r="C20" s="146"/>
      <c r="D20" s="17" t="s">
        <v>54</v>
      </c>
      <c r="E20" s="194">
        <f>+E19+E17+10000</f>
        <v>2840000</v>
      </c>
      <c r="F20" s="149"/>
      <c r="G20" s="194">
        <f>+G19+G17</f>
        <v>2844064</v>
      </c>
      <c r="H20" s="149"/>
      <c r="I20" s="194">
        <f>G20-E20</f>
        <v>4064</v>
      </c>
    </row>
    <row r="21" spans="1:9" x14ac:dyDescent="0.2">
      <c r="A21" s="146"/>
      <c r="B21" s="146"/>
      <c r="C21" s="146"/>
      <c r="D21" s="146"/>
      <c r="E21" s="146"/>
      <c r="F21" s="146"/>
      <c r="G21" s="146"/>
      <c r="H21" s="146"/>
      <c r="I21" s="146"/>
    </row>
    <row r="22" spans="1:9" x14ac:dyDescent="0.2">
      <c r="A22" s="146"/>
      <c r="B22" s="17" t="s">
        <v>259</v>
      </c>
      <c r="C22" s="146"/>
      <c r="D22" s="146"/>
      <c r="E22" s="149"/>
      <c r="F22" s="149"/>
      <c r="G22" s="149"/>
      <c r="H22" s="149"/>
      <c r="I22" s="149"/>
    </row>
    <row r="23" spans="1:9" x14ac:dyDescent="0.2">
      <c r="A23" s="146"/>
      <c r="B23" s="17"/>
      <c r="C23" s="146"/>
      <c r="D23" s="146" t="s">
        <v>496</v>
      </c>
      <c r="E23" s="153"/>
      <c r="F23" s="149"/>
      <c r="G23" s="153">
        <v>1228</v>
      </c>
      <c r="H23" s="149"/>
      <c r="I23" s="153"/>
    </row>
    <row r="24" spans="1:9" x14ac:dyDescent="0.2">
      <c r="A24" s="146"/>
      <c r="B24" s="146"/>
      <c r="C24" s="146"/>
      <c r="D24" s="17" t="s">
        <v>30</v>
      </c>
      <c r="E24" s="152">
        <f>+E20+E23+1000</f>
        <v>2841000</v>
      </c>
      <c r="F24" s="149"/>
      <c r="G24" s="152">
        <f>+G20+G23</f>
        <v>2845292</v>
      </c>
      <c r="H24" s="149"/>
      <c r="I24" s="152">
        <f>G24-E24</f>
        <v>4292</v>
      </c>
    </row>
    <row r="25" spans="1:9" x14ac:dyDescent="0.2">
      <c r="A25" s="146"/>
      <c r="B25" s="146"/>
      <c r="C25" s="146"/>
      <c r="D25" s="146"/>
      <c r="E25" s="149"/>
      <c r="F25" s="149"/>
      <c r="G25" s="149"/>
      <c r="H25" s="149"/>
      <c r="I25" s="149"/>
    </row>
    <row r="26" spans="1:9" x14ac:dyDescent="0.2">
      <c r="A26" s="156" t="s">
        <v>128</v>
      </c>
      <c r="B26" s="146"/>
      <c r="C26" s="146"/>
      <c r="D26" s="146"/>
      <c r="E26" s="149"/>
      <c r="F26" s="149"/>
      <c r="G26" s="149"/>
      <c r="H26" s="149"/>
      <c r="I26" s="149"/>
    </row>
    <row r="27" spans="1:9" x14ac:dyDescent="0.2">
      <c r="A27" s="146"/>
      <c r="B27" s="17" t="s">
        <v>210</v>
      </c>
      <c r="C27" s="146"/>
      <c r="D27" s="146"/>
      <c r="E27" s="149"/>
      <c r="F27" s="149"/>
      <c r="G27" s="149"/>
      <c r="H27" s="149"/>
      <c r="I27" s="149"/>
    </row>
    <row r="28" spans="1:9" x14ac:dyDescent="0.2">
      <c r="A28" s="146"/>
      <c r="B28" s="146"/>
      <c r="C28" s="17" t="s">
        <v>205</v>
      </c>
      <c r="D28" s="146"/>
      <c r="E28" s="87"/>
      <c r="F28" s="149"/>
      <c r="G28" s="149">
        <f>15000+(120000+45050)*0.395*0.2-6392+(155804*0.395*0.2)</f>
        <v>33955.466</v>
      </c>
      <c r="H28" s="149"/>
      <c r="I28" s="87"/>
    </row>
    <row r="29" spans="1:9" x14ac:dyDescent="0.2">
      <c r="A29" s="146"/>
      <c r="B29" s="146"/>
      <c r="C29" s="17" t="s">
        <v>261</v>
      </c>
      <c r="D29" s="146"/>
      <c r="E29" s="87"/>
      <c r="F29" s="146"/>
      <c r="G29" s="149">
        <v>387</v>
      </c>
      <c r="H29" s="146"/>
      <c r="I29" s="87"/>
    </row>
    <row r="30" spans="1:9" x14ac:dyDescent="0.2">
      <c r="A30" s="146"/>
      <c r="B30" s="146"/>
      <c r="C30" s="17" t="s">
        <v>262</v>
      </c>
      <c r="D30" s="146"/>
      <c r="E30" s="87"/>
      <c r="F30" s="146"/>
      <c r="G30" s="149">
        <v>4800</v>
      </c>
      <c r="H30" s="146"/>
      <c r="I30" s="87"/>
    </row>
    <row r="31" spans="1:9" x14ac:dyDescent="0.2">
      <c r="A31" s="146"/>
      <c r="B31" s="146"/>
      <c r="C31" s="17" t="s">
        <v>208</v>
      </c>
      <c r="D31" s="146"/>
      <c r="E31" s="86"/>
      <c r="F31" s="149"/>
      <c r="G31" s="149">
        <f>13238</f>
        <v>13238</v>
      </c>
      <c r="H31" s="149"/>
      <c r="I31" s="86"/>
    </row>
    <row r="32" spans="1:9" x14ac:dyDescent="0.2">
      <c r="A32" s="146"/>
      <c r="B32" s="146"/>
      <c r="C32" s="17" t="s">
        <v>263</v>
      </c>
      <c r="D32" s="146"/>
      <c r="E32" s="85"/>
      <c r="F32" s="72"/>
      <c r="G32" s="64">
        <v>42861</v>
      </c>
      <c r="H32" s="72"/>
      <c r="I32" s="85"/>
    </row>
    <row r="33" spans="1:9" x14ac:dyDescent="0.2">
      <c r="A33" s="146"/>
      <c r="B33" s="146"/>
      <c r="C33" s="146"/>
      <c r="D33" s="17" t="s">
        <v>1</v>
      </c>
      <c r="E33" s="152">
        <f>77600+10000+8000</f>
        <v>95600</v>
      </c>
      <c r="F33" s="149"/>
      <c r="G33" s="152">
        <f>SUM(G28:G32)</f>
        <v>95241.466</v>
      </c>
      <c r="H33" s="149"/>
      <c r="I33" s="152">
        <f>+E33-G33</f>
        <v>358.53399999999965</v>
      </c>
    </row>
    <row r="34" spans="1:9" x14ac:dyDescent="0.2">
      <c r="A34" s="146"/>
      <c r="B34" s="146"/>
      <c r="C34" s="146"/>
      <c r="D34" s="146"/>
      <c r="E34" s="149"/>
      <c r="F34" s="149"/>
      <c r="G34" s="149"/>
      <c r="H34" s="149"/>
      <c r="I34" s="149"/>
    </row>
    <row r="35" spans="1:9" x14ac:dyDescent="0.2">
      <c r="A35" s="146"/>
      <c r="B35" s="17" t="s">
        <v>211</v>
      </c>
      <c r="C35" s="146"/>
      <c r="D35" s="146"/>
      <c r="E35" s="149"/>
      <c r="F35" s="149"/>
      <c r="G35" s="149"/>
      <c r="H35" s="149"/>
      <c r="I35" s="149"/>
    </row>
    <row r="36" spans="1:9" x14ac:dyDescent="0.2">
      <c r="A36" s="146"/>
      <c r="B36" s="146"/>
      <c r="C36" s="17" t="s">
        <v>205</v>
      </c>
      <c r="D36" s="146"/>
      <c r="E36" s="87"/>
      <c r="F36" s="149"/>
      <c r="G36" s="149">
        <v>16285</v>
      </c>
      <c r="H36" s="149"/>
      <c r="I36" s="80"/>
    </row>
    <row r="37" spans="1:9" x14ac:dyDescent="0.2">
      <c r="A37" s="146"/>
      <c r="B37" s="146"/>
      <c r="C37" s="17" t="s">
        <v>261</v>
      </c>
      <c r="D37" s="146"/>
      <c r="E37" s="87"/>
      <c r="F37" s="149"/>
      <c r="G37" s="149">
        <v>3355</v>
      </c>
      <c r="H37" s="149"/>
      <c r="I37" s="74"/>
    </row>
    <row r="38" spans="1:9" x14ac:dyDescent="0.2">
      <c r="A38" s="146"/>
      <c r="B38" s="146"/>
      <c r="C38" s="17" t="s">
        <v>215</v>
      </c>
      <c r="D38" s="146"/>
      <c r="E38" s="87"/>
      <c r="F38" s="149"/>
      <c r="G38" s="149">
        <v>12333</v>
      </c>
      <c r="H38" s="149"/>
      <c r="I38" s="74"/>
    </row>
    <row r="39" spans="1:9" x14ac:dyDescent="0.2">
      <c r="A39" s="146"/>
      <c r="B39" s="146"/>
      <c r="C39" s="17" t="s">
        <v>208</v>
      </c>
      <c r="D39" s="146"/>
      <c r="E39" s="86"/>
      <c r="F39" s="149"/>
      <c r="G39" s="149">
        <v>7351</v>
      </c>
      <c r="H39" s="149"/>
      <c r="I39" s="74"/>
    </row>
    <row r="40" spans="1:9" x14ac:dyDescent="0.2">
      <c r="A40" s="146"/>
      <c r="B40" s="146"/>
      <c r="C40" s="17" t="s">
        <v>263</v>
      </c>
      <c r="D40" s="146"/>
      <c r="E40" s="85"/>
      <c r="F40" s="149"/>
      <c r="G40" s="152">
        <v>21431</v>
      </c>
      <c r="H40" s="149"/>
      <c r="I40" s="185"/>
    </row>
    <row r="41" spans="1:9" x14ac:dyDescent="0.2">
      <c r="A41" s="146"/>
      <c r="B41" s="146"/>
      <c r="C41" s="146"/>
      <c r="D41" s="17" t="s">
        <v>1</v>
      </c>
      <c r="E41" s="152">
        <f>62500-1000</f>
        <v>61500</v>
      </c>
      <c r="F41" s="149"/>
      <c r="G41" s="152">
        <f>SUM(G36:G40)</f>
        <v>60755</v>
      </c>
      <c r="H41" s="149"/>
      <c r="I41" s="152">
        <f>+E41-G41</f>
        <v>745</v>
      </c>
    </row>
    <row r="42" spans="1:9" x14ac:dyDescent="0.2">
      <c r="A42" s="146"/>
      <c r="B42" s="146"/>
      <c r="C42" s="146"/>
      <c r="D42" s="17"/>
      <c r="E42" s="149"/>
      <c r="F42" s="149"/>
      <c r="G42" s="149"/>
      <c r="H42" s="149"/>
      <c r="I42" s="149"/>
    </row>
    <row r="43" spans="1:9" x14ac:dyDescent="0.2">
      <c r="A43" s="146"/>
      <c r="B43" s="17" t="s">
        <v>264</v>
      </c>
      <c r="C43" s="146"/>
      <c r="D43" s="146"/>
      <c r="E43" s="146"/>
      <c r="F43" s="146"/>
      <c r="G43" s="149"/>
      <c r="H43" s="146"/>
      <c r="I43" s="146"/>
    </row>
    <row r="44" spans="1:9" x14ac:dyDescent="0.2">
      <c r="A44" s="146"/>
      <c r="B44" s="146"/>
      <c r="C44" s="17" t="s">
        <v>205</v>
      </c>
      <c r="D44" s="146"/>
      <c r="E44" s="87"/>
      <c r="F44" s="25"/>
      <c r="G44" s="72">
        <v>68292</v>
      </c>
      <c r="H44" s="25"/>
      <c r="I44" s="87"/>
    </row>
    <row r="45" spans="1:9" x14ac:dyDescent="0.2">
      <c r="A45" s="146"/>
      <c r="B45" s="146"/>
      <c r="C45" s="17" t="s">
        <v>265</v>
      </c>
      <c r="D45" s="146"/>
      <c r="E45" s="87"/>
      <c r="F45" s="25"/>
      <c r="G45" s="72">
        <v>17469</v>
      </c>
      <c r="H45" s="25"/>
      <c r="I45" s="87"/>
    </row>
    <row r="46" spans="1:9" x14ac:dyDescent="0.2">
      <c r="A46" s="146"/>
      <c r="B46" s="146"/>
      <c r="C46" s="17" t="s">
        <v>217</v>
      </c>
      <c r="D46" s="146"/>
      <c r="E46" s="86"/>
      <c r="F46" s="186"/>
      <c r="G46" s="63">
        <v>3000</v>
      </c>
      <c r="H46" s="186"/>
      <c r="I46" s="86"/>
    </row>
    <row r="47" spans="1:9" x14ac:dyDescent="0.2">
      <c r="A47" s="146"/>
      <c r="B47" s="146"/>
      <c r="C47" s="17" t="s">
        <v>208</v>
      </c>
      <c r="D47" s="146"/>
      <c r="E47" s="86"/>
      <c r="F47" s="186"/>
      <c r="G47" s="63">
        <v>752</v>
      </c>
      <c r="H47" s="186"/>
      <c r="I47" s="86"/>
    </row>
    <row r="48" spans="1:9" x14ac:dyDescent="0.2">
      <c r="A48" s="146"/>
      <c r="B48" s="146"/>
      <c r="C48" s="149" t="s">
        <v>263</v>
      </c>
      <c r="E48" s="558"/>
      <c r="G48" s="255">
        <v>17133</v>
      </c>
    </row>
    <row r="49" spans="1:9" x14ac:dyDescent="0.2">
      <c r="A49" s="146"/>
      <c r="B49" s="146"/>
      <c r="C49" s="149"/>
      <c r="D49" s="19" t="s">
        <v>1</v>
      </c>
      <c r="E49" s="257">
        <v>107414</v>
      </c>
      <c r="F49" s="255">
        <f>SUM(F44:F48)</f>
        <v>0</v>
      </c>
      <c r="G49" s="257">
        <f>SUM(G44:G48)</f>
        <v>106646</v>
      </c>
      <c r="H49" s="255">
        <f>SUM(H44:H48)</f>
        <v>0</v>
      </c>
      <c r="I49" s="257">
        <f>E49-G49</f>
        <v>768</v>
      </c>
    </row>
    <row r="50" spans="1:9" x14ac:dyDescent="0.2">
      <c r="A50" s="146"/>
      <c r="B50" s="146"/>
      <c r="C50" s="149"/>
      <c r="G50" s="255"/>
    </row>
    <row r="51" spans="1:9" x14ac:dyDescent="0.2">
      <c r="A51" s="146"/>
      <c r="B51" s="17" t="s">
        <v>266</v>
      </c>
      <c r="E51" s="559">
        <f>2383800-6000</f>
        <v>2377800</v>
      </c>
      <c r="G51" s="258">
        <v>2379120</v>
      </c>
      <c r="I51" s="560">
        <f>G51-E51</f>
        <v>1320</v>
      </c>
    </row>
    <row r="52" spans="1:9" x14ac:dyDescent="0.2">
      <c r="A52" s="146"/>
      <c r="B52" s="17"/>
      <c r="E52" s="112"/>
      <c r="G52" s="255"/>
      <c r="I52" s="561"/>
    </row>
    <row r="53" spans="1:9" x14ac:dyDescent="0.2">
      <c r="A53" s="146"/>
      <c r="B53" s="17"/>
      <c r="E53" s="112"/>
      <c r="G53" s="255"/>
      <c r="I53" s="704" t="s">
        <v>471</v>
      </c>
    </row>
    <row r="54" spans="1:9" x14ac:dyDescent="0.2">
      <c r="A54" s="146"/>
      <c r="B54" s="17"/>
    </row>
    <row r="55" spans="1:9" ht="13.5" thickBot="1" x14ac:dyDescent="0.25">
      <c r="A55" s="175"/>
      <c r="B55" s="175"/>
      <c r="C55" s="175"/>
      <c r="D55" s="175"/>
      <c r="E55" s="175"/>
      <c r="F55" s="175"/>
      <c r="G55" s="175"/>
      <c r="H55" s="175"/>
      <c r="I55" s="175"/>
    </row>
    <row r="56" spans="1:9" x14ac:dyDescent="0.2">
      <c r="A56" s="146"/>
      <c r="B56" s="146"/>
      <c r="C56" s="146"/>
      <c r="D56" s="146"/>
      <c r="E56" s="146"/>
      <c r="F56" s="146"/>
      <c r="G56" s="146"/>
      <c r="H56" s="146"/>
      <c r="I56" s="15" t="s">
        <v>254</v>
      </c>
    </row>
    <row r="57" spans="1:9" x14ac:dyDescent="0.2">
      <c r="A57" s="146"/>
      <c r="B57" s="146"/>
      <c r="C57" s="146"/>
      <c r="D57" s="146"/>
      <c r="E57" s="146"/>
      <c r="F57" s="146"/>
      <c r="G57" s="146"/>
      <c r="H57" s="146"/>
      <c r="I57" s="702" t="s">
        <v>831</v>
      </c>
    </row>
    <row r="58" spans="1:9" x14ac:dyDescent="0.2">
      <c r="A58" s="146"/>
      <c r="B58" s="17" t="s">
        <v>172</v>
      </c>
      <c r="C58" s="146"/>
      <c r="D58" s="146"/>
      <c r="E58" s="16" t="s">
        <v>184</v>
      </c>
      <c r="F58" s="146"/>
      <c r="G58" s="16" t="s">
        <v>167</v>
      </c>
      <c r="H58" s="146"/>
      <c r="I58" s="703" t="s">
        <v>832</v>
      </c>
    </row>
    <row r="59" spans="1:9" x14ac:dyDescent="0.2">
      <c r="A59" s="146"/>
      <c r="B59" s="17"/>
      <c r="C59" s="146"/>
      <c r="D59" s="146"/>
      <c r="E59" s="15"/>
      <c r="F59" s="146"/>
      <c r="G59" s="15"/>
      <c r="H59" s="146"/>
      <c r="I59" s="187"/>
    </row>
    <row r="60" spans="1:9" x14ac:dyDescent="0.2">
      <c r="A60" s="146"/>
      <c r="B60" s="17" t="s">
        <v>247</v>
      </c>
      <c r="C60" s="146"/>
      <c r="D60" s="146"/>
      <c r="E60" s="146"/>
      <c r="F60" s="146"/>
      <c r="G60" s="146"/>
      <c r="H60" s="146"/>
      <c r="I60" s="146"/>
    </row>
    <row r="61" spans="1:9" x14ac:dyDescent="0.2">
      <c r="A61" s="146"/>
      <c r="B61" s="146"/>
      <c r="C61" s="17" t="s">
        <v>267</v>
      </c>
      <c r="D61" s="146"/>
      <c r="E61" s="152">
        <v>145700</v>
      </c>
      <c r="F61" s="146"/>
      <c r="G61" s="152">
        <v>145010</v>
      </c>
      <c r="H61" s="149"/>
      <c r="I61" s="152">
        <f>+E61-G61</f>
        <v>690</v>
      </c>
    </row>
    <row r="62" spans="1:9" x14ac:dyDescent="0.2">
      <c r="A62" s="146"/>
      <c r="B62" s="146"/>
      <c r="C62" s="146"/>
      <c r="D62" s="17" t="s">
        <v>37</v>
      </c>
      <c r="E62" s="152">
        <f>+E61+E51+E49+E41+E33</f>
        <v>2788014</v>
      </c>
      <c r="F62" s="149"/>
      <c r="G62" s="152">
        <f>+G61+G51+G49+G41+G33</f>
        <v>2786772.466</v>
      </c>
      <c r="H62" s="149"/>
      <c r="I62" s="259">
        <f>E62-G62</f>
        <v>1241.5339999999851</v>
      </c>
    </row>
    <row r="63" spans="1:9" x14ac:dyDescent="0.2">
      <c r="A63" s="146"/>
      <c r="B63" s="146"/>
      <c r="C63" s="146"/>
      <c r="D63" s="146"/>
      <c r="E63" s="146"/>
      <c r="F63" s="146"/>
      <c r="G63" s="146"/>
      <c r="H63" s="146"/>
      <c r="I63" s="146"/>
    </row>
    <row r="64" spans="1:9" x14ac:dyDescent="0.2">
      <c r="A64" s="156" t="s">
        <v>182</v>
      </c>
      <c r="C64" s="146"/>
      <c r="D64" s="146"/>
      <c r="E64" s="63">
        <f>+E24-E62</f>
        <v>52986</v>
      </c>
      <c r="F64" s="149"/>
      <c r="G64" s="63">
        <f>+G24-G62</f>
        <v>58519.533999999985</v>
      </c>
      <c r="H64" s="149"/>
      <c r="I64" s="63">
        <f>+G64-E64</f>
        <v>5533.5339999999851</v>
      </c>
    </row>
    <row r="65" spans="1:9" x14ac:dyDescent="0.2">
      <c r="A65" s="146"/>
      <c r="B65" s="146"/>
      <c r="C65" s="146"/>
      <c r="D65" s="146"/>
      <c r="E65" s="149"/>
      <c r="F65" s="149"/>
      <c r="G65" s="149"/>
      <c r="H65" s="149"/>
    </row>
    <row r="66" spans="1:9" x14ac:dyDescent="0.2">
      <c r="A66" s="156" t="s">
        <v>410</v>
      </c>
      <c r="C66" s="146"/>
      <c r="D66" s="146"/>
      <c r="E66" s="149"/>
      <c r="F66" s="149"/>
      <c r="G66" s="149"/>
      <c r="H66" s="149"/>
      <c r="I66" s="149"/>
    </row>
    <row r="67" spans="1:9" x14ac:dyDescent="0.2">
      <c r="A67" s="146"/>
      <c r="B67" s="146"/>
      <c r="C67" s="17" t="s">
        <v>470</v>
      </c>
      <c r="D67" s="146"/>
      <c r="E67" s="146"/>
      <c r="F67" s="146"/>
      <c r="G67" s="146"/>
      <c r="H67" s="146"/>
      <c r="I67" s="146"/>
    </row>
    <row r="68" spans="1:9" ht="25.5" customHeight="1" x14ac:dyDescent="0.2">
      <c r="A68" s="146"/>
      <c r="B68" s="146"/>
      <c r="C68" s="17"/>
      <c r="D68" s="188" t="s">
        <v>713</v>
      </c>
      <c r="E68" s="189">
        <v>-5986</v>
      </c>
      <c r="F68" s="189"/>
      <c r="G68" s="189">
        <v>-5986</v>
      </c>
      <c r="H68" s="189"/>
      <c r="I68" s="189">
        <f>+G68-E68</f>
        <v>0</v>
      </c>
    </row>
    <row r="69" spans="1:9" x14ac:dyDescent="0.2">
      <c r="A69" s="146"/>
      <c r="B69" s="146"/>
      <c r="C69" s="146"/>
      <c r="D69" s="146" t="s">
        <v>268</v>
      </c>
      <c r="E69" s="77">
        <v>-47000</v>
      </c>
      <c r="F69" s="146"/>
      <c r="G69" s="77">
        <v>-46891</v>
      </c>
      <c r="H69" s="146"/>
      <c r="I69" s="190">
        <f>+G69-E69</f>
        <v>109</v>
      </c>
    </row>
    <row r="70" spans="1:9" x14ac:dyDescent="0.2">
      <c r="A70" s="146"/>
      <c r="B70" s="146" t="s">
        <v>409</v>
      </c>
      <c r="C70" s="146"/>
      <c r="D70" s="146"/>
      <c r="E70" s="186">
        <f>+E69+E68</f>
        <v>-52986</v>
      </c>
      <c r="F70" s="146"/>
      <c r="G70" s="186">
        <f>+G69+G68</f>
        <v>-52877</v>
      </c>
      <c r="H70" s="146"/>
      <c r="I70" s="186">
        <f>+I69+I68</f>
        <v>109</v>
      </c>
    </row>
    <row r="71" spans="1:9" x14ac:dyDescent="0.2">
      <c r="A71" s="146"/>
      <c r="B71" s="146"/>
      <c r="C71" s="146"/>
      <c r="D71" s="146"/>
      <c r="E71" s="186"/>
      <c r="F71" s="146"/>
      <c r="G71" s="186"/>
      <c r="H71" s="146"/>
      <c r="I71" s="146"/>
    </row>
    <row r="72" spans="1:9" x14ac:dyDescent="0.2">
      <c r="A72" s="146"/>
      <c r="B72" s="17" t="s">
        <v>182</v>
      </c>
      <c r="C72" s="146"/>
      <c r="D72" s="149"/>
      <c r="E72" s="146"/>
      <c r="F72" s="149"/>
      <c r="G72" s="149"/>
      <c r="H72" s="149"/>
      <c r="I72" s="149"/>
    </row>
    <row r="73" spans="1:9" ht="13.5" thickBot="1" x14ac:dyDescent="0.25">
      <c r="A73" s="146"/>
      <c r="B73" s="17" t="s">
        <v>411</v>
      </c>
      <c r="C73" s="146"/>
      <c r="D73" s="146"/>
      <c r="E73" s="192">
        <f>+E70+E64</f>
        <v>0</v>
      </c>
      <c r="F73" s="187"/>
      <c r="G73" s="193">
        <f>+G70+G64</f>
        <v>5642.5339999999851</v>
      </c>
      <c r="H73" s="191"/>
      <c r="I73" s="192">
        <f>+I70+I64</f>
        <v>5642.5339999999851</v>
      </c>
    </row>
    <row r="74" spans="1:9" ht="13.5" thickTop="1" x14ac:dyDescent="0.2">
      <c r="A74" s="146"/>
      <c r="B74" s="146"/>
      <c r="C74" s="146"/>
      <c r="D74" s="146"/>
      <c r="E74" s="146"/>
      <c r="F74" s="146"/>
      <c r="G74" s="146"/>
      <c r="H74" s="146"/>
      <c r="I74" s="146"/>
    </row>
    <row r="75" spans="1:9" x14ac:dyDescent="0.2">
      <c r="A75" s="146"/>
      <c r="B75" s="146"/>
      <c r="C75" s="146"/>
      <c r="D75" s="146"/>
      <c r="E75" s="146"/>
      <c r="F75" s="146"/>
      <c r="G75" s="146"/>
      <c r="H75" s="146"/>
      <c r="I75" s="146"/>
    </row>
    <row r="76" spans="1:9" x14ac:dyDescent="0.2">
      <c r="A76" s="156" t="s">
        <v>269</v>
      </c>
      <c r="B76" s="146"/>
      <c r="C76" s="146"/>
      <c r="D76" s="146"/>
      <c r="E76" s="146"/>
      <c r="F76" s="146"/>
      <c r="G76" s="146"/>
      <c r="H76" s="146"/>
      <c r="I76" s="146"/>
    </row>
    <row r="77" spans="1:9" x14ac:dyDescent="0.2">
      <c r="A77" s="156" t="s">
        <v>270</v>
      </c>
      <c r="B77" s="146"/>
      <c r="C77" s="146"/>
      <c r="D77" s="146"/>
      <c r="E77" s="146"/>
      <c r="F77" s="146"/>
      <c r="G77" s="146"/>
      <c r="H77" s="146"/>
      <c r="I77" s="146"/>
    </row>
    <row r="78" spans="1:9" x14ac:dyDescent="0.2">
      <c r="A78" s="146"/>
      <c r="B78" s="17" t="s">
        <v>271</v>
      </c>
      <c r="C78" s="146"/>
      <c r="D78" s="146"/>
      <c r="E78" s="146"/>
      <c r="F78" s="146"/>
      <c r="G78" s="146"/>
      <c r="H78" s="146"/>
      <c r="I78" s="146"/>
    </row>
    <row r="79" spans="1:9" x14ac:dyDescent="0.2">
      <c r="A79" s="146"/>
      <c r="B79" s="17"/>
      <c r="C79" s="146" t="s">
        <v>272</v>
      </c>
      <c r="D79" s="146"/>
      <c r="E79" s="146"/>
      <c r="F79" s="146"/>
      <c r="G79" s="25">
        <v>46891</v>
      </c>
      <c r="H79" s="146"/>
      <c r="I79" s="146"/>
    </row>
    <row r="80" spans="1:9" x14ac:dyDescent="0.2">
      <c r="A80" s="146"/>
      <c r="B80" s="146"/>
      <c r="C80" s="17" t="s">
        <v>273</v>
      </c>
      <c r="D80" s="146"/>
      <c r="E80" s="146"/>
      <c r="F80" s="149"/>
      <c r="G80" s="149">
        <v>145010</v>
      </c>
      <c r="H80" s="149"/>
      <c r="I80" s="149"/>
    </row>
    <row r="81" spans="1:10" x14ac:dyDescent="0.2">
      <c r="A81" s="146"/>
      <c r="B81" s="146"/>
      <c r="C81" s="17" t="s">
        <v>56</v>
      </c>
      <c r="D81" s="146"/>
      <c r="E81" s="146"/>
      <c r="F81" s="149"/>
      <c r="G81" s="149">
        <v>-178273</v>
      </c>
      <c r="H81" s="149"/>
      <c r="I81" s="149"/>
    </row>
    <row r="82" spans="1:10" x14ac:dyDescent="0.2">
      <c r="A82" s="146"/>
      <c r="B82" s="146"/>
      <c r="C82" s="17" t="s">
        <v>274</v>
      </c>
      <c r="D82" s="146"/>
      <c r="E82" s="146"/>
      <c r="F82" s="149"/>
      <c r="G82" s="149">
        <f>-15275</f>
        <v>-15275</v>
      </c>
      <c r="H82" s="149"/>
      <c r="I82" s="149"/>
    </row>
    <row r="83" spans="1:10" x14ac:dyDescent="0.2">
      <c r="A83" s="146"/>
      <c r="B83" s="146"/>
      <c r="C83" s="331" t="s">
        <v>660</v>
      </c>
      <c r="D83" s="458"/>
      <c r="E83" s="146"/>
      <c r="F83" s="149"/>
      <c r="G83" s="149">
        <f>-'8-Cash Flow-Prop'!B68</f>
        <v>23387.476000000002</v>
      </c>
      <c r="H83" s="149"/>
      <c r="I83" s="149"/>
    </row>
    <row r="84" spans="1:10" x14ac:dyDescent="0.2">
      <c r="A84" s="146"/>
      <c r="B84" s="146"/>
      <c r="C84" s="331" t="s">
        <v>661</v>
      </c>
      <c r="D84" s="458"/>
      <c r="E84" s="146"/>
      <c r="F84" s="149"/>
      <c r="G84" s="149">
        <f>-'8-Cash Flow-Prop'!B70</f>
        <v>-24329.630000000005</v>
      </c>
      <c r="H84" s="149"/>
      <c r="I84" s="149"/>
    </row>
    <row r="85" spans="1:10" x14ac:dyDescent="0.2">
      <c r="A85" s="146"/>
      <c r="B85" s="146"/>
      <c r="C85" s="331" t="s">
        <v>693</v>
      </c>
      <c r="D85" s="458"/>
      <c r="E85" s="146"/>
      <c r="F85" s="149"/>
      <c r="G85" s="149">
        <f>-'8-Cash Flow-Prop'!B71</f>
        <v>878.79600000000016</v>
      </c>
      <c r="H85" s="149"/>
      <c r="I85" s="149"/>
    </row>
    <row r="86" spans="1:10" x14ac:dyDescent="0.2">
      <c r="A86" s="146"/>
      <c r="B86" s="146"/>
      <c r="C86" s="331" t="s">
        <v>715</v>
      </c>
      <c r="E86" s="146"/>
      <c r="F86" s="149"/>
      <c r="G86" s="267">
        <f>-'8-Cash Flow-Prop'!B69</f>
        <v>-1985.7440000000004</v>
      </c>
      <c r="H86" s="149"/>
      <c r="I86" s="149"/>
    </row>
    <row r="87" spans="1:10" x14ac:dyDescent="0.2">
      <c r="A87" s="146"/>
      <c r="B87" s="146"/>
      <c r="C87" s="331" t="s">
        <v>709</v>
      </c>
      <c r="E87" s="146"/>
      <c r="F87" s="149"/>
      <c r="G87" s="267">
        <f>-'8-Cash Flow-Prop'!B75</f>
        <v>-478.97700000000009</v>
      </c>
      <c r="H87" s="149"/>
      <c r="I87" s="149"/>
    </row>
    <row r="88" spans="1:10" x14ac:dyDescent="0.2">
      <c r="A88" s="146"/>
      <c r="B88" s="146"/>
      <c r="C88" s="331" t="s">
        <v>707</v>
      </c>
      <c r="E88" s="146"/>
      <c r="F88" s="149"/>
      <c r="G88" s="267">
        <f>-'8-Cash Flow-Prop'!B76</f>
        <v>-591.55200000000002</v>
      </c>
      <c r="H88" s="149"/>
      <c r="I88" s="149"/>
    </row>
    <row r="89" spans="1:10" x14ac:dyDescent="0.2">
      <c r="A89" s="146"/>
      <c r="B89" s="146"/>
      <c r="C89" s="17" t="s">
        <v>716</v>
      </c>
      <c r="D89" s="146"/>
      <c r="E89" s="146"/>
      <c r="F89" s="149"/>
      <c r="G89" s="149">
        <f>-10895-6392</f>
        <v>-17287</v>
      </c>
      <c r="H89" s="149"/>
      <c r="I89" s="149"/>
      <c r="J89" s="232"/>
    </row>
    <row r="90" spans="1:10" x14ac:dyDescent="0.2">
      <c r="A90" s="146"/>
      <c r="B90" s="146"/>
      <c r="C90" s="146"/>
      <c r="D90" s="17" t="s">
        <v>1</v>
      </c>
      <c r="E90" s="146"/>
      <c r="F90" s="146"/>
      <c r="G90" s="194">
        <f>SUM(G79:G89)</f>
        <v>-22053.631000000001</v>
      </c>
      <c r="H90" s="146"/>
      <c r="I90" s="146"/>
    </row>
    <row r="91" spans="1:10" ht="13.5" thickBot="1" x14ac:dyDescent="0.25">
      <c r="A91" s="146"/>
      <c r="B91" s="17" t="s">
        <v>600</v>
      </c>
      <c r="C91" s="146"/>
      <c r="D91" s="146"/>
      <c r="E91" s="146"/>
      <c r="F91" s="195"/>
      <c r="G91" s="155">
        <f>+G90+G73-8</f>
        <v>-16419.097000000016</v>
      </c>
      <c r="H91" s="149"/>
      <c r="I91" s="149"/>
      <c r="J91" s="232"/>
    </row>
    <row r="92" spans="1:10" ht="13.5" thickTop="1" x14ac:dyDescent="0.2">
      <c r="A92" s="146"/>
      <c r="B92" s="17"/>
      <c r="C92" s="146"/>
      <c r="D92" s="146"/>
      <c r="E92" s="146"/>
      <c r="F92" s="195"/>
      <c r="G92" s="149"/>
      <c r="H92" s="149"/>
    </row>
    <row r="93" spans="1:10" ht="14.25" thickBot="1" x14ac:dyDescent="0.3">
      <c r="A93" s="123"/>
      <c r="B93" s="124"/>
      <c r="C93" s="123"/>
      <c r="D93" s="123"/>
      <c r="E93" s="123"/>
      <c r="F93" s="196"/>
      <c r="G93" s="197"/>
      <c r="H93" s="197"/>
      <c r="I93" s="197"/>
    </row>
    <row r="94" spans="1:10" ht="54" customHeight="1" thickBot="1" x14ac:dyDescent="0.25">
      <c r="A94" s="894" t="s">
        <v>890</v>
      </c>
      <c r="B94" s="895"/>
      <c r="C94" s="895"/>
      <c r="D94" s="895"/>
      <c r="E94" s="895"/>
      <c r="F94" s="895"/>
      <c r="G94" s="895"/>
      <c r="H94" s="895"/>
      <c r="I94" s="896"/>
    </row>
    <row r="95" spans="1:10" ht="13.5" x14ac:dyDescent="0.25">
      <c r="A95" s="123"/>
      <c r="B95" s="470"/>
      <c r="C95" s="470"/>
      <c r="D95" s="470"/>
      <c r="E95" s="470"/>
      <c r="F95" s="470"/>
      <c r="G95" s="470"/>
      <c r="H95" s="470"/>
      <c r="I95" s="470"/>
    </row>
    <row r="96" spans="1:10" ht="13.5" x14ac:dyDescent="0.25">
      <c r="A96" s="123"/>
      <c r="B96" s="470"/>
      <c r="C96" s="470"/>
      <c r="D96" s="470"/>
      <c r="E96" s="470"/>
      <c r="F96" s="470"/>
      <c r="G96" s="470"/>
      <c r="H96" s="470"/>
      <c r="I96" s="470"/>
    </row>
    <row r="97" spans="1:9" ht="13.5" x14ac:dyDescent="0.25">
      <c r="A97" s="198"/>
      <c r="B97" s="470"/>
      <c r="C97" s="470"/>
      <c r="D97" s="470"/>
      <c r="E97" s="470"/>
      <c r="F97" s="470"/>
      <c r="G97" s="470"/>
      <c r="H97" s="470"/>
      <c r="I97" s="470"/>
    </row>
    <row r="98" spans="1:9" ht="13.5" x14ac:dyDescent="0.25">
      <c r="A98" s="198"/>
      <c r="B98" s="470"/>
      <c r="C98" s="470"/>
      <c r="D98" s="470"/>
      <c r="E98" s="470"/>
      <c r="F98" s="470"/>
      <c r="G98" s="470"/>
      <c r="H98" s="470"/>
      <c r="I98" s="470"/>
    </row>
    <row r="99" spans="1:9" ht="13.5" x14ac:dyDescent="0.25">
      <c r="A99" s="198"/>
      <c r="B99" s="470"/>
      <c r="C99" s="470"/>
      <c r="D99" s="470"/>
      <c r="E99" s="470"/>
      <c r="F99" s="470"/>
      <c r="G99" s="470"/>
      <c r="H99" s="470"/>
      <c r="I99" s="470"/>
    </row>
    <row r="100" spans="1:9" ht="13.5" x14ac:dyDescent="0.25">
      <c r="A100" s="198"/>
      <c r="B100" s="124"/>
      <c r="C100" s="123"/>
      <c r="D100" s="123"/>
      <c r="E100" s="123"/>
      <c r="F100" s="196"/>
      <c r="G100" s="197"/>
      <c r="H100" s="197"/>
      <c r="I100" s="197"/>
    </row>
    <row r="101" spans="1:9" ht="13.5" x14ac:dyDescent="0.25">
      <c r="A101" s="198"/>
      <c r="B101" s="124"/>
      <c r="C101" s="123"/>
      <c r="D101" s="123"/>
      <c r="E101" s="123"/>
      <c r="F101" s="196"/>
      <c r="G101" s="197"/>
      <c r="H101" s="197"/>
      <c r="I101" s="197"/>
    </row>
    <row r="102" spans="1:9" ht="13.5" x14ac:dyDescent="0.25">
      <c r="A102" s="123"/>
      <c r="B102" s="124"/>
      <c r="C102" s="123"/>
      <c r="D102" s="123"/>
      <c r="E102" s="123"/>
      <c r="F102" s="196"/>
      <c r="G102" s="197"/>
      <c r="H102" s="197"/>
      <c r="I102" s="197"/>
    </row>
  </sheetData>
  <customSheetViews>
    <customSheetView guid="{AB48C5D7-99F4-4378-A0F9-05018B348977}">
      <selection activeCell="B39" sqref="B39"/>
      <rowBreaks count="1" manualBreakCount="1">
        <brk id="50" max="16383" man="1"/>
      </rowBreaks>
      <pageMargins left="0.75" right="0.75" top="1" bottom="1" header="0.5" footer="0.5"/>
      <pageSetup scale="79" firstPageNumber="103" fitToHeight="0" orientation="portrait" useFirstPageNumber="1" r:id="rId1"/>
      <headerFooter alignWithMargins="0"/>
    </customSheetView>
  </customSheetViews>
  <mergeCells count="1">
    <mergeCell ref="A94:I94"/>
  </mergeCells>
  <phoneticPr fontId="0" type="noConversion"/>
  <printOptions horizontalCentered="1"/>
  <pageMargins left="0.7" right="0.7" top="0.75" bottom="0.75" header="0.3" footer="0.3"/>
  <pageSetup firstPageNumber="103" fitToHeight="0" orientation="portrait" r:id="rId2"/>
  <rowBreaks count="1" manualBreakCount="1">
    <brk id="5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FF00"/>
    <pageSetUpPr fitToPage="1"/>
  </sheetPr>
  <dimension ref="A1:L40"/>
  <sheetViews>
    <sheetView workbookViewId="0">
      <selection activeCell="C6" sqref="C6"/>
    </sheetView>
  </sheetViews>
  <sheetFormatPr defaultColWidth="9.140625" defaultRowHeight="12.75" x14ac:dyDescent="0.2"/>
  <cols>
    <col min="1" max="2" width="2.42578125" customWidth="1"/>
    <col min="3" max="3" width="24.42578125" customWidth="1"/>
    <col min="4" max="4" width="11.5703125" customWidth="1"/>
    <col min="5" max="5" width="1.7109375" customWidth="1"/>
    <col min="6" max="6" width="10.7109375" customWidth="1"/>
    <col min="7" max="7" width="1.7109375" customWidth="1"/>
    <col min="9" max="9" width="1.7109375" customWidth="1"/>
    <col min="10" max="10" width="9.5703125" customWidth="1"/>
    <col min="11" max="11" width="1.7109375" customWidth="1"/>
    <col min="12" max="12" width="9.28515625" bestFit="1" customWidth="1"/>
  </cols>
  <sheetData>
    <row r="1" spans="1:12" s="101" customFormat="1" x14ac:dyDescent="0.2">
      <c r="A1" s="22" t="s">
        <v>136</v>
      </c>
      <c r="B1" s="22"/>
      <c r="C1" s="22"/>
      <c r="D1" s="22"/>
      <c r="E1" s="22"/>
      <c r="F1" s="22"/>
      <c r="G1" s="22"/>
      <c r="H1" s="22"/>
      <c r="I1" s="174"/>
      <c r="J1" s="57"/>
      <c r="K1" s="57"/>
      <c r="L1" s="57"/>
    </row>
    <row r="2" spans="1:12" s="101" customFormat="1" x14ac:dyDescent="0.2">
      <c r="A2" s="22" t="s">
        <v>275</v>
      </c>
      <c r="B2" s="22"/>
      <c r="C2" s="22"/>
      <c r="D2" s="22"/>
      <c r="E2" s="22"/>
      <c r="F2" s="22"/>
      <c r="G2" s="22"/>
      <c r="H2" s="22"/>
      <c r="I2" s="174"/>
      <c r="J2" s="57"/>
      <c r="K2" s="57"/>
      <c r="L2" s="57"/>
    </row>
    <row r="3" spans="1:12" s="101" customFormat="1" x14ac:dyDescent="0.2">
      <c r="A3" s="22" t="s">
        <v>466</v>
      </c>
      <c r="B3" s="22"/>
      <c r="C3" s="22"/>
      <c r="D3" s="22"/>
      <c r="E3" s="22"/>
      <c r="F3" s="22"/>
      <c r="G3" s="22"/>
      <c r="H3" s="22"/>
      <c r="I3" s="174"/>
      <c r="J3" s="57"/>
      <c r="K3" s="57"/>
      <c r="L3" s="57"/>
    </row>
    <row r="4" spans="1:12" s="101" customFormat="1" x14ac:dyDescent="0.2">
      <c r="A4" s="22" t="str">
        <f>'5-GASB34GovtFundsBudget'!C4</f>
        <v>For the Year Ended June 30, 2025</v>
      </c>
      <c r="B4" s="22"/>
      <c r="C4" s="22"/>
      <c r="D4" s="22"/>
      <c r="E4" s="22"/>
      <c r="F4" s="22"/>
      <c r="G4" s="22"/>
      <c r="H4" s="22"/>
      <c r="I4" s="174"/>
      <c r="J4" s="57"/>
      <c r="K4" s="57"/>
      <c r="L4" s="57"/>
    </row>
    <row r="5" spans="1:12" s="101" customFormat="1" x14ac:dyDescent="0.2">
      <c r="A5" s="22"/>
      <c r="B5" s="22"/>
      <c r="C5" s="22"/>
      <c r="D5" s="22"/>
      <c r="E5" s="22"/>
      <c r="F5" s="22"/>
      <c r="G5" s="22"/>
      <c r="H5" s="22"/>
      <c r="I5" s="174"/>
      <c r="J5" s="57"/>
      <c r="K5" s="57"/>
      <c r="L5" s="57"/>
    </row>
    <row r="6" spans="1:12" s="101" customFormat="1" x14ac:dyDescent="0.2">
      <c r="A6" s="22"/>
      <c r="B6" s="22"/>
      <c r="C6" s="22"/>
      <c r="D6" s="22"/>
      <c r="E6" s="22"/>
      <c r="F6" s="22"/>
      <c r="G6" s="22"/>
      <c r="H6" s="22"/>
      <c r="I6" s="174"/>
      <c r="J6" s="57"/>
      <c r="K6" s="57"/>
      <c r="L6" s="57"/>
    </row>
    <row r="7" spans="1:12" ht="13.5" thickBot="1" x14ac:dyDescent="0.25">
      <c r="A7" s="175"/>
      <c r="B7" s="175"/>
      <c r="C7" s="175"/>
      <c r="D7" s="175"/>
      <c r="E7" s="175"/>
      <c r="F7" s="175"/>
      <c r="G7" s="175"/>
      <c r="H7" s="175"/>
      <c r="I7" s="175"/>
      <c r="J7" s="175"/>
      <c r="K7" s="175"/>
      <c r="L7" s="176"/>
    </row>
    <row r="8" spans="1:12" x14ac:dyDescent="0.2">
      <c r="A8" s="23"/>
      <c r="B8" s="23"/>
      <c r="C8" s="23"/>
      <c r="D8" s="177" t="s">
        <v>167</v>
      </c>
      <c r="E8" s="177"/>
      <c r="F8" s="177"/>
      <c r="G8" s="177"/>
      <c r="H8" s="177"/>
      <c r="I8" s="177"/>
      <c r="J8" s="177"/>
      <c r="K8" s="177"/>
      <c r="L8" s="178"/>
    </row>
    <row r="9" spans="1:12" x14ac:dyDescent="0.2">
      <c r="A9" s="23"/>
      <c r="B9" s="23"/>
      <c r="C9" s="23"/>
      <c r="D9" s="12" t="s">
        <v>166</v>
      </c>
      <c r="E9" s="14"/>
      <c r="F9" s="12" t="s">
        <v>169</v>
      </c>
      <c r="G9" s="14"/>
      <c r="H9" s="12" t="s">
        <v>170</v>
      </c>
      <c r="I9" s="14"/>
      <c r="J9" s="12" t="s">
        <v>171</v>
      </c>
      <c r="K9" s="14"/>
      <c r="L9" s="675" t="s">
        <v>831</v>
      </c>
    </row>
    <row r="10" spans="1:12" x14ac:dyDescent="0.2">
      <c r="A10" s="23"/>
      <c r="B10" s="23"/>
      <c r="C10" s="23"/>
      <c r="D10" s="701" t="s">
        <v>778</v>
      </c>
      <c r="E10" s="14"/>
      <c r="F10" s="13" t="s">
        <v>174</v>
      </c>
      <c r="G10" s="14"/>
      <c r="H10" s="13" t="s">
        <v>174</v>
      </c>
      <c r="I10" s="14"/>
      <c r="J10" s="13" t="s">
        <v>156</v>
      </c>
      <c r="K10" s="14"/>
      <c r="L10" s="676" t="s">
        <v>832</v>
      </c>
    </row>
    <row r="11" spans="1:12" x14ac:dyDescent="0.2">
      <c r="A11" s="705" t="s">
        <v>127</v>
      </c>
      <c r="B11" s="23"/>
      <c r="C11" s="23"/>
      <c r="D11" s="23"/>
      <c r="E11" s="23"/>
      <c r="F11" s="23"/>
      <c r="G11" s="23"/>
      <c r="H11" s="23"/>
      <c r="I11" s="23"/>
      <c r="J11" s="23"/>
      <c r="K11" s="23"/>
      <c r="L11" s="15"/>
    </row>
    <row r="12" spans="1:12" x14ac:dyDescent="0.2">
      <c r="A12" s="23"/>
      <c r="B12" s="23" t="s">
        <v>29</v>
      </c>
      <c r="C12" s="23"/>
      <c r="D12" s="179">
        <v>55000</v>
      </c>
      <c r="E12" s="96"/>
      <c r="F12" s="179">
        <v>0</v>
      </c>
      <c r="G12" s="96"/>
      <c r="H12" s="179">
        <v>0</v>
      </c>
      <c r="I12" s="96"/>
      <c r="J12" s="179">
        <f>+H12+F12</f>
        <v>0</v>
      </c>
      <c r="K12" s="179"/>
      <c r="L12" s="18">
        <f>+J12-D12</f>
        <v>-55000</v>
      </c>
    </row>
    <row r="13" spans="1:12" x14ac:dyDescent="0.2">
      <c r="A13" s="23"/>
      <c r="B13" s="23"/>
      <c r="C13" s="23"/>
      <c r="D13" s="23"/>
      <c r="E13" s="23"/>
      <c r="F13" s="23"/>
      <c r="G13" s="23"/>
      <c r="H13" s="23"/>
      <c r="I13" s="23"/>
      <c r="J13" s="23"/>
      <c r="K13" s="23"/>
      <c r="L13" s="19"/>
    </row>
    <row r="14" spans="1:12" x14ac:dyDescent="0.2">
      <c r="A14" s="705" t="s">
        <v>133</v>
      </c>
      <c r="B14" s="23"/>
      <c r="C14" s="23"/>
      <c r="D14" s="23"/>
      <c r="E14" s="23"/>
      <c r="F14" s="23"/>
      <c r="G14" s="23"/>
      <c r="H14" s="23"/>
      <c r="I14" s="23"/>
      <c r="J14" s="23"/>
      <c r="K14" s="23"/>
      <c r="L14" s="19"/>
    </row>
    <row r="15" spans="1:12" x14ac:dyDescent="0.2">
      <c r="A15" s="23"/>
      <c r="B15" s="23" t="s">
        <v>469</v>
      </c>
      <c r="C15" s="23"/>
      <c r="D15" s="23"/>
      <c r="E15" s="23"/>
      <c r="F15" s="23"/>
      <c r="G15" s="23"/>
      <c r="H15" s="23"/>
      <c r="I15" s="23"/>
      <c r="J15" s="23"/>
      <c r="K15" s="23"/>
      <c r="L15" s="19"/>
    </row>
    <row r="16" spans="1:12" x14ac:dyDescent="0.2">
      <c r="A16" s="23"/>
      <c r="B16" s="23"/>
      <c r="C16" s="23" t="s">
        <v>276</v>
      </c>
      <c r="D16" s="25">
        <v>250000</v>
      </c>
      <c r="E16" s="23"/>
      <c r="F16" s="91">
        <v>0</v>
      </c>
      <c r="G16" s="23"/>
      <c r="H16" s="25">
        <v>46891</v>
      </c>
      <c r="I16" s="23"/>
      <c r="J16" s="180">
        <f>+H16+F16</f>
        <v>46891</v>
      </c>
      <c r="K16" s="180"/>
      <c r="L16" s="20">
        <f>+J16-D16</f>
        <v>-203109</v>
      </c>
    </row>
    <row r="17" spans="1:12" x14ac:dyDescent="0.2">
      <c r="A17" s="23"/>
      <c r="B17" s="23" t="s">
        <v>470</v>
      </c>
      <c r="C17" s="23"/>
      <c r="D17" s="23"/>
      <c r="E17" s="23"/>
      <c r="F17" s="23"/>
      <c r="G17" s="23"/>
      <c r="H17" s="23"/>
      <c r="I17" s="23"/>
      <c r="J17" s="23"/>
      <c r="K17" s="23"/>
      <c r="L17" s="19"/>
    </row>
    <row r="18" spans="1:12" x14ac:dyDescent="0.2">
      <c r="A18" s="23"/>
      <c r="B18" s="23"/>
      <c r="C18" s="23" t="s">
        <v>276</v>
      </c>
      <c r="D18" s="77">
        <v>-305000</v>
      </c>
      <c r="E18" s="23"/>
      <c r="F18" s="76">
        <v>0</v>
      </c>
      <c r="G18" s="23"/>
      <c r="H18" s="76">
        <v>0</v>
      </c>
      <c r="I18" s="23"/>
      <c r="J18" s="76">
        <v>0</v>
      </c>
      <c r="K18" s="76"/>
      <c r="L18" s="21">
        <f>-D18-J18</f>
        <v>305000</v>
      </c>
    </row>
    <row r="19" spans="1:12" x14ac:dyDescent="0.2">
      <c r="A19" s="23"/>
      <c r="B19" s="23"/>
      <c r="C19" s="23" t="s">
        <v>277</v>
      </c>
      <c r="D19" s="23"/>
      <c r="E19" s="23"/>
      <c r="F19" s="23"/>
      <c r="G19" s="23"/>
      <c r="H19" s="23"/>
      <c r="I19" s="23"/>
      <c r="J19" s="23"/>
      <c r="K19" s="23"/>
      <c r="L19" s="19"/>
    </row>
    <row r="20" spans="1:12" x14ac:dyDescent="0.2">
      <c r="A20" s="23"/>
      <c r="B20" s="23"/>
      <c r="C20" s="23" t="s">
        <v>278</v>
      </c>
      <c r="D20" s="181">
        <f>+D18+D16</f>
        <v>-55000</v>
      </c>
      <c r="E20" s="23"/>
      <c r="F20" s="181">
        <f>+F18+F16</f>
        <v>0</v>
      </c>
      <c r="G20" s="23"/>
      <c r="H20" s="181">
        <f>+H18+H16</f>
        <v>46891</v>
      </c>
      <c r="I20" s="23"/>
      <c r="J20" s="181">
        <f>+J18+J16</f>
        <v>46891</v>
      </c>
      <c r="K20" s="181"/>
      <c r="L20" s="21">
        <f>SUM(L16:L18)</f>
        <v>101891</v>
      </c>
    </row>
    <row r="21" spans="1:12" x14ac:dyDescent="0.2">
      <c r="A21" s="23"/>
      <c r="B21" s="23"/>
      <c r="C21" s="23"/>
      <c r="D21" s="23"/>
      <c r="E21" s="23"/>
      <c r="F21" s="23"/>
      <c r="G21" s="23"/>
      <c r="H21" s="23"/>
      <c r="I21" s="23"/>
      <c r="J21" s="23"/>
      <c r="K21" s="23"/>
      <c r="L21" s="19"/>
    </row>
    <row r="22" spans="1:12" x14ac:dyDescent="0.2">
      <c r="A22" s="705" t="s">
        <v>279</v>
      </c>
      <c r="B22" s="23"/>
      <c r="C22" s="23"/>
      <c r="D22" s="23"/>
      <c r="E22" s="23"/>
      <c r="F22" s="23"/>
      <c r="G22" s="23"/>
      <c r="H22" s="23"/>
      <c r="I22" s="23"/>
      <c r="J22" s="23"/>
      <c r="K22" s="23"/>
      <c r="L22" s="19"/>
    </row>
    <row r="23" spans="1:12" ht="13.5" thickBot="1" x14ac:dyDescent="0.25">
      <c r="A23" s="705" t="s">
        <v>280</v>
      </c>
      <c r="B23" s="23"/>
      <c r="C23" s="23"/>
      <c r="D23" s="182">
        <f>+D20+D12</f>
        <v>0</v>
      </c>
      <c r="E23" s="23"/>
      <c r="F23" s="182">
        <f>+F20+F12</f>
        <v>0</v>
      </c>
      <c r="G23" s="23"/>
      <c r="H23" s="182">
        <v>46891</v>
      </c>
      <c r="I23" s="23"/>
      <c r="J23" s="182">
        <f>+J20+J12</f>
        <v>46891</v>
      </c>
      <c r="K23" s="182"/>
      <c r="L23" s="182">
        <f>+L20+L12</f>
        <v>46891</v>
      </c>
    </row>
    <row r="24" spans="1:12" ht="13.5" thickTop="1" x14ac:dyDescent="0.2">
      <c r="A24" s="23"/>
      <c r="B24" s="23"/>
      <c r="C24" s="23"/>
      <c r="D24" s="23"/>
      <c r="E24" s="23"/>
      <c r="F24" s="23"/>
      <c r="G24" s="23"/>
      <c r="H24" s="23"/>
      <c r="I24" s="23"/>
      <c r="J24" s="23"/>
      <c r="K24" s="23"/>
      <c r="L24" s="19"/>
    </row>
    <row r="25" spans="1:12" x14ac:dyDescent="0.2">
      <c r="A25" s="23"/>
      <c r="B25" s="23"/>
      <c r="C25" s="23"/>
      <c r="D25" s="23"/>
      <c r="E25" s="23"/>
      <c r="F25" s="23"/>
      <c r="G25" s="23"/>
      <c r="H25" s="23"/>
      <c r="I25" s="23"/>
      <c r="J25" s="19"/>
      <c r="K25" s="19"/>
      <c r="L25" s="19"/>
    </row>
    <row r="26" spans="1:12" ht="13.5" thickBot="1" x14ac:dyDescent="0.25">
      <c r="A26" s="23"/>
      <c r="B26" s="23"/>
      <c r="C26" s="23"/>
      <c r="D26" s="23"/>
      <c r="E26" s="23"/>
      <c r="F26" s="23"/>
      <c r="G26" s="23"/>
      <c r="H26" s="23"/>
      <c r="I26" s="23"/>
      <c r="J26" s="19"/>
      <c r="K26" s="19"/>
      <c r="L26" s="19"/>
    </row>
    <row r="27" spans="1:12" ht="51.75" customHeight="1" thickBot="1" x14ac:dyDescent="0.25">
      <c r="A27" s="897" t="s">
        <v>734</v>
      </c>
      <c r="B27" s="898"/>
      <c r="C27" s="898"/>
      <c r="D27" s="898"/>
      <c r="E27" s="898"/>
      <c r="F27" s="898"/>
      <c r="G27" s="898"/>
      <c r="H27" s="898"/>
      <c r="I27" s="898"/>
      <c r="J27" s="898"/>
      <c r="K27" s="898"/>
      <c r="L27" s="899"/>
    </row>
    <row r="28" spans="1:12" x14ac:dyDescent="0.2">
      <c r="A28" s="23"/>
      <c r="B28" s="726"/>
      <c r="C28" s="726"/>
      <c r="D28" s="726"/>
      <c r="E28" s="726"/>
      <c r="F28" s="726"/>
      <c r="G28" s="726"/>
      <c r="H28" s="726"/>
      <c r="I28" s="726"/>
      <c r="J28" s="726"/>
      <c r="K28" s="726"/>
      <c r="L28" s="726"/>
    </row>
    <row r="29" spans="1:12" x14ac:dyDescent="0.2">
      <c r="A29" s="23"/>
      <c r="B29" s="726"/>
      <c r="C29" s="726"/>
      <c r="D29" s="726"/>
      <c r="E29" s="726"/>
      <c r="F29" s="726"/>
      <c r="G29" s="726"/>
      <c r="H29" s="726"/>
      <c r="I29" s="726"/>
      <c r="J29" s="726"/>
      <c r="K29" s="726"/>
      <c r="L29" s="726"/>
    </row>
    <row r="30" spans="1:12" x14ac:dyDescent="0.2">
      <c r="A30" s="23"/>
      <c r="B30" s="726"/>
      <c r="C30" s="726"/>
      <c r="D30" s="726"/>
      <c r="E30" s="726"/>
      <c r="F30" s="726"/>
      <c r="G30" s="726"/>
      <c r="H30" s="726"/>
      <c r="I30" s="726"/>
      <c r="J30" s="726"/>
      <c r="K30" s="726"/>
      <c r="L30" s="726"/>
    </row>
    <row r="31" spans="1:12" x14ac:dyDescent="0.2">
      <c r="A31" s="23"/>
      <c r="B31" s="23"/>
      <c r="C31" s="23"/>
      <c r="D31" s="23"/>
      <c r="E31" s="23"/>
      <c r="F31" s="23"/>
      <c r="G31" s="23"/>
      <c r="H31" s="23"/>
      <c r="I31" s="23"/>
      <c r="J31" s="19"/>
      <c r="K31" s="19"/>
      <c r="L31" s="19"/>
    </row>
    <row r="37" spans="3:6" x14ac:dyDescent="0.2">
      <c r="C37" s="882"/>
      <c r="D37" s="831"/>
      <c r="E37" s="831"/>
      <c r="F37" s="831"/>
    </row>
    <row r="38" spans="3:6" x14ac:dyDescent="0.2">
      <c r="C38" s="831"/>
      <c r="D38" s="831"/>
      <c r="E38" s="831"/>
      <c r="F38" s="831"/>
    </row>
    <row r="39" spans="3:6" x14ac:dyDescent="0.2">
      <c r="C39" s="831"/>
      <c r="D39" s="831"/>
      <c r="E39" s="831"/>
      <c r="F39" s="831"/>
    </row>
    <row r="40" spans="3:6" x14ac:dyDescent="0.2">
      <c r="C40" s="831"/>
      <c r="D40" s="831"/>
      <c r="E40" s="831"/>
      <c r="F40" s="831"/>
    </row>
  </sheetData>
  <customSheetViews>
    <customSheetView guid="{AB48C5D7-99F4-4378-A0F9-05018B348977}">
      <selection activeCell="B39" sqref="B39"/>
      <pageMargins left="0.75" right="0.75" top="1" bottom="1" header="0.5" footer="0.5"/>
      <pageSetup scale="79" firstPageNumber="100" orientation="portrait" useFirstPageNumber="1" r:id="rId1"/>
      <headerFooter alignWithMargins="0"/>
    </customSheetView>
  </customSheetViews>
  <mergeCells count="2">
    <mergeCell ref="C37:F40"/>
    <mergeCell ref="A27:L27"/>
  </mergeCells>
  <phoneticPr fontId="0" type="noConversion"/>
  <printOptions horizontalCentered="1"/>
  <pageMargins left="0.7" right="0.7" top="0.75" bottom="0.75" header="0.3" footer="0.3"/>
  <pageSetup firstPageNumber="100" fitToWidth="0"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FF00"/>
  </sheetPr>
  <dimension ref="A1:S179"/>
  <sheetViews>
    <sheetView topLeftCell="A156" zoomScaleNormal="100" workbookViewId="0">
      <selection activeCell="I10" sqref="I10:I11"/>
    </sheetView>
  </sheetViews>
  <sheetFormatPr defaultColWidth="9.140625" defaultRowHeight="12.75" x14ac:dyDescent="0.2"/>
  <cols>
    <col min="1" max="1" width="2.140625" customWidth="1"/>
    <col min="2" max="3" width="2.42578125" customWidth="1"/>
    <col min="4" max="4" width="29.85546875" customWidth="1"/>
    <col min="5" max="5" width="11.85546875" bestFit="1" customWidth="1"/>
    <col min="6" max="6" width="1.7109375" customWidth="1"/>
    <col min="7" max="7" width="15" bestFit="1" customWidth="1"/>
    <col min="8" max="8" width="1.7109375" customWidth="1"/>
    <col min="9" max="9" width="11.28515625" bestFit="1" customWidth="1"/>
    <col min="10" max="10" width="11.85546875" customWidth="1"/>
    <col min="17" max="17" width="11.42578125" bestFit="1" customWidth="1"/>
  </cols>
  <sheetData>
    <row r="1" spans="1:9" s="173" customFormat="1" x14ac:dyDescent="0.2">
      <c r="A1" s="67" t="s">
        <v>136</v>
      </c>
      <c r="B1" s="67"/>
      <c r="C1" s="67"/>
      <c r="D1" s="67"/>
      <c r="E1" s="67"/>
      <c r="F1" s="67"/>
      <c r="G1" s="67"/>
      <c r="H1" s="67"/>
      <c r="I1" s="67"/>
    </row>
    <row r="2" spans="1:9" s="173" customFormat="1" x14ac:dyDescent="0.2">
      <c r="A2" s="67" t="s">
        <v>79</v>
      </c>
      <c r="B2" s="67"/>
      <c r="C2" s="67"/>
      <c r="D2" s="67"/>
      <c r="E2" s="67"/>
      <c r="F2" s="67"/>
      <c r="G2" s="67"/>
      <c r="H2" s="67"/>
      <c r="I2" s="67"/>
    </row>
    <row r="3" spans="1:9" s="173" customFormat="1" x14ac:dyDescent="0.2">
      <c r="A3" s="67" t="s">
        <v>252</v>
      </c>
      <c r="B3" s="67"/>
      <c r="C3" s="67"/>
      <c r="D3" s="67"/>
      <c r="E3" s="67"/>
      <c r="F3" s="67"/>
      <c r="G3" s="67"/>
      <c r="H3" s="67"/>
      <c r="I3" s="67"/>
    </row>
    <row r="4" spans="1:9" s="173" customFormat="1" x14ac:dyDescent="0.2">
      <c r="A4" s="67" t="s">
        <v>253</v>
      </c>
      <c r="B4" s="67"/>
      <c r="C4" s="67"/>
      <c r="D4" s="67"/>
      <c r="E4" s="67"/>
      <c r="F4" s="67"/>
      <c r="G4" s="67"/>
      <c r="H4" s="67"/>
      <c r="I4" s="67"/>
    </row>
    <row r="5" spans="1:9" s="101" customFormat="1" x14ac:dyDescent="0.2">
      <c r="A5" s="67" t="str">
        <f>'5-GASB34GovtFundsBudget'!C4</f>
        <v>For the Year Ended June 30, 2025</v>
      </c>
      <c r="B5" s="67"/>
      <c r="C5" s="67"/>
      <c r="D5" s="67"/>
      <c r="E5" s="67"/>
      <c r="F5" s="67"/>
      <c r="G5" s="67"/>
      <c r="H5" s="67"/>
      <c r="I5" s="67"/>
    </row>
    <row r="6" spans="1:9" s="101" customFormat="1" x14ac:dyDescent="0.2">
      <c r="A6" s="67"/>
      <c r="B6" s="67"/>
      <c r="C6" s="67"/>
      <c r="D6" s="67"/>
      <c r="E6" s="67"/>
      <c r="F6" s="67"/>
      <c r="G6" s="67"/>
      <c r="H6" s="67"/>
      <c r="I6" s="67"/>
    </row>
    <row r="7" spans="1:9" s="101" customFormat="1" x14ac:dyDescent="0.2">
      <c r="A7" s="67"/>
      <c r="B7" s="67"/>
      <c r="C7" s="67"/>
      <c r="D7" s="67"/>
      <c r="E7" s="67"/>
      <c r="F7" s="67"/>
      <c r="G7" s="67"/>
      <c r="H7" s="67"/>
      <c r="I7" s="67"/>
    </row>
    <row r="8" spans="1:9" ht="13.5" thickBot="1" x14ac:dyDescent="0.25">
      <c r="A8" s="68"/>
      <c r="B8" s="68"/>
      <c r="C8" s="68"/>
      <c r="D8" s="68"/>
      <c r="E8" s="68"/>
      <c r="F8" s="68"/>
      <c r="G8" s="68"/>
      <c r="H8" s="68"/>
      <c r="I8" s="68"/>
    </row>
    <row r="9" spans="1:9" x14ac:dyDescent="0.2">
      <c r="A9" s="25"/>
      <c r="B9" s="25"/>
      <c r="C9" s="25"/>
      <c r="D9" s="25"/>
      <c r="E9" s="25"/>
      <c r="F9" s="25"/>
      <c r="G9" s="25"/>
      <c r="H9" s="25"/>
      <c r="I9" s="9" t="s">
        <v>254</v>
      </c>
    </row>
    <row r="10" spans="1:9" x14ac:dyDescent="0.2">
      <c r="A10" s="25"/>
      <c r="B10" s="25"/>
      <c r="C10" s="25"/>
      <c r="D10" s="25"/>
      <c r="E10" s="25"/>
      <c r="F10" s="25"/>
      <c r="G10" s="25"/>
      <c r="H10" s="25"/>
      <c r="I10" s="691" t="s">
        <v>831</v>
      </c>
    </row>
    <row r="11" spans="1:9" x14ac:dyDescent="0.2">
      <c r="A11" s="25"/>
      <c r="B11" s="24" t="s">
        <v>172</v>
      </c>
      <c r="C11" s="25"/>
      <c r="D11" s="25"/>
      <c r="E11" s="10" t="s">
        <v>184</v>
      </c>
      <c r="F11" s="25"/>
      <c r="G11" s="10" t="s">
        <v>167</v>
      </c>
      <c r="H11" s="25"/>
      <c r="I11" s="692" t="s">
        <v>832</v>
      </c>
    </row>
    <row r="12" spans="1:9" x14ac:dyDescent="0.2">
      <c r="A12" s="95" t="s">
        <v>127</v>
      </c>
      <c r="B12" s="25"/>
      <c r="C12" s="25"/>
      <c r="D12" s="25"/>
      <c r="E12" s="25"/>
      <c r="F12" s="25"/>
      <c r="G12" s="25"/>
      <c r="H12" s="25"/>
      <c r="I12" s="25"/>
    </row>
    <row r="13" spans="1:9" x14ac:dyDescent="0.2">
      <c r="A13" s="25"/>
      <c r="B13" s="25"/>
      <c r="C13" s="24" t="s">
        <v>282</v>
      </c>
      <c r="D13" s="25"/>
      <c r="E13" s="25"/>
      <c r="F13" s="25"/>
      <c r="G13" s="25"/>
      <c r="H13" s="25"/>
      <c r="I13" s="25"/>
    </row>
    <row r="14" spans="1:9" x14ac:dyDescent="0.2">
      <c r="A14" s="25"/>
      <c r="B14" s="25"/>
      <c r="C14" s="24" t="s">
        <v>283</v>
      </c>
      <c r="D14" s="25"/>
      <c r="E14" s="69"/>
      <c r="F14" s="71"/>
      <c r="G14" s="70">
        <f>526959+185000-8074</f>
        <v>703885</v>
      </c>
      <c r="H14" s="71"/>
      <c r="I14" s="69"/>
    </row>
    <row r="15" spans="1:9" x14ac:dyDescent="0.2">
      <c r="A15" s="25"/>
      <c r="B15" s="25"/>
      <c r="C15" s="24" t="s">
        <v>284</v>
      </c>
      <c r="D15" s="73"/>
      <c r="E15" s="86"/>
      <c r="F15" s="63"/>
      <c r="G15" s="63">
        <f>114646+30000</f>
        <v>144646</v>
      </c>
      <c r="H15" s="63"/>
      <c r="I15" s="75"/>
    </row>
    <row r="16" spans="1:9" x14ac:dyDescent="0.2">
      <c r="A16" s="25"/>
      <c r="B16" s="25"/>
      <c r="C16" s="73" t="s">
        <v>285</v>
      </c>
      <c r="D16" s="73"/>
      <c r="E16" s="77"/>
      <c r="F16" s="73"/>
      <c r="G16" s="77">
        <v>52000</v>
      </c>
      <c r="H16" s="73"/>
      <c r="I16" s="78"/>
    </row>
    <row r="17" spans="1:9" x14ac:dyDescent="0.2">
      <c r="A17" s="25"/>
      <c r="B17" s="25"/>
      <c r="C17" s="25"/>
      <c r="D17" s="24" t="s">
        <v>1</v>
      </c>
      <c r="E17" s="79">
        <f>682647+215000+9000</f>
        <v>906647</v>
      </c>
      <c r="F17" s="72"/>
      <c r="G17" s="64">
        <f>SUM(G14:G16)</f>
        <v>900531</v>
      </c>
      <c r="H17" s="72"/>
      <c r="I17" s="79">
        <f>G17-E17</f>
        <v>-6116</v>
      </c>
    </row>
    <row r="18" spans="1:9" ht="12.75" customHeight="1" x14ac:dyDescent="0.2">
      <c r="A18" s="25"/>
      <c r="B18" s="25"/>
      <c r="C18" s="25"/>
      <c r="D18" s="25"/>
      <c r="E18" s="72"/>
      <c r="F18" s="72"/>
      <c r="G18" s="72"/>
      <c r="H18" s="72"/>
      <c r="I18" s="72"/>
    </row>
    <row r="19" spans="1:9" x14ac:dyDescent="0.2">
      <c r="A19" s="25"/>
      <c r="B19" s="25"/>
      <c r="C19" s="24" t="s">
        <v>286</v>
      </c>
      <c r="D19" s="25"/>
      <c r="E19" s="25"/>
      <c r="F19" s="25"/>
      <c r="G19" s="25"/>
      <c r="H19" s="25"/>
      <c r="I19" s="25"/>
    </row>
    <row r="20" spans="1:9" x14ac:dyDescent="0.2">
      <c r="A20" s="25"/>
      <c r="B20" s="25"/>
      <c r="C20" s="24" t="s">
        <v>283</v>
      </c>
      <c r="D20" s="25"/>
      <c r="E20" s="80"/>
      <c r="F20" s="72"/>
      <c r="G20" s="72">
        <f>312734+13074+160000-5000</f>
        <v>480808</v>
      </c>
      <c r="H20" s="72"/>
      <c r="I20" s="81"/>
    </row>
    <row r="21" spans="1:9" x14ac:dyDescent="0.2">
      <c r="A21" s="25"/>
      <c r="B21" s="25"/>
      <c r="C21" s="24" t="s">
        <v>284</v>
      </c>
      <c r="D21" s="25"/>
      <c r="E21" s="82"/>
      <c r="F21" s="63"/>
      <c r="G21" s="83">
        <f>110215+40000</f>
        <v>150215</v>
      </c>
      <c r="H21" s="63"/>
      <c r="I21" s="84"/>
    </row>
    <row r="22" spans="1:9" x14ac:dyDescent="0.2">
      <c r="A22" s="25"/>
      <c r="B22" s="25"/>
      <c r="C22" s="25"/>
      <c r="D22" s="24" t="s">
        <v>1</v>
      </c>
      <c r="E22" s="64">
        <f>415078+200000+17000</f>
        <v>632078</v>
      </c>
      <c r="F22" s="72"/>
      <c r="G22" s="83">
        <f>SUM(G20:G21)</f>
        <v>631023</v>
      </c>
      <c r="H22" s="72"/>
      <c r="I22" s="64">
        <f>G22-E22</f>
        <v>-1055</v>
      </c>
    </row>
    <row r="23" spans="1:9" ht="12.75" customHeight="1" x14ac:dyDescent="0.2">
      <c r="A23" s="25"/>
      <c r="B23" s="25"/>
      <c r="C23" s="25"/>
      <c r="D23" s="25"/>
      <c r="E23" s="72"/>
      <c r="F23" s="72"/>
      <c r="G23" s="72"/>
      <c r="H23" s="72"/>
      <c r="I23" s="72"/>
    </row>
    <row r="24" spans="1:9" x14ac:dyDescent="0.2">
      <c r="A24" s="25"/>
      <c r="B24" s="24" t="s">
        <v>83</v>
      </c>
      <c r="C24" s="25"/>
      <c r="D24" s="25"/>
      <c r="E24" s="64">
        <v>21505</v>
      </c>
      <c r="F24" s="72"/>
      <c r="G24" s="64">
        <v>12100</v>
      </c>
      <c r="H24" s="72"/>
      <c r="I24" s="64">
        <f>G24-E24</f>
        <v>-9405</v>
      </c>
    </row>
    <row r="25" spans="1:9" ht="12.75" customHeight="1" x14ac:dyDescent="0.2">
      <c r="A25" s="25"/>
      <c r="B25" s="25"/>
      <c r="C25" s="25"/>
      <c r="D25" s="25"/>
      <c r="E25" s="25"/>
      <c r="F25" s="25"/>
      <c r="G25" s="72"/>
      <c r="H25" s="25"/>
      <c r="I25" s="25"/>
    </row>
    <row r="26" spans="1:9" x14ac:dyDescent="0.2">
      <c r="A26" s="25"/>
      <c r="B26" s="24" t="s">
        <v>84</v>
      </c>
      <c r="C26" s="25"/>
      <c r="D26" s="25"/>
      <c r="E26" s="64">
        <v>500</v>
      </c>
      <c r="F26" s="72"/>
      <c r="G26" s="64">
        <v>630</v>
      </c>
      <c r="H26" s="72"/>
      <c r="I26" s="64">
        <f>G26-E26</f>
        <v>130</v>
      </c>
    </row>
    <row r="27" spans="1:9" x14ac:dyDescent="0.2">
      <c r="A27" s="25"/>
      <c r="B27" s="25"/>
      <c r="C27" s="25"/>
      <c r="D27" s="24" t="s">
        <v>54</v>
      </c>
      <c r="E27" s="64">
        <f>E26+E24+E22+E17</f>
        <v>1560730</v>
      </c>
      <c r="F27" s="72"/>
      <c r="G27" s="64">
        <f>G26+G24+G22+G17</f>
        <v>1544284</v>
      </c>
      <c r="H27" s="72"/>
      <c r="I27" s="64">
        <f>G27-E27</f>
        <v>-16446</v>
      </c>
    </row>
    <row r="28" spans="1:9" ht="12.75" customHeight="1" x14ac:dyDescent="0.2">
      <c r="A28" s="25"/>
      <c r="B28" s="25"/>
      <c r="C28" s="25"/>
      <c r="D28" s="25"/>
      <c r="E28" s="72"/>
      <c r="F28" s="72"/>
      <c r="G28" s="72"/>
      <c r="H28" s="72"/>
      <c r="I28" s="72"/>
    </row>
    <row r="29" spans="1:9" x14ac:dyDescent="0.2">
      <c r="A29" s="25"/>
      <c r="B29" s="24" t="s">
        <v>259</v>
      </c>
      <c r="C29" s="25"/>
      <c r="D29" s="25"/>
      <c r="E29" s="72"/>
      <c r="F29" s="25"/>
      <c r="G29" s="72"/>
      <c r="H29" s="25"/>
      <c r="I29" s="72"/>
    </row>
    <row r="30" spans="1:9" x14ac:dyDescent="0.2">
      <c r="A30" s="25"/>
      <c r="B30" s="24"/>
      <c r="C30" s="24" t="s">
        <v>744</v>
      </c>
      <c r="D30" s="25"/>
      <c r="E30" s="72"/>
      <c r="F30" s="25"/>
      <c r="G30" s="72">
        <v>12830</v>
      </c>
      <c r="H30" s="25"/>
      <c r="I30" s="72"/>
    </row>
    <row r="31" spans="1:9" x14ac:dyDescent="0.2">
      <c r="A31" s="25"/>
      <c r="B31" s="25"/>
      <c r="C31" s="24" t="s">
        <v>260</v>
      </c>
      <c r="D31" s="25"/>
      <c r="E31" s="85">
        <v>38000</v>
      </c>
      <c r="F31" s="72"/>
      <c r="G31" s="64">
        <f>38122-32162+1059</f>
        <v>7019</v>
      </c>
      <c r="H31" s="72"/>
      <c r="I31" s="64">
        <f>G31-E31</f>
        <v>-30981</v>
      </c>
    </row>
    <row r="32" spans="1:9" x14ac:dyDescent="0.2">
      <c r="A32" s="25"/>
      <c r="B32" s="25"/>
      <c r="C32" s="24"/>
      <c r="D32" s="24" t="s">
        <v>774</v>
      </c>
      <c r="E32" s="85"/>
      <c r="F32" s="72"/>
      <c r="G32" s="64">
        <f>SUM(G30:G31)</f>
        <v>19849</v>
      </c>
      <c r="H32" s="72"/>
      <c r="I32" s="64"/>
    </row>
    <row r="33" spans="1:9" x14ac:dyDescent="0.2">
      <c r="A33" s="25"/>
      <c r="B33" s="25"/>
      <c r="C33" s="25"/>
      <c r="D33" s="24" t="s">
        <v>30</v>
      </c>
      <c r="E33" s="64">
        <f>E27+E31</f>
        <v>1598730</v>
      </c>
      <c r="F33" s="72"/>
      <c r="G33" s="64">
        <f>G27+G32</f>
        <v>1564133</v>
      </c>
      <c r="H33" s="72"/>
      <c r="I33" s="64">
        <f>I27+I31</f>
        <v>-47427</v>
      </c>
    </row>
    <row r="34" spans="1:9" ht="12.75" customHeight="1" x14ac:dyDescent="0.2">
      <c r="A34" s="25"/>
      <c r="B34" s="25"/>
      <c r="C34" s="25"/>
      <c r="D34" s="25"/>
      <c r="E34" s="72"/>
      <c r="F34" s="72"/>
      <c r="G34" s="72"/>
      <c r="H34" s="72"/>
      <c r="I34" s="72"/>
    </row>
    <row r="35" spans="1:9" x14ac:dyDescent="0.2">
      <c r="A35" s="95" t="s">
        <v>128</v>
      </c>
      <c r="B35" s="25"/>
      <c r="C35" s="25"/>
      <c r="D35" s="25"/>
      <c r="E35" s="72"/>
      <c r="F35" s="72"/>
      <c r="G35" s="72"/>
      <c r="H35" s="72"/>
      <c r="I35" s="72"/>
    </row>
    <row r="36" spans="1:9" x14ac:dyDescent="0.2">
      <c r="A36" s="25"/>
      <c r="B36" s="24" t="s">
        <v>287</v>
      </c>
      <c r="C36" s="25"/>
      <c r="D36" s="25"/>
      <c r="E36" s="72"/>
      <c r="F36" s="72"/>
      <c r="G36" s="72"/>
      <c r="H36" s="72"/>
      <c r="I36" s="72"/>
    </row>
    <row r="37" spans="1:9" x14ac:dyDescent="0.2">
      <c r="A37" s="25"/>
      <c r="B37" s="25"/>
      <c r="C37" s="24" t="s">
        <v>205</v>
      </c>
      <c r="D37" s="25"/>
      <c r="E37" s="86"/>
      <c r="F37" s="72"/>
      <c r="G37" s="72">
        <f>74619+100000+(120000+45050)*0.395*0.8+2-17577+(155804*0.395*0.8)</f>
        <v>258433.864</v>
      </c>
      <c r="H37" s="72"/>
      <c r="I37" s="87"/>
    </row>
    <row r="38" spans="1:9" x14ac:dyDescent="0.2">
      <c r="A38" s="25"/>
      <c r="B38" s="25"/>
      <c r="C38" s="24" t="s">
        <v>288</v>
      </c>
      <c r="D38" s="25"/>
      <c r="E38" s="86"/>
      <c r="F38" s="72"/>
      <c r="G38" s="72">
        <v>137</v>
      </c>
      <c r="H38" s="72"/>
      <c r="I38" s="87"/>
    </row>
    <row r="39" spans="1:9" x14ac:dyDescent="0.2">
      <c r="A39" s="25"/>
      <c r="B39" s="25"/>
      <c r="C39" s="24" t="s">
        <v>261</v>
      </c>
      <c r="D39" s="25"/>
      <c r="E39" s="86"/>
      <c r="F39" s="72"/>
      <c r="G39" s="72">
        <v>717</v>
      </c>
      <c r="H39" s="72"/>
      <c r="I39" s="87"/>
    </row>
    <row r="40" spans="1:9" x14ac:dyDescent="0.2">
      <c r="A40" s="25"/>
      <c r="B40" s="25"/>
      <c r="C40" s="24" t="s">
        <v>262</v>
      </c>
      <c r="D40" s="25"/>
      <c r="E40" s="86"/>
      <c r="F40" s="72"/>
      <c r="G40" s="72">
        <v>6000</v>
      </c>
      <c r="H40" s="72"/>
      <c r="I40" s="87"/>
    </row>
    <row r="41" spans="1:9" x14ac:dyDescent="0.2">
      <c r="A41" s="25"/>
      <c r="B41" s="25"/>
      <c r="C41" s="24" t="s">
        <v>217</v>
      </c>
      <c r="D41" s="25"/>
      <c r="E41" s="86"/>
      <c r="F41" s="72"/>
      <c r="G41" s="72">
        <v>2000</v>
      </c>
      <c r="H41" s="72"/>
      <c r="I41" s="87"/>
    </row>
    <row r="42" spans="1:9" x14ac:dyDescent="0.2">
      <c r="A42" s="25"/>
      <c r="B42" s="25"/>
      <c r="C42" s="24" t="s">
        <v>208</v>
      </c>
      <c r="D42" s="25"/>
      <c r="E42" s="86"/>
      <c r="F42" s="63"/>
      <c r="G42" s="63">
        <f>42668</f>
        <v>42668</v>
      </c>
      <c r="H42" s="63"/>
      <c r="I42" s="86"/>
    </row>
    <row r="43" spans="1:9" x14ac:dyDescent="0.2">
      <c r="A43" s="25"/>
      <c r="B43" s="25"/>
      <c r="C43" s="24" t="s">
        <v>289</v>
      </c>
      <c r="D43" s="25"/>
      <c r="E43" s="88"/>
      <c r="F43" s="72"/>
      <c r="G43" s="83">
        <v>18099</v>
      </c>
      <c r="H43" s="72"/>
      <c r="I43" s="88"/>
    </row>
    <row r="44" spans="1:9" x14ac:dyDescent="0.2">
      <c r="A44" s="25"/>
      <c r="B44" s="25"/>
      <c r="C44" s="25"/>
      <c r="D44" s="24" t="s">
        <v>290</v>
      </c>
      <c r="E44" s="25"/>
      <c r="F44" s="25"/>
      <c r="G44" s="25"/>
      <c r="H44" s="25"/>
      <c r="I44" s="25"/>
    </row>
    <row r="45" spans="1:9" x14ac:dyDescent="0.2">
      <c r="A45" s="25"/>
      <c r="B45" s="25"/>
      <c r="C45" s="25"/>
      <c r="D45" s="24" t="s">
        <v>291</v>
      </c>
      <c r="E45" s="64">
        <f>146550+100000+40000+43000</f>
        <v>329550</v>
      </c>
      <c r="F45" s="72"/>
      <c r="G45" s="64">
        <f>SUM(G37:G43)</f>
        <v>328054.864</v>
      </c>
      <c r="H45" s="72"/>
      <c r="I45" s="64">
        <f>E45-G45</f>
        <v>1495.1359999999986</v>
      </c>
    </row>
    <row r="46" spans="1:9" ht="12.75" customHeight="1" x14ac:dyDescent="0.2">
      <c r="A46" s="25"/>
      <c r="B46" s="25"/>
      <c r="C46" s="25"/>
      <c r="D46" s="24"/>
      <c r="E46" s="63"/>
      <c r="F46" s="72"/>
      <c r="G46" s="63"/>
      <c r="H46" s="72"/>
      <c r="I46" s="63"/>
    </row>
    <row r="47" spans="1:9" x14ac:dyDescent="0.2">
      <c r="A47" s="25"/>
      <c r="B47" s="24" t="s">
        <v>211</v>
      </c>
      <c r="C47" s="25"/>
      <c r="D47" s="25"/>
      <c r="E47" s="72"/>
      <c r="F47" s="72"/>
      <c r="G47" s="72"/>
      <c r="H47" s="72"/>
      <c r="I47" s="72"/>
    </row>
    <row r="48" spans="1:9" x14ac:dyDescent="0.2">
      <c r="A48" s="25"/>
      <c r="B48" s="186"/>
      <c r="C48" s="254" t="s">
        <v>205</v>
      </c>
      <c r="D48" s="186"/>
      <c r="E48" s="86"/>
      <c r="F48" s="63"/>
      <c r="G48" s="63">
        <f>13005+50000</f>
        <v>63005</v>
      </c>
      <c r="H48" s="63"/>
      <c r="I48" s="86"/>
    </row>
    <row r="49" spans="1:9" x14ac:dyDescent="0.2">
      <c r="A49" s="186"/>
      <c r="B49" s="186"/>
      <c r="C49" s="250" t="s">
        <v>288</v>
      </c>
      <c r="G49" s="255">
        <v>419</v>
      </c>
      <c r="H49" s="63"/>
      <c r="I49" s="86"/>
    </row>
    <row r="50" spans="1:9" x14ac:dyDescent="0.2">
      <c r="A50" s="186"/>
      <c r="B50" s="186"/>
      <c r="C50" s="250" t="s">
        <v>261</v>
      </c>
      <c r="G50" s="255">
        <v>1674</v>
      </c>
      <c r="H50" s="63"/>
      <c r="I50" s="86"/>
    </row>
    <row r="51" spans="1:9" x14ac:dyDescent="0.2">
      <c r="A51" s="186"/>
      <c r="B51" s="186"/>
      <c r="C51" s="250" t="s">
        <v>215</v>
      </c>
      <c r="G51" s="255">
        <v>1807</v>
      </c>
      <c r="H51" s="63"/>
      <c r="I51" s="86"/>
    </row>
    <row r="52" spans="1:9" x14ac:dyDescent="0.2">
      <c r="A52" s="186"/>
      <c r="B52" s="186"/>
      <c r="C52" s="250" t="s">
        <v>208</v>
      </c>
      <c r="G52" s="255">
        <v>4251</v>
      </c>
      <c r="H52" s="63"/>
      <c r="I52" s="86"/>
    </row>
    <row r="53" spans="1:9" x14ac:dyDescent="0.2">
      <c r="A53" s="186"/>
      <c r="B53" s="186"/>
      <c r="C53" s="250" t="s">
        <v>263</v>
      </c>
      <c r="G53" s="255">
        <v>9184</v>
      </c>
      <c r="H53" s="63"/>
      <c r="I53" s="85"/>
    </row>
    <row r="54" spans="1:9" x14ac:dyDescent="0.2">
      <c r="A54" s="186"/>
      <c r="B54" s="186"/>
      <c r="E54" s="531">
        <f>32200+50000</f>
        <v>82200</v>
      </c>
      <c r="G54" s="394">
        <f>SUM(G48:G53)</f>
        <v>80340</v>
      </c>
      <c r="H54" s="63"/>
      <c r="I54" s="64">
        <v>1860</v>
      </c>
    </row>
    <row r="55" spans="1:9" ht="12.75" customHeight="1" x14ac:dyDescent="0.2">
      <c r="A55" s="186"/>
      <c r="B55" s="186"/>
      <c r="C55" s="186"/>
      <c r="D55" s="186"/>
      <c r="E55" s="186"/>
      <c r="F55" s="186"/>
      <c r="G55" s="186"/>
      <c r="H55" s="186"/>
      <c r="I55" s="86"/>
    </row>
    <row r="56" spans="1:9" ht="13.5" customHeight="1" x14ac:dyDescent="0.2">
      <c r="A56" s="20"/>
      <c r="B56" s="20"/>
      <c r="C56" s="20"/>
      <c r="D56" s="20"/>
      <c r="E56" s="20"/>
      <c r="F56" s="20"/>
      <c r="G56" s="20"/>
      <c r="H56" s="20"/>
      <c r="I56" s="662" t="s">
        <v>471</v>
      </c>
    </row>
    <row r="57" spans="1:9" ht="13.5" customHeight="1" thickBot="1" x14ac:dyDescent="0.25">
      <c r="A57" s="532"/>
      <c r="B57" s="532"/>
      <c r="C57" s="532"/>
      <c r="D57" s="532"/>
      <c r="E57" s="532"/>
      <c r="F57" s="532"/>
      <c r="G57" s="532"/>
      <c r="H57" s="532"/>
      <c r="I57" s="533"/>
    </row>
    <row r="58" spans="1:9" ht="13.5" customHeight="1" x14ac:dyDescent="0.2">
      <c r="A58" s="20"/>
      <c r="B58" s="20"/>
      <c r="C58" s="20"/>
      <c r="D58" s="20"/>
      <c r="E58" s="20"/>
      <c r="F58" s="20"/>
      <c r="G58" s="20"/>
      <c r="H58" s="20"/>
      <c r="I58" s="534" t="s">
        <v>687</v>
      </c>
    </row>
    <row r="59" spans="1:9" ht="13.5" customHeight="1" x14ac:dyDescent="0.2">
      <c r="A59" s="20"/>
      <c r="B59" s="20"/>
      <c r="C59" s="20"/>
      <c r="D59" s="20"/>
      <c r="E59" s="20"/>
      <c r="F59" s="20"/>
      <c r="G59" s="20"/>
      <c r="H59" s="20"/>
      <c r="I59" s="706" t="s">
        <v>831</v>
      </c>
    </row>
    <row r="60" spans="1:9" ht="13.5" customHeight="1" x14ac:dyDescent="0.2">
      <c r="A60" s="20"/>
      <c r="B60" s="535" t="s">
        <v>688</v>
      </c>
      <c r="C60" s="20"/>
      <c r="D60" s="20"/>
      <c r="E60" s="536" t="s">
        <v>689</v>
      </c>
      <c r="F60" s="20"/>
      <c r="G60" s="536" t="s">
        <v>690</v>
      </c>
      <c r="H60" s="20"/>
      <c r="I60" s="707" t="s">
        <v>832</v>
      </c>
    </row>
    <row r="61" spans="1:9" x14ac:dyDescent="0.2">
      <c r="A61" s="25"/>
      <c r="B61" s="24" t="s">
        <v>292</v>
      </c>
      <c r="C61" s="25"/>
      <c r="D61" s="25"/>
      <c r="E61" s="72"/>
      <c r="F61" s="72"/>
      <c r="G61" s="72"/>
      <c r="H61" s="72"/>
      <c r="I61" s="72"/>
    </row>
    <row r="62" spans="1:9" x14ac:dyDescent="0.2">
      <c r="A62" s="25"/>
      <c r="B62" s="25"/>
      <c r="C62" s="24" t="s">
        <v>293</v>
      </c>
      <c r="D62" s="25"/>
      <c r="E62" s="72"/>
      <c r="F62" s="72"/>
      <c r="G62" s="72"/>
      <c r="H62" s="72"/>
      <c r="I62" s="72"/>
    </row>
    <row r="63" spans="1:9" x14ac:dyDescent="0.2">
      <c r="A63" s="25"/>
      <c r="B63" s="25"/>
      <c r="C63" s="24" t="s">
        <v>294</v>
      </c>
      <c r="D63" s="25"/>
      <c r="E63" s="87"/>
      <c r="F63" s="72"/>
      <c r="G63" s="72">
        <f>47712+50000</f>
        <v>97712</v>
      </c>
      <c r="H63" s="72"/>
      <c r="I63" s="87"/>
    </row>
    <row r="64" spans="1:9" x14ac:dyDescent="0.2">
      <c r="A64" s="25"/>
      <c r="B64" s="25"/>
      <c r="C64" s="24" t="s">
        <v>295</v>
      </c>
      <c r="D64" s="25"/>
      <c r="E64" s="87"/>
      <c r="F64" s="72"/>
      <c r="G64" s="72">
        <v>12857</v>
      </c>
      <c r="H64" s="72"/>
      <c r="I64" s="87"/>
    </row>
    <row r="65" spans="1:9" x14ac:dyDescent="0.2">
      <c r="A65" s="25"/>
      <c r="B65" s="25"/>
      <c r="C65" s="24" t="s">
        <v>296</v>
      </c>
      <c r="D65" s="25"/>
      <c r="E65" s="87"/>
      <c r="F65" s="72"/>
      <c r="G65" s="72">
        <v>3358</v>
      </c>
      <c r="H65" s="72"/>
      <c r="I65" s="87"/>
    </row>
    <row r="66" spans="1:9" x14ac:dyDescent="0.2">
      <c r="A66" s="25"/>
      <c r="B66" s="25"/>
      <c r="C66" s="24" t="s">
        <v>554</v>
      </c>
      <c r="D66" s="25"/>
      <c r="E66" s="87"/>
      <c r="F66" s="72"/>
      <c r="G66" s="72">
        <v>2850</v>
      </c>
      <c r="H66" s="72"/>
      <c r="I66" s="87"/>
    </row>
    <row r="67" spans="1:9" x14ac:dyDescent="0.2">
      <c r="A67" s="25"/>
      <c r="B67" s="25"/>
      <c r="C67" s="24" t="s">
        <v>297</v>
      </c>
      <c r="D67" s="25"/>
      <c r="E67" s="86"/>
      <c r="F67" s="63"/>
      <c r="G67" s="63">
        <v>4352</v>
      </c>
      <c r="H67" s="63"/>
      <c r="I67" s="86"/>
    </row>
    <row r="68" spans="1:9" x14ac:dyDescent="0.2">
      <c r="A68" s="25"/>
      <c r="B68" s="25"/>
      <c r="C68" s="25" t="s">
        <v>298</v>
      </c>
      <c r="D68" s="73"/>
      <c r="E68" s="85"/>
      <c r="F68" s="72"/>
      <c r="G68" s="64">
        <v>7771</v>
      </c>
      <c r="H68" s="72"/>
      <c r="I68" s="85"/>
    </row>
    <row r="69" spans="1:9" x14ac:dyDescent="0.2">
      <c r="A69" s="25"/>
      <c r="B69" s="25"/>
      <c r="C69" s="25"/>
      <c r="D69" s="24" t="s">
        <v>1</v>
      </c>
      <c r="E69" s="64">
        <f>76220+2850+50000</f>
        <v>129070</v>
      </c>
      <c r="F69" s="72"/>
      <c r="G69" s="64">
        <f>SUM(G63:G68)</f>
        <v>128900</v>
      </c>
      <c r="H69" s="72"/>
      <c r="I69" s="64">
        <f>E69-G69</f>
        <v>170</v>
      </c>
    </row>
    <row r="70" spans="1:9" ht="12.75" customHeight="1" x14ac:dyDescent="0.2">
      <c r="A70" s="25"/>
      <c r="B70" s="25"/>
      <c r="C70" s="25"/>
      <c r="D70" s="25"/>
      <c r="E70" s="72"/>
      <c r="F70" s="72"/>
      <c r="G70" s="72"/>
      <c r="H70" s="72"/>
      <c r="I70" s="72"/>
    </row>
    <row r="71" spans="1:9" x14ac:dyDescent="0.2">
      <c r="A71" s="25"/>
      <c r="B71" s="25"/>
      <c r="C71" s="24" t="s">
        <v>299</v>
      </c>
      <c r="D71" s="25"/>
      <c r="E71" s="72"/>
      <c r="F71" s="72"/>
      <c r="G71" s="72"/>
      <c r="H71" s="72"/>
      <c r="I71" s="72"/>
    </row>
    <row r="72" spans="1:9" x14ac:dyDescent="0.2">
      <c r="A72" s="25"/>
      <c r="B72" s="25"/>
      <c r="C72" s="24" t="s">
        <v>294</v>
      </c>
      <c r="D72" s="25"/>
      <c r="E72" s="87"/>
      <c r="F72" s="72"/>
      <c r="G72" s="72">
        <f>5435+50000</f>
        <v>55435</v>
      </c>
      <c r="H72" s="72"/>
      <c r="I72" s="87"/>
    </row>
    <row r="73" spans="1:9" x14ac:dyDescent="0.2">
      <c r="A73" s="25"/>
      <c r="B73" s="25"/>
      <c r="C73" s="24" t="s">
        <v>300</v>
      </c>
      <c r="D73" s="25"/>
      <c r="E73" s="87"/>
      <c r="F73" s="72"/>
      <c r="G73" s="72">
        <v>15158</v>
      </c>
      <c r="H73" s="72"/>
      <c r="I73" s="87"/>
    </row>
    <row r="74" spans="1:9" x14ac:dyDescent="0.2">
      <c r="A74" s="25"/>
      <c r="B74" s="25"/>
      <c r="C74" s="24" t="s">
        <v>296</v>
      </c>
      <c r="D74" s="25"/>
      <c r="E74" s="87"/>
      <c r="F74" s="72"/>
      <c r="G74" s="72">
        <v>125</v>
      </c>
      <c r="H74" s="72"/>
      <c r="I74" s="87"/>
    </row>
    <row r="75" spans="1:9" x14ac:dyDescent="0.2">
      <c r="A75" s="25"/>
      <c r="B75" s="25"/>
      <c r="C75" s="24" t="s">
        <v>554</v>
      </c>
      <c r="D75" s="25"/>
      <c r="E75" s="87"/>
      <c r="F75" s="72"/>
      <c r="G75" s="72">
        <v>4000</v>
      </c>
      <c r="H75" s="72"/>
      <c r="I75" s="87"/>
    </row>
    <row r="76" spans="1:9" x14ac:dyDescent="0.2">
      <c r="A76" s="25"/>
      <c r="B76" s="25"/>
      <c r="C76" s="24" t="s">
        <v>297</v>
      </c>
      <c r="D76" s="25"/>
      <c r="E76" s="85"/>
      <c r="F76" s="72"/>
      <c r="G76" s="64">
        <v>1326</v>
      </c>
      <c r="H76" s="72"/>
      <c r="I76" s="85"/>
    </row>
    <row r="77" spans="1:9" x14ac:dyDescent="0.2">
      <c r="A77" s="25"/>
      <c r="B77" s="25"/>
      <c r="C77" s="25"/>
      <c r="D77" s="24" t="s">
        <v>1</v>
      </c>
      <c r="E77" s="64">
        <f>23660+4000+50000</f>
        <v>77660</v>
      </c>
      <c r="F77" s="72"/>
      <c r="G77" s="64">
        <f>SUM(G72:G76)</f>
        <v>76044</v>
      </c>
      <c r="H77" s="72"/>
      <c r="I77" s="64">
        <f>E77-G77</f>
        <v>1616</v>
      </c>
    </row>
    <row r="78" spans="1:9" ht="12.75" customHeight="1" x14ac:dyDescent="0.2">
      <c r="A78" s="25"/>
      <c r="B78" s="25"/>
      <c r="C78" s="25"/>
      <c r="D78" s="25"/>
      <c r="E78" s="72"/>
      <c r="F78" s="72"/>
      <c r="G78" s="72"/>
      <c r="H78" s="72"/>
      <c r="I78" s="72"/>
    </row>
    <row r="79" spans="1:9" x14ac:dyDescent="0.2">
      <c r="A79" s="25"/>
      <c r="B79" s="25"/>
      <c r="C79" s="24" t="s">
        <v>301</v>
      </c>
      <c r="D79" s="25"/>
      <c r="E79" s="72"/>
      <c r="F79" s="72"/>
      <c r="G79" s="72"/>
      <c r="H79" s="72"/>
      <c r="I79" s="72"/>
    </row>
    <row r="80" spans="1:9" x14ac:dyDescent="0.2">
      <c r="A80" s="25"/>
      <c r="B80" s="25"/>
      <c r="C80" s="24" t="s">
        <v>294</v>
      </c>
      <c r="D80" s="25"/>
      <c r="E80" s="87"/>
      <c r="F80" s="72"/>
      <c r="G80" s="72">
        <f>11933+40000</f>
        <v>51933</v>
      </c>
      <c r="H80" s="72"/>
      <c r="I80" s="87"/>
    </row>
    <row r="81" spans="1:9" x14ac:dyDescent="0.2">
      <c r="A81" s="25"/>
      <c r="B81" s="25"/>
      <c r="C81" s="24" t="s">
        <v>296</v>
      </c>
      <c r="D81" s="25"/>
      <c r="E81" s="87"/>
      <c r="F81" s="72"/>
      <c r="G81" s="72">
        <v>8593</v>
      </c>
      <c r="H81" s="72"/>
      <c r="I81" s="87"/>
    </row>
    <row r="82" spans="1:9" x14ac:dyDescent="0.2">
      <c r="A82" s="25"/>
      <c r="B82" s="25"/>
      <c r="C82" s="24" t="s">
        <v>302</v>
      </c>
      <c r="D82" s="25"/>
      <c r="E82" s="87"/>
      <c r="F82" s="72"/>
      <c r="G82" s="72">
        <v>3368</v>
      </c>
      <c r="H82" s="72"/>
      <c r="I82" s="87"/>
    </row>
    <row r="83" spans="1:9" x14ac:dyDescent="0.2">
      <c r="A83" s="25"/>
      <c r="B83" s="25"/>
      <c r="C83" s="24" t="s">
        <v>554</v>
      </c>
      <c r="D83" s="25"/>
      <c r="E83" s="87"/>
      <c r="F83" s="72"/>
      <c r="G83" s="72">
        <v>9993</v>
      </c>
      <c r="H83" s="72"/>
      <c r="I83" s="87"/>
    </row>
    <row r="84" spans="1:9" x14ac:dyDescent="0.2">
      <c r="A84" s="25"/>
      <c r="B84" s="25"/>
      <c r="C84" s="24" t="s">
        <v>297</v>
      </c>
      <c r="D84" s="25"/>
      <c r="E84" s="85"/>
      <c r="F84" s="72"/>
      <c r="G84" s="64">
        <v>40</v>
      </c>
      <c r="H84" s="72"/>
      <c r="I84" s="85"/>
    </row>
    <row r="85" spans="1:9" x14ac:dyDescent="0.2">
      <c r="A85" s="25"/>
      <c r="B85" s="25"/>
      <c r="C85" s="25"/>
      <c r="D85" s="24" t="s">
        <v>1</v>
      </c>
      <c r="E85" s="64">
        <f>45750-4827+10000+40000-14000</f>
        <v>76923</v>
      </c>
      <c r="F85" s="72"/>
      <c r="G85" s="64">
        <f>SUM(G80:G84)</f>
        <v>73927</v>
      </c>
      <c r="H85" s="72"/>
      <c r="I85" s="64">
        <f>+E85-G85</f>
        <v>2996</v>
      </c>
    </row>
    <row r="86" spans="1:9" x14ac:dyDescent="0.2">
      <c r="A86" s="25"/>
      <c r="B86" s="25"/>
      <c r="C86" s="25"/>
      <c r="D86" s="24" t="s">
        <v>303</v>
      </c>
      <c r="E86" s="25"/>
      <c r="F86" s="25"/>
      <c r="G86" s="25"/>
      <c r="H86" s="25"/>
      <c r="I86" s="25"/>
    </row>
    <row r="87" spans="1:9" x14ac:dyDescent="0.2">
      <c r="A87" s="25"/>
      <c r="B87" s="25"/>
      <c r="C87" s="25"/>
      <c r="D87" s="24" t="s">
        <v>304</v>
      </c>
      <c r="E87" s="64">
        <f>+E85+E77+E69</f>
        <v>283653</v>
      </c>
      <c r="F87" s="72"/>
      <c r="G87" s="64">
        <f>+G85+G77+G69</f>
        <v>278871</v>
      </c>
      <c r="H87" s="72"/>
      <c r="I87" s="64">
        <f>+I85+I77+I69</f>
        <v>4782</v>
      </c>
    </row>
    <row r="88" spans="1:9" ht="12.75" customHeight="1" x14ac:dyDescent="0.2">
      <c r="A88" s="25"/>
      <c r="B88" s="25"/>
      <c r="C88" s="25"/>
      <c r="D88" s="24"/>
      <c r="E88" s="63"/>
      <c r="F88" s="72"/>
      <c r="G88" s="63"/>
      <c r="H88" s="72"/>
      <c r="I88" s="63"/>
    </row>
    <row r="89" spans="1:9" x14ac:dyDescent="0.2">
      <c r="A89" s="25"/>
      <c r="B89" s="24" t="s">
        <v>305</v>
      </c>
      <c r="C89" s="25"/>
      <c r="D89" s="25"/>
      <c r="E89" s="72"/>
      <c r="F89" s="72"/>
      <c r="G89" s="72"/>
      <c r="H89" s="72"/>
      <c r="I89" s="72"/>
    </row>
    <row r="90" spans="1:9" x14ac:dyDescent="0.2">
      <c r="A90" s="25"/>
      <c r="B90" s="25"/>
      <c r="C90" s="24" t="s">
        <v>306</v>
      </c>
      <c r="D90" s="25"/>
      <c r="E90" s="72"/>
      <c r="F90" s="72"/>
      <c r="G90" s="72"/>
      <c r="H90" s="72"/>
      <c r="I90" s="72"/>
    </row>
    <row r="91" spans="1:9" x14ac:dyDescent="0.2">
      <c r="A91" s="25"/>
      <c r="B91" s="25"/>
      <c r="C91" s="24" t="s">
        <v>294</v>
      </c>
      <c r="D91" s="25"/>
      <c r="E91" s="87"/>
      <c r="F91" s="72"/>
      <c r="G91" s="72">
        <f>11573+50000</f>
        <v>61573</v>
      </c>
      <c r="H91" s="72"/>
      <c r="I91" s="87"/>
    </row>
    <row r="92" spans="1:9" x14ac:dyDescent="0.2">
      <c r="A92" s="25"/>
      <c r="B92" s="25"/>
      <c r="C92" s="24" t="s">
        <v>296</v>
      </c>
      <c r="D92" s="25"/>
      <c r="E92" s="87"/>
      <c r="F92" s="72"/>
      <c r="G92" s="72">
        <v>6303</v>
      </c>
      <c r="H92" s="72"/>
      <c r="I92" s="87"/>
    </row>
    <row r="93" spans="1:9" x14ac:dyDescent="0.2">
      <c r="A93" s="25"/>
      <c r="B93" s="25"/>
      <c r="C93" s="24" t="s">
        <v>554</v>
      </c>
      <c r="D93" s="25"/>
      <c r="E93" s="87"/>
      <c r="F93" s="72"/>
      <c r="G93" s="72">
        <v>8000</v>
      </c>
      <c r="H93" s="72"/>
      <c r="I93" s="87"/>
    </row>
    <row r="94" spans="1:9" x14ac:dyDescent="0.2">
      <c r="A94" s="25"/>
      <c r="B94" s="25"/>
      <c r="C94" s="24" t="s">
        <v>297</v>
      </c>
      <c r="D94" s="25"/>
      <c r="E94" s="85"/>
      <c r="F94" s="72"/>
      <c r="G94" s="64">
        <v>4295</v>
      </c>
      <c r="H94" s="72"/>
      <c r="I94" s="85"/>
    </row>
    <row r="95" spans="1:9" x14ac:dyDescent="0.2">
      <c r="A95" s="25"/>
      <c r="B95" s="25"/>
      <c r="C95" s="25"/>
      <c r="D95" s="24" t="s">
        <v>1</v>
      </c>
      <c r="E95" s="64">
        <f>23050+8000+50000</f>
        <v>81050</v>
      </c>
      <c r="F95" s="72"/>
      <c r="G95" s="64">
        <f>SUM(G91:G94)</f>
        <v>80171</v>
      </c>
      <c r="H95" s="72"/>
      <c r="I95" s="64">
        <f>+E95-G95</f>
        <v>879</v>
      </c>
    </row>
    <row r="96" spans="1:9" x14ac:dyDescent="0.2">
      <c r="A96" s="25"/>
      <c r="B96" s="25"/>
      <c r="C96" s="25"/>
      <c r="D96" s="24"/>
      <c r="E96" s="63"/>
      <c r="F96" s="72"/>
      <c r="G96" s="63"/>
      <c r="H96" s="72"/>
      <c r="I96" s="86"/>
    </row>
    <row r="97" spans="1:9" x14ac:dyDescent="0.2">
      <c r="A97" s="25"/>
      <c r="B97" s="25"/>
      <c r="C97" s="25"/>
      <c r="D97" s="24"/>
      <c r="E97" s="63"/>
      <c r="F97" s="72"/>
      <c r="G97" s="63"/>
      <c r="H97" s="72"/>
      <c r="I97" s="662" t="s">
        <v>471</v>
      </c>
    </row>
    <row r="98" spans="1:9" ht="13.5" thickBot="1" x14ac:dyDescent="0.25">
      <c r="A98" s="532"/>
      <c r="B98" s="532"/>
      <c r="C98" s="532"/>
      <c r="D98" s="532"/>
      <c r="E98" s="532"/>
      <c r="F98" s="532"/>
      <c r="G98" s="532"/>
      <c r="H98" s="532"/>
      <c r="I98" s="618"/>
    </row>
    <row r="99" spans="1:9" x14ac:dyDescent="0.2">
      <c r="A99" s="20"/>
      <c r="B99" s="20"/>
      <c r="C99" s="20"/>
      <c r="D99" s="20"/>
      <c r="E99" s="20"/>
      <c r="F99" s="20"/>
      <c r="G99" s="20"/>
      <c r="H99" s="20"/>
      <c r="I99" s="534" t="s">
        <v>687</v>
      </c>
    </row>
    <row r="100" spans="1:9" x14ac:dyDescent="0.2">
      <c r="A100" s="20"/>
      <c r="B100" s="20"/>
      <c r="C100" s="20"/>
      <c r="D100" s="20"/>
      <c r="E100" s="20"/>
      <c r="F100" s="20"/>
      <c r="G100" s="20"/>
      <c r="H100" s="20"/>
      <c r="I100" s="706" t="s">
        <v>831</v>
      </c>
    </row>
    <row r="101" spans="1:9" x14ac:dyDescent="0.2">
      <c r="A101" s="20"/>
      <c r="B101" s="535" t="s">
        <v>688</v>
      </c>
      <c r="C101" s="20"/>
      <c r="D101" s="20"/>
      <c r="E101" s="536" t="s">
        <v>689</v>
      </c>
      <c r="F101" s="20"/>
      <c r="G101" s="536" t="s">
        <v>690</v>
      </c>
      <c r="H101" s="20"/>
      <c r="I101" s="707" t="s">
        <v>832</v>
      </c>
    </row>
    <row r="102" spans="1:9" x14ac:dyDescent="0.2">
      <c r="A102" s="25"/>
      <c r="B102" s="25"/>
      <c r="C102" s="24" t="s">
        <v>307</v>
      </c>
      <c r="D102" s="25"/>
      <c r="E102" s="72"/>
      <c r="F102" s="72"/>
      <c r="G102" s="72"/>
      <c r="H102" s="72"/>
      <c r="I102" s="72"/>
    </row>
    <row r="103" spans="1:9" x14ac:dyDescent="0.2">
      <c r="A103" s="25"/>
      <c r="B103" s="25"/>
      <c r="C103" s="24" t="s">
        <v>294</v>
      </c>
      <c r="D103" s="25"/>
      <c r="E103" s="87"/>
      <c r="F103" s="72"/>
      <c r="G103" s="72">
        <f>19571+50000</f>
        <v>69571</v>
      </c>
      <c r="H103" s="72"/>
      <c r="I103" s="87"/>
    </row>
    <row r="104" spans="1:9" x14ac:dyDescent="0.2">
      <c r="A104" s="25"/>
      <c r="B104" s="25"/>
      <c r="C104" s="24" t="s">
        <v>295</v>
      </c>
      <c r="D104" s="25"/>
      <c r="E104" s="87"/>
      <c r="F104" s="72"/>
      <c r="G104" s="72">
        <v>2931</v>
      </c>
      <c r="H104" s="72"/>
      <c r="I104" s="87"/>
    </row>
    <row r="105" spans="1:9" x14ac:dyDescent="0.2">
      <c r="A105" s="25"/>
      <c r="B105" s="25"/>
      <c r="C105" s="24" t="s">
        <v>296</v>
      </c>
      <c r="D105" s="25"/>
      <c r="E105" s="87"/>
      <c r="F105" s="72"/>
      <c r="G105" s="72">
        <v>3520</v>
      </c>
      <c r="H105" s="72"/>
      <c r="I105" s="87"/>
    </row>
    <row r="106" spans="1:9" x14ac:dyDescent="0.2">
      <c r="A106" s="25"/>
      <c r="B106" s="25"/>
      <c r="C106" s="24" t="s">
        <v>554</v>
      </c>
      <c r="D106" s="25"/>
      <c r="E106" s="87"/>
      <c r="F106" s="72"/>
      <c r="G106" s="72">
        <v>1000</v>
      </c>
      <c r="H106" s="72"/>
      <c r="I106" s="87"/>
    </row>
    <row r="107" spans="1:9" x14ac:dyDescent="0.2">
      <c r="A107" s="25"/>
      <c r="B107" s="25"/>
      <c r="C107" s="24" t="s">
        <v>297</v>
      </c>
      <c r="D107" s="25"/>
      <c r="E107" s="85"/>
      <c r="F107" s="72"/>
      <c r="G107" s="64">
        <v>1850</v>
      </c>
      <c r="H107" s="72"/>
      <c r="I107" s="85"/>
    </row>
    <row r="108" spans="1:9" x14ac:dyDescent="0.2">
      <c r="A108" s="25"/>
      <c r="B108" s="25"/>
      <c r="C108" s="25"/>
      <c r="D108" s="24" t="s">
        <v>1</v>
      </c>
      <c r="E108" s="64">
        <f>31850+1000+50000-2000</f>
        <v>80850</v>
      </c>
      <c r="F108" s="72"/>
      <c r="G108" s="64">
        <f>SUM(G103:G107)</f>
        <v>78872</v>
      </c>
      <c r="H108" s="72"/>
      <c r="I108" s="64">
        <f>+E108-G108</f>
        <v>1978</v>
      </c>
    </row>
    <row r="109" spans="1:9" ht="12.75" customHeight="1" x14ac:dyDescent="0.2">
      <c r="A109" s="25"/>
      <c r="B109" s="25"/>
      <c r="C109" s="25"/>
      <c r="D109" s="25"/>
      <c r="E109" s="25"/>
      <c r="F109" s="25"/>
      <c r="G109" s="25"/>
      <c r="H109" s="25"/>
      <c r="I109" s="25"/>
    </row>
    <row r="110" spans="1:9" x14ac:dyDescent="0.2">
      <c r="A110" s="25"/>
      <c r="B110" s="25"/>
      <c r="C110" s="24" t="s">
        <v>308</v>
      </c>
      <c r="D110" s="25"/>
      <c r="E110" s="72"/>
      <c r="F110" s="72"/>
      <c r="G110" s="72"/>
      <c r="H110" s="72"/>
      <c r="I110" s="72"/>
    </row>
    <row r="111" spans="1:9" x14ac:dyDescent="0.2">
      <c r="A111" s="25"/>
      <c r="B111" s="25"/>
      <c r="C111" s="24" t="s">
        <v>294</v>
      </c>
      <c r="D111" s="25"/>
      <c r="E111" s="87"/>
      <c r="F111" s="72"/>
      <c r="G111" s="72">
        <f>3387+25000</f>
        <v>28387</v>
      </c>
      <c r="H111" s="72"/>
      <c r="I111" s="87"/>
    </row>
    <row r="112" spans="1:9" x14ac:dyDescent="0.2">
      <c r="A112" s="25"/>
      <c r="B112" s="25"/>
      <c r="C112" s="24" t="s">
        <v>296</v>
      </c>
      <c r="D112" s="25"/>
      <c r="E112" s="87"/>
      <c r="F112" s="72"/>
      <c r="G112" s="72">
        <v>445</v>
      </c>
      <c r="H112" s="72"/>
      <c r="I112" s="87"/>
    </row>
    <row r="113" spans="1:9" x14ac:dyDescent="0.2">
      <c r="A113" s="25"/>
      <c r="B113" s="25"/>
      <c r="C113" s="24" t="s">
        <v>554</v>
      </c>
      <c r="D113" s="25"/>
      <c r="E113" s="87"/>
      <c r="F113" s="72"/>
      <c r="G113" s="72">
        <v>1000</v>
      </c>
      <c r="H113" s="72"/>
      <c r="I113" s="87"/>
    </row>
    <row r="114" spans="1:9" x14ac:dyDescent="0.2">
      <c r="A114" s="25"/>
      <c r="B114" s="25"/>
      <c r="C114" s="24" t="s">
        <v>297</v>
      </c>
      <c r="D114" s="25"/>
      <c r="E114" s="85"/>
      <c r="F114" s="72"/>
      <c r="G114" s="64">
        <v>113</v>
      </c>
      <c r="H114" s="72"/>
      <c r="I114" s="85"/>
    </row>
    <row r="115" spans="1:9" x14ac:dyDescent="0.2">
      <c r="A115" s="25"/>
      <c r="B115" s="25"/>
      <c r="C115" s="25"/>
      <c r="D115" s="24" t="s">
        <v>1</v>
      </c>
      <c r="E115" s="64">
        <f>4700+1000+25000</f>
        <v>30700</v>
      </c>
      <c r="F115" s="72"/>
      <c r="G115" s="64">
        <f>SUM(G111:G114)</f>
        <v>29945</v>
      </c>
      <c r="H115" s="72"/>
      <c r="I115" s="64">
        <f>E115-G115</f>
        <v>755</v>
      </c>
    </row>
    <row r="116" spans="1:9" x14ac:dyDescent="0.2">
      <c r="A116" s="25"/>
      <c r="B116" s="25"/>
      <c r="C116" s="25"/>
      <c r="D116" s="24" t="s">
        <v>309</v>
      </c>
      <c r="E116" s="25"/>
      <c r="F116" s="25"/>
      <c r="G116" s="25"/>
      <c r="H116" s="25"/>
      <c r="I116" s="25"/>
    </row>
    <row r="117" spans="1:9" x14ac:dyDescent="0.2">
      <c r="A117" s="25"/>
      <c r="B117" s="25"/>
      <c r="C117" s="25"/>
      <c r="D117" s="24" t="s">
        <v>310</v>
      </c>
      <c r="E117" s="64">
        <f>E115+E108+E95</f>
        <v>192600</v>
      </c>
      <c r="F117" s="72"/>
      <c r="G117" s="64">
        <f>G115+G108+G95</f>
        <v>188988</v>
      </c>
      <c r="H117" s="72"/>
      <c r="I117" s="64">
        <f>I115+I108+I95</f>
        <v>3612</v>
      </c>
    </row>
    <row r="118" spans="1:9" ht="12.75" customHeight="1" x14ac:dyDescent="0.2">
      <c r="A118" s="25"/>
      <c r="B118" s="25"/>
      <c r="C118" s="25"/>
      <c r="D118" s="25"/>
      <c r="E118" s="72"/>
      <c r="F118" s="72"/>
      <c r="G118" s="72"/>
      <c r="H118" s="72"/>
      <c r="I118" s="72"/>
    </row>
    <row r="119" spans="1:9" x14ac:dyDescent="0.2">
      <c r="A119" s="25"/>
      <c r="B119" s="24" t="s">
        <v>33</v>
      </c>
      <c r="C119" s="25"/>
      <c r="D119" s="25"/>
      <c r="E119" s="72"/>
      <c r="F119" s="72"/>
      <c r="G119" s="72"/>
      <c r="H119" s="72"/>
      <c r="I119" s="72"/>
    </row>
    <row r="120" spans="1:9" x14ac:dyDescent="0.2">
      <c r="A120" s="25"/>
      <c r="B120" s="25"/>
      <c r="C120" s="24" t="s">
        <v>91</v>
      </c>
      <c r="D120" s="25"/>
      <c r="E120" s="72">
        <v>10000</v>
      </c>
      <c r="F120" s="72"/>
      <c r="G120" s="72">
        <v>10000</v>
      </c>
      <c r="H120" s="72"/>
      <c r="I120" s="87" t="s">
        <v>183</v>
      </c>
    </row>
    <row r="121" spans="1:9" x14ac:dyDescent="0.2">
      <c r="A121" s="25"/>
      <c r="B121" s="25"/>
      <c r="C121" s="24" t="s">
        <v>35</v>
      </c>
      <c r="D121" s="25"/>
      <c r="E121" s="72">
        <f>142500+765</f>
        <v>143265</v>
      </c>
      <c r="F121" s="72"/>
      <c r="G121" s="72">
        <f>78386-169+762</f>
        <v>78979</v>
      </c>
      <c r="H121" s="72"/>
      <c r="I121" s="63">
        <f>E121-G121</f>
        <v>64286</v>
      </c>
    </row>
    <row r="122" spans="1:9" x14ac:dyDescent="0.2">
      <c r="A122" s="25"/>
      <c r="B122" s="25"/>
      <c r="C122" s="24" t="s">
        <v>130</v>
      </c>
      <c r="D122" s="25"/>
      <c r="E122" s="64">
        <f>359725+9240</f>
        <v>368965</v>
      </c>
      <c r="F122" s="72"/>
      <c r="G122" s="64">
        <f>359725+9238</f>
        <v>368963</v>
      </c>
      <c r="H122" s="72"/>
      <c r="I122" s="85">
        <v>2</v>
      </c>
    </row>
    <row r="123" spans="1:9" x14ac:dyDescent="0.2">
      <c r="A123" s="25"/>
      <c r="B123" s="25"/>
      <c r="C123" s="25"/>
      <c r="D123" s="24" t="s">
        <v>241</v>
      </c>
      <c r="E123" s="64">
        <v>522230</v>
      </c>
      <c r="F123" s="72"/>
      <c r="G123" s="64">
        <f>SUM(G120:G122)</f>
        <v>457942</v>
      </c>
      <c r="H123" s="72"/>
      <c r="I123" s="64">
        <v>299</v>
      </c>
    </row>
    <row r="124" spans="1:9" ht="12.75" customHeight="1" x14ac:dyDescent="0.2"/>
    <row r="125" spans="1:9" x14ac:dyDescent="0.2">
      <c r="A125" s="25"/>
      <c r="B125" s="24" t="s">
        <v>247</v>
      </c>
      <c r="C125" s="25"/>
      <c r="D125" s="25"/>
      <c r="E125" s="72"/>
      <c r="F125" s="72"/>
      <c r="G125" s="72"/>
      <c r="H125" s="72"/>
      <c r="I125" s="72"/>
    </row>
    <row r="126" spans="1:9" x14ac:dyDescent="0.2">
      <c r="A126" s="25"/>
      <c r="B126" s="25"/>
      <c r="C126" s="24" t="s">
        <v>311</v>
      </c>
      <c r="D126" s="25"/>
      <c r="E126" s="72">
        <v>43210</v>
      </c>
      <c r="F126" s="72"/>
      <c r="G126" s="72">
        <v>38576</v>
      </c>
      <c r="H126" s="72"/>
      <c r="I126" s="72">
        <v>4634</v>
      </c>
    </row>
    <row r="127" spans="1:9" x14ac:dyDescent="0.2">
      <c r="A127" s="25"/>
      <c r="B127" s="25"/>
      <c r="C127" s="24" t="s">
        <v>312</v>
      </c>
      <c r="D127" s="25"/>
      <c r="E127" s="72">
        <v>22000</v>
      </c>
      <c r="F127" s="72"/>
      <c r="G127" s="72">
        <v>18495</v>
      </c>
      <c r="H127" s="72"/>
      <c r="I127" s="72">
        <v>3505</v>
      </c>
    </row>
    <row r="128" spans="1:9" x14ac:dyDescent="0.2">
      <c r="A128" s="25"/>
      <c r="B128" s="25"/>
      <c r="C128" s="24" t="s">
        <v>313</v>
      </c>
      <c r="D128" s="25"/>
      <c r="E128" s="72">
        <v>21625</v>
      </c>
      <c r="F128" s="72"/>
      <c r="G128" s="72">
        <v>17310</v>
      </c>
      <c r="H128" s="72"/>
      <c r="I128" s="72">
        <v>4315</v>
      </c>
    </row>
    <row r="129" spans="1:9" x14ac:dyDescent="0.2">
      <c r="A129" s="25"/>
      <c r="B129" s="25"/>
      <c r="C129" s="24" t="s">
        <v>314</v>
      </c>
      <c r="D129" s="25"/>
      <c r="E129" s="72">
        <v>72100</v>
      </c>
      <c r="F129" s="72"/>
      <c r="G129" s="72">
        <v>32594</v>
      </c>
      <c r="H129" s="72"/>
      <c r="I129" s="72">
        <v>39506</v>
      </c>
    </row>
    <row r="130" spans="1:9" x14ac:dyDescent="0.2">
      <c r="A130" s="25"/>
      <c r="B130" s="25"/>
      <c r="C130" s="24" t="s">
        <v>315</v>
      </c>
      <c r="D130" s="25"/>
      <c r="E130" s="72">
        <v>12085</v>
      </c>
      <c r="F130" s="72"/>
      <c r="G130" s="72">
        <v>8043</v>
      </c>
      <c r="H130" s="72"/>
      <c r="I130" s="72">
        <v>4042</v>
      </c>
    </row>
    <row r="131" spans="1:9" x14ac:dyDescent="0.2">
      <c r="A131" s="25"/>
      <c r="B131" s="25"/>
      <c r="C131" s="24" t="s">
        <v>316</v>
      </c>
      <c r="D131" s="25"/>
      <c r="E131" s="63">
        <v>12650</v>
      </c>
      <c r="F131" s="63"/>
      <c r="G131" s="63">
        <v>10346</v>
      </c>
      <c r="H131" s="63"/>
      <c r="I131" s="63">
        <v>2304</v>
      </c>
    </row>
    <row r="132" spans="1:9" x14ac:dyDescent="0.2">
      <c r="A132" s="25"/>
      <c r="B132" s="25"/>
      <c r="C132" s="24" t="s">
        <v>516</v>
      </c>
      <c r="D132" s="25"/>
      <c r="E132" s="64">
        <v>3800000</v>
      </c>
      <c r="F132" s="72"/>
      <c r="G132" s="64">
        <v>3800000</v>
      </c>
      <c r="H132" s="72"/>
      <c r="I132" s="83">
        <v>0</v>
      </c>
    </row>
    <row r="133" spans="1:9" x14ac:dyDescent="0.2">
      <c r="A133" s="25"/>
      <c r="B133" s="25"/>
      <c r="C133" s="25"/>
      <c r="D133" s="24" t="s">
        <v>317</v>
      </c>
      <c r="E133" s="64">
        <f>SUM(E126:E132)</f>
        <v>3983670</v>
      </c>
      <c r="F133" s="72"/>
      <c r="G133" s="64">
        <f>SUM(G126:G132)</f>
        <v>3925364</v>
      </c>
      <c r="H133" s="72"/>
      <c r="I133" s="64">
        <f>E133-G133</f>
        <v>58306</v>
      </c>
    </row>
    <row r="134" spans="1:9" x14ac:dyDescent="0.2">
      <c r="A134" s="25"/>
      <c r="B134" s="25"/>
      <c r="C134" s="25"/>
      <c r="D134" s="24" t="s">
        <v>37</v>
      </c>
      <c r="E134" s="64">
        <f>+E133+E123+E117+E87+E54+E45</f>
        <v>5393903</v>
      </c>
      <c r="F134" s="72"/>
      <c r="G134" s="64">
        <f>+G133+G123+G117+G87+G54+G45</f>
        <v>5259559.8640000001</v>
      </c>
      <c r="H134" s="72"/>
      <c r="I134" s="64">
        <f>+I133+I123+I117+I87+I54+I45</f>
        <v>70354.135999999999</v>
      </c>
    </row>
    <row r="135" spans="1:9" ht="12.75" customHeight="1" x14ac:dyDescent="0.2">
      <c r="A135" s="25"/>
      <c r="B135" s="25"/>
      <c r="C135" s="25"/>
      <c r="D135" s="24"/>
      <c r="E135" s="63"/>
      <c r="F135" s="72"/>
      <c r="G135" s="63"/>
      <c r="H135" s="72"/>
      <c r="I135" s="63"/>
    </row>
    <row r="136" spans="1:9" x14ac:dyDescent="0.2">
      <c r="A136" s="25"/>
      <c r="B136" s="25"/>
      <c r="C136" s="25" t="s">
        <v>552</v>
      </c>
      <c r="D136" s="24"/>
      <c r="E136" s="63">
        <f>E33-E134</f>
        <v>-3795173</v>
      </c>
      <c r="F136" s="63">
        <f>F33-F134</f>
        <v>0</v>
      </c>
      <c r="G136" s="63">
        <f>G33-G134</f>
        <v>-3695426.8640000001</v>
      </c>
      <c r="H136" s="63">
        <f>H33-H134</f>
        <v>0</v>
      </c>
      <c r="I136" s="63">
        <f>I33-I134</f>
        <v>-117781.136</v>
      </c>
    </row>
    <row r="137" spans="1:9" ht="12.75" customHeight="1" x14ac:dyDescent="0.2">
      <c r="A137" s="25"/>
      <c r="B137" s="25"/>
      <c r="C137" s="25"/>
      <c r="D137" s="24"/>
      <c r="E137" s="63"/>
      <c r="F137" s="72"/>
      <c r="G137" s="63"/>
      <c r="H137" s="72"/>
      <c r="I137" s="63"/>
    </row>
    <row r="138" spans="1:9" x14ac:dyDescent="0.2">
      <c r="A138" s="95" t="s">
        <v>133</v>
      </c>
      <c r="B138" s="25"/>
      <c r="C138" s="25"/>
      <c r="D138" s="25"/>
      <c r="E138" s="25"/>
      <c r="F138" s="25"/>
      <c r="G138" s="25"/>
      <c r="H138" s="25"/>
      <c r="I138" s="25"/>
    </row>
    <row r="139" spans="1:9" x14ac:dyDescent="0.2">
      <c r="A139" s="24"/>
      <c r="B139" s="25" t="s">
        <v>412</v>
      </c>
      <c r="C139" s="25"/>
      <c r="D139" s="25"/>
      <c r="E139" s="25"/>
      <c r="F139" s="25"/>
      <c r="G139" s="25"/>
      <c r="H139" s="25"/>
      <c r="I139" s="25"/>
    </row>
    <row r="140" spans="1:9" x14ac:dyDescent="0.2">
      <c r="A140" s="24"/>
      <c r="B140" s="25"/>
      <c r="C140" s="90" t="s">
        <v>528</v>
      </c>
      <c r="D140" s="25"/>
      <c r="E140" s="25">
        <v>-4827</v>
      </c>
      <c r="F140" s="25"/>
      <c r="G140" s="25">
        <v>-4827</v>
      </c>
      <c r="H140" s="25"/>
      <c r="I140" s="91">
        <v>0</v>
      </c>
    </row>
    <row r="141" spans="1:9" x14ac:dyDescent="0.2">
      <c r="A141" s="24"/>
      <c r="B141" s="25" t="s">
        <v>512</v>
      </c>
      <c r="C141" s="25"/>
      <c r="D141" s="25"/>
      <c r="E141" s="77">
        <v>3800000</v>
      </c>
      <c r="F141" s="25"/>
      <c r="G141" s="77">
        <v>3650000</v>
      </c>
      <c r="H141" s="25"/>
      <c r="I141" s="77">
        <v>150000</v>
      </c>
    </row>
    <row r="142" spans="1:9" x14ac:dyDescent="0.2">
      <c r="A142" s="25"/>
      <c r="B142" s="25"/>
      <c r="C142" s="25"/>
      <c r="D142" s="24" t="s">
        <v>251</v>
      </c>
      <c r="E142" s="25"/>
      <c r="F142" s="25"/>
      <c r="G142" s="25"/>
      <c r="H142" s="25"/>
      <c r="I142" s="25"/>
    </row>
    <row r="143" spans="1:9" x14ac:dyDescent="0.2">
      <c r="A143" s="25"/>
      <c r="B143" s="25"/>
      <c r="C143" s="25"/>
      <c r="D143" s="24" t="s">
        <v>318</v>
      </c>
      <c r="E143" s="66">
        <f>SUM(E140:E141)</f>
        <v>3795173</v>
      </c>
      <c r="F143" s="25"/>
      <c r="G143" s="66">
        <f>SUM(G140:G141)</f>
        <v>3645173</v>
      </c>
      <c r="H143" s="25"/>
      <c r="I143" s="66">
        <f>SUM(I140:I141)</f>
        <v>150000</v>
      </c>
    </row>
    <row r="144" spans="1:9" x14ac:dyDescent="0.2">
      <c r="A144" s="95" t="s">
        <v>764</v>
      </c>
      <c r="B144" s="697"/>
      <c r="C144" s="25"/>
      <c r="D144" s="25"/>
      <c r="E144" s="25"/>
      <c r="F144" s="25"/>
      <c r="G144" s="25"/>
      <c r="H144" s="25"/>
      <c r="I144" s="25"/>
    </row>
    <row r="145" spans="1:9" ht="13.5" thickBot="1" x14ac:dyDescent="0.25">
      <c r="A145" s="95" t="s">
        <v>319</v>
      </c>
      <c r="B145" s="697"/>
      <c r="C145" s="25"/>
      <c r="D145" s="25"/>
      <c r="E145" s="92">
        <f>+E33+E143-E134</f>
        <v>0</v>
      </c>
      <c r="F145" s="93"/>
      <c r="G145" s="83">
        <f>+G33+G143-G134</f>
        <v>-50253.86400000006</v>
      </c>
      <c r="H145" s="93"/>
      <c r="I145" s="92">
        <f>+G145-E145</f>
        <v>-50253.86400000006</v>
      </c>
    </row>
    <row r="146" spans="1:9" ht="13.5" thickTop="1" x14ac:dyDescent="0.2">
      <c r="A146" s="24"/>
      <c r="B146" s="25"/>
      <c r="C146" s="25"/>
      <c r="D146" s="25"/>
      <c r="E146" s="496"/>
      <c r="F146" s="93"/>
      <c r="G146" s="63"/>
      <c r="H146" s="93"/>
      <c r="I146" s="86"/>
    </row>
    <row r="147" spans="1:9" x14ac:dyDescent="0.2">
      <c r="A147" s="25"/>
      <c r="B147" s="25"/>
      <c r="C147" s="25"/>
      <c r="D147" s="25"/>
      <c r="E147" s="25"/>
      <c r="F147" s="25"/>
      <c r="G147" s="25"/>
      <c r="H147" s="25"/>
      <c r="I147" s="696" t="s">
        <v>471</v>
      </c>
    </row>
    <row r="148" spans="1:9" ht="13.5" thickBot="1" x14ac:dyDescent="0.25">
      <c r="A148" s="464"/>
      <c r="B148" s="464"/>
      <c r="C148" s="464"/>
      <c r="D148" s="464"/>
      <c r="E148" s="464"/>
      <c r="F148" s="464"/>
      <c r="G148" s="464"/>
      <c r="H148" s="464"/>
      <c r="I148" s="708"/>
    </row>
    <row r="149" spans="1:9" x14ac:dyDescent="0.2">
      <c r="A149" s="25"/>
      <c r="B149" s="25"/>
      <c r="C149" s="25"/>
      <c r="D149" s="25"/>
      <c r="E149" s="25"/>
      <c r="F149" s="25"/>
      <c r="G149" s="25"/>
      <c r="H149" s="25"/>
      <c r="I149" s="696"/>
    </row>
    <row r="150" spans="1:9" x14ac:dyDescent="0.2">
      <c r="A150" s="25"/>
      <c r="B150" s="25"/>
      <c r="C150" s="25"/>
      <c r="D150" s="25"/>
      <c r="E150" s="25"/>
      <c r="F150" s="25"/>
      <c r="G150" s="25"/>
      <c r="H150" s="25"/>
      <c r="I150" s="696"/>
    </row>
    <row r="151" spans="1:9" x14ac:dyDescent="0.2">
      <c r="A151" s="95" t="s">
        <v>269</v>
      </c>
      <c r="B151" s="25"/>
      <c r="C151" s="25"/>
      <c r="D151" s="25"/>
      <c r="E151" s="72"/>
      <c r="F151" s="72"/>
      <c r="G151" s="72"/>
      <c r="H151" s="72"/>
    </row>
    <row r="152" spans="1:9" x14ac:dyDescent="0.2">
      <c r="A152" s="95" t="s">
        <v>270</v>
      </c>
      <c r="B152" s="25"/>
      <c r="C152" s="25"/>
      <c r="D152" s="25"/>
      <c r="E152" s="72"/>
      <c r="F152" s="72"/>
      <c r="G152" s="72"/>
      <c r="H152" s="72"/>
      <c r="I152" s="72"/>
    </row>
    <row r="153" spans="1:9" x14ac:dyDescent="0.2">
      <c r="A153" s="24" t="s">
        <v>271</v>
      </c>
      <c r="B153" s="25"/>
      <c r="C153" s="25"/>
      <c r="D153" s="25"/>
      <c r="E153" s="25"/>
      <c r="F153" s="25"/>
      <c r="G153" s="25"/>
      <c r="H153" s="25"/>
      <c r="I153" s="25"/>
    </row>
    <row r="154" spans="1:9" x14ac:dyDescent="0.2">
      <c r="A154" s="25"/>
      <c r="B154" s="24" t="s">
        <v>130</v>
      </c>
      <c r="C154" s="25"/>
      <c r="D154" s="25"/>
      <c r="E154" s="72"/>
      <c r="F154" s="72"/>
      <c r="G154" s="72">
        <f>359725+9238</f>
        <v>368963</v>
      </c>
      <c r="H154" s="72"/>
      <c r="I154" s="72"/>
    </row>
    <row r="155" spans="1:9" x14ac:dyDescent="0.2">
      <c r="A155" s="25"/>
      <c r="B155" s="24" t="s">
        <v>36</v>
      </c>
      <c r="C155" s="25"/>
      <c r="D155" s="25"/>
      <c r="E155" s="72"/>
      <c r="F155" s="72"/>
      <c r="G155" s="72">
        <f>125364+3800000</f>
        <v>3925364</v>
      </c>
      <c r="H155" s="72"/>
      <c r="I155" s="72"/>
    </row>
    <row r="156" spans="1:9" x14ac:dyDescent="0.2">
      <c r="A156" s="25"/>
      <c r="B156" s="24" t="s">
        <v>515</v>
      </c>
      <c r="C156" s="25"/>
      <c r="D156" s="25"/>
      <c r="E156" s="72"/>
      <c r="F156" s="72"/>
      <c r="G156" s="72">
        <v>-2368954</v>
      </c>
      <c r="H156" s="72"/>
      <c r="I156" s="72"/>
    </row>
    <row r="157" spans="1:9" x14ac:dyDescent="0.2">
      <c r="A157" s="25"/>
      <c r="B157" s="24" t="s">
        <v>759</v>
      </c>
      <c r="C157" s="25"/>
      <c r="D157" s="25"/>
      <c r="E157" s="72"/>
      <c r="F157" s="72"/>
      <c r="G157" s="72">
        <v>-191</v>
      </c>
      <c r="H157" s="72"/>
    </row>
    <row r="158" spans="1:9" x14ac:dyDescent="0.2">
      <c r="A158" s="25"/>
      <c r="B158" s="24" t="s">
        <v>758</v>
      </c>
      <c r="C158" s="25"/>
      <c r="D158" s="25"/>
      <c r="E158" s="25"/>
      <c r="F158" s="25"/>
      <c r="G158" s="72">
        <v>169</v>
      </c>
      <c r="H158" s="72"/>
    </row>
    <row r="159" spans="1:9" x14ac:dyDescent="0.2">
      <c r="A159" s="25"/>
      <c r="B159" s="24" t="s">
        <v>274</v>
      </c>
      <c r="C159" s="25"/>
      <c r="D159" s="25"/>
      <c r="E159" s="72"/>
      <c r="F159" s="72"/>
      <c r="G159" s="72">
        <f>-22925+244</f>
        <v>-22681</v>
      </c>
      <c r="H159" s="72"/>
      <c r="I159" s="72"/>
    </row>
    <row r="160" spans="1:9" x14ac:dyDescent="0.2">
      <c r="A160" s="25"/>
      <c r="B160" s="24" t="s">
        <v>660</v>
      </c>
      <c r="C160" s="25"/>
      <c r="D160" s="25"/>
      <c r="E160" s="72"/>
      <c r="F160" s="72"/>
      <c r="G160" s="72">
        <f>93550+31487</f>
        <v>125037</v>
      </c>
      <c r="H160" s="72"/>
      <c r="I160" s="72"/>
    </row>
    <row r="161" spans="1:19" x14ac:dyDescent="0.2">
      <c r="A161" s="25"/>
      <c r="B161" s="24" t="s">
        <v>661</v>
      </c>
      <c r="C161" s="25"/>
      <c r="D161" s="25"/>
      <c r="E161" s="72"/>
      <c r="F161" s="72"/>
      <c r="G161" s="72">
        <f>-'8-Cash Flow-Prop'!D70</f>
        <v>-97318.520000000019</v>
      </c>
      <c r="H161" s="72"/>
      <c r="I161" s="72"/>
    </row>
    <row r="162" spans="1:19" x14ac:dyDescent="0.2">
      <c r="A162" s="25"/>
      <c r="B162" s="24" t="s">
        <v>763</v>
      </c>
      <c r="C162" s="25"/>
      <c r="D162" s="25"/>
      <c r="E162" s="72"/>
      <c r="F162" s="72"/>
      <c r="G162" s="72">
        <v>12830</v>
      </c>
      <c r="H162" s="72"/>
    </row>
    <row r="163" spans="1:19" x14ac:dyDescent="0.2">
      <c r="A163" s="25"/>
      <c r="B163" s="24" t="s">
        <v>693</v>
      </c>
      <c r="C163" s="25"/>
      <c r="D163" s="25"/>
      <c r="E163" s="72"/>
      <c r="F163" s="72"/>
      <c r="G163" s="72">
        <v>-3515</v>
      </c>
      <c r="H163" s="72"/>
      <c r="I163" s="72"/>
    </row>
    <row r="164" spans="1:19" x14ac:dyDescent="0.2">
      <c r="A164" s="25"/>
      <c r="B164" s="331" t="s">
        <v>760</v>
      </c>
      <c r="C164" s="267"/>
      <c r="D164" s="267"/>
      <c r="E164" s="72"/>
      <c r="F164" s="72"/>
      <c r="G164" s="267">
        <v>-7943</v>
      </c>
      <c r="H164" s="72"/>
      <c r="I164" s="72"/>
    </row>
    <row r="165" spans="1:19" x14ac:dyDescent="0.2">
      <c r="A165" s="25"/>
      <c r="B165" s="331" t="s">
        <v>761</v>
      </c>
      <c r="C165" s="267"/>
      <c r="D165" s="267"/>
      <c r="E165" s="72"/>
      <c r="F165" s="72"/>
      <c r="G165" s="267">
        <f>-'8-Cash Flow-Prop'!D75</f>
        <v>-1915.9080000000004</v>
      </c>
      <c r="H165" s="72"/>
      <c r="I165" s="72"/>
    </row>
    <row r="166" spans="1:19" x14ac:dyDescent="0.2">
      <c r="A166" s="25"/>
      <c r="B166" s="331" t="s">
        <v>762</v>
      </c>
      <c r="C166" s="267"/>
      <c r="D166" s="267"/>
      <c r="E166" s="72"/>
      <c r="F166" s="72"/>
      <c r="G166" s="267">
        <f>-'8-Cash Flow-Prop'!D76</f>
        <v>-2366.2080000000001</v>
      </c>
      <c r="H166" s="72"/>
      <c r="I166" s="72"/>
    </row>
    <row r="167" spans="1:19" x14ac:dyDescent="0.2">
      <c r="A167" s="25"/>
      <c r="B167" s="24" t="s">
        <v>752</v>
      </c>
      <c r="C167" s="25"/>
      <c r="D167" s="25"/>
      <c r="E167" s="72"/>
      <c r="F167" s="72"/>
      <c r="G167" s="72">
        <f>-251204-9431</f>
        <v>-260635</v>
      </c>
      <c r="H167" s="72"/>
      <c r="I167" s="72"/>
    </row>
    <row r="168" spans="1:19" x14ac:dyDescent="0.2">
      <c r="A168" s="25"/>
      <c r="B168" s="567" t="s">
        <v>848</v>
      </c>
      <c r="C168" s="25"/>
      <c r="D168" s="25"/>
      <c r="E168" s="72"/>
      <c r="F168" s="72"/>
      <c r="G168" s="72">
        <v>-42386</v>
      </c>
      <c r="H168" s="72"/>
      <c r="I168" s="72"/>
    </row>
    <row r="169" spans="1:19" x14ac:dyDescent="0.2">
      <c r="A169" s="25"/>
      <c r="B169" s="24" t="s">
        <v>765</v>
      </c>
      <c r="C169" s="25"/>
      <c r="D169" s="25"/>
      <c r="E169" s="72"/>
      <c r="F169" s="72"/>
      <c r="H169" s="72"/>
      <c r="I169" s="72"/>
    </row>
    <row r="170" spans="1:19" x14ac:dyDescent="0.2">
      <c r="A170" s="25"/>
      <c r="B170" s="25"/>
      <c r="C170" s="28" t="s">
        <v>766</v>
      </c>
      <c r="D170" s="25"/>
      <c r="E170" s="25"/>
      <c r="F170" s="72"/>
      <c r="G170" s="72">
        <v>-890103</v>
      </c>
      <c r="H170" s="72"/>
      <c r="I170" s="25"/>
    </row>
    <row r="171" spans="1:19" x14ac:dyDescent="0.2">
      <c r="A171" s="25"/>
      <c r="B171" s="25"/>
      <c r="C171" s="24" t="s">
        <v>36</v>
      </c>
      <c r="D171" s="25"/>
      <c r="E171" s="25"/>
      <c r="F171" s="72"/>
      <c r="G171" s="72">
        <v>1147613</v>
      </c>
      <c r="H171" s="72"/>
      <c r="I171" s="25"/>
    </row>
    <row r="172" spans="1:19" x14ac:dyDescent="0.2">
      <c r="A172" s="25"/>
      <c r="B172" s="24" t="s">
        <v>172</v>
      </c>
      <c r="C172" s="25"/>
      <c r="D172" s="24" t="s">
        <v>320</v>
      </c>
      <c r="E172" s="25"/>
      <c r="F172" s="25"/>
      <c r="G172" s="97">
        <f>SUM(G154:G171)</f>
        <v>1881967.3639999998</v>
      </c>
      <c r="H172" s="25"/>
      <c r="I172" s="25"/>
      <c r="K172" s="19"/>
      <c r="Q172" s="232"/>
    </row>
    <row r="173" spans="1:19" x14ac:dyDescent="0.2">
      <c r="A173" s="25"/>
      <c r="B173" s="25"/>
      <c r="C173" s="25"/>
      <c r="D173" s="25"/>
      <c r="E173" s="25"/>
      <c r="F173" s="25"/>
      <c r="G173" s="25"/>
      <c r="H173" s="25"/>
      <c r="I173" s="25"/>
      <c r="J173" s="232"/>
      <c r="Q173" s="232"/>
      <c r="S173" s="232"/>
    </row>
    <row r="174" spans="1:19" ht="13.5" thickBot="1" x14ac:dyDescent="0.25">
      <c r="A174" s="95" t="s">
        <v>600</v>
      </c>
      <c r="B174" s="25"/>
      <c r="C174" s="25"/>
      <c r="D174" s="25"/>
      <c r="E174" s="72"/>
      <c r="F174" s="93"/>
      <c r="G174" s="92">
        <f>+G172+G145</f>
        <v>1831713.4999999998</v>
      </c>
      <c r="H174" s="72"/>
      <c r="I174" s="87"/>
      <c r="J174" s="232">
        <f>G174-'7-Rev, Exp-Prop'!D41</f>
        <v>0</v>
      </c>
    </row>
    <row r="175" spans="1:19" ht="13.5" thickTop="1" x14ac:dyDescent="0.2">
      <c r="A175" s="25"/>
      <c r="B175" s="25"/>
      <c r="C175" s="25"/>
      <c r="D175" s="25"/>
      <c r="E175" s="72"/>
      <c r="F175" s="72"/>
      <c r="G175" s="72"/>
      <c r="H175" s="72"/>
      <c r="I175" s="72"/>
    </row>
    <row r="176" spans="1:19" ht="13.5" x14ac:dyDescent="0.25">
      <c r="A176" s="89"/>
      <c r="B176" s="89"/>
      <c r="C176" s="89"/>
      <c r="D176" s="89"/>
      <c r="E176" s="94"/>
      <c r="F176" s="94"/>
      <c r="G176" s="94"/>
      <c r="H176" s="94"/>
      <c r="I176" s="94"/>
    </row>
    <row r="177" spans="1:9" ht="13.5" x14ac:dyDescent="0.25">
      <c r="A177" s="89"/>
      <c r="B177" s="89"/>
      <c r="C177" s="89"/>
      <c r="D177" s="89"/>
      <c r="E177" s="94"/>
      <c r="F177" s="94"/>
      <c r="G177" s="94"/>
      <c r="H177" s="94"/>
      <c r="I177" s="94"/>
    </row>
    <row r="178" spans="1:9" ht="13.5" x14ac:dyDescent="0.25">
      <c r="A178" s="89"/>
      <c r="B178" s="89"/>
      <c r="C178" s="89"/>
      <c r="D178" s="89"/>
      <c r="E178" s="89"/>
      <c r="F178" s="89"/>
      <c r="G178" s="89"/>
      <c r="H178" s="89"/>
      <c r="I178" s="89"/>
    </row>
    <row r="179" spans="1:9" ht="13.5" x14ac:dyDescent="0.25">
      <c r="A179" s="89"/>
      <c r="B179" s="89"/>
      <c r="C179" s="89"/>
      <c r="D179" s="89"/>
      <c r="E179" s="89"/>
      <c r="F179" s="89"/>
      <c r="G179" s="89"/>
      <c r="H179" s="89"/>
      <c r="I179" s="89"/>
    </row>
  </sheetData>
  <customSheetViews>
    <customSheetView guid="{AB48C5D7-99F4-4378-A0F9-05018B348977}">
      <selection activeCell="B39" sqref="B39"/>
      <rowBreaks count="3" manualBreakCount="3">
        <brk id="51" max="16383" man="1"/>
        <brk id="91" max="16383" man="1"/>
        <brk id="141" max="16383" man="1"/>
      </rowBreaks>
      <pageMargins left="0.75" right="0.75" top="1" bottom="1" header="0.5" footer="0.5"/>
      <pageSetup scale="79" firstPageNumber="106" fitToHeight="0" orientation="portrait" useFirstPageNumber="1" r:id="rId1"/>
      <headerFooter alignWithMargins="0"/>
    </customSheetView>
  </customSheetViews>
  <phoneticPr fontId="0" type="noConversion"/>
  <printOptions horizontalCentered="1"/>
  <pageMargins left="0.7" right="0.7" top="0.75" bottom="0.75" header="0.3" footer="0.3"/>
  <pageSetup scale="96" firstPageNumber="106" fitToHeight="4" orientation="portrait" r:id="rId2"/>
  <rowBreaks count="3" manualBreakCount="3">
    <brk id="56" max="11" man="1"/>
    <brk id="97" max="11" man="1"/>
    <brk id="147"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FF00"/>
    <pageSetUpPr fitToPage="1"/>
  </sheetPr>
  <dimension ref="A1:M53"/>
  <sheetViews>
    <sheetView topLeftCell="A39" workbookViewId="0">
      <selection activeCell="D6" sqref="D6"/>
    </sheetView>
  </sheetViews>
  <sheetFormatPr defaultColWidth="9.140625" defaultRowHeight="12.75" x14ac:dyDescent="0.2"/>
  <cols>
    <col min="1" max="3" width="2.42578125" customWidth="1"/>
    <col min="4" max="4" width="22.5703125" customWidth="1"/>
    <col min="5" max="5" width="12" customWidth="1"/>
    <col min="6" max="6" width="1.7109375" customWidth="1"/>
    <col min="7" max="7" width="10.7109375" customWidth="1"/>
    <col min="8" max="8" width="1.7109375" customWidth="1"/>
    <col min="9" max="9" width="10.85546875" customWidth="1"/>
    <col min="10" max="10" width="1.7109375" customWidth="1"/>
    <col min="11" max="11" width="10.85546875" bestFit="1" customWidth="1"/>
    <col min="12" max="12" width="1.7109375" customWidth="1"/>
    <col min="13" max="13" width="12.42578125" customWidth="1"/>
  </cols>
  <sheetData>
    <row r="1" spans="1:13" s="101" customFormat="1" x14ac:dyDescent="0.2">
      <c r="A1" s="158" t="s">
        <v>136</v>
      </c>
      <c r="B1" s="158"/>
      <c r="C1" s="158"/>
      <c r="D1" s="158"/>
      <c r="E1" s="158"/>
      <c r="F1" s="158"/>
      <c r="G1" s="158"/>
      <c r="H1" s="158"/>
      <c r="I1" s="158"/>
      <c r="J1" s="158"/>
      <c r="K1" s="158"/>
      <c r="L1" s="158"/>
      <c r="M1" s="158"/>
    </row>
    <row r="2" spans="1:13" s="101" customFormat="1" x14ac:dyDescent="0.2">
      <c r="A2" s="158" t="s">
        <v>321</v>
      </c>
      <c r="B2" s="158"/>
      <c r="C2" s="158"/>
      <c r="D2" s="158"/>
      <c r="E2" s="158"/>
      <c r="F2" s="158"/>
      <c r="G2" s="158"/>
      <c r="H2" s="158"/>
      <c r="I2" s="158"/>
      <c r="J2" s="158"/>
      <c r="K2" s="158"/>
      <c r="L2" s="158"/>
      <c r="M2" s="158"/>
    </row>
    <row r="3" spans="1:13" s="101" customFormat="1" x14ac:dyDescent="0.2">
      <c r="A3" s="901" t="s">
        <v>322</v>
      </c>
      <c r="B3" s="901"/>
      <c r="C3" s="901"/>
      <c r="D3" s="901"/>
      <c r="E3" s="901"/>
      <c r="F3" s="901"/>
      <c r="G3" s="901"/>
      <c r="H3" s="901"/>
      <c r="I3" s="901"/>
      <c r="J3" s="901"/>
      <c r="K3" s="901"/>
      <c r="L3" s="901"/>
      <c r="M3" s="901"/>
    </row>
    <row r="4" spans="1:13" s="101" customFormat="1" x14ac:dyDescent="0.2">
      <c r="A4" s="158" t="str">
        <f>'CPBud-Act'!A5</f>
        <v>From Inception and For the Fiscal Year Ended June 30, 2025</v>
      </c>
      <c r="B4" s="158"/>
      <c r="C4" s="158"/>
      <c r="D4" s="158"/>
      <c r="E4" s="158"/>
      <c r="F4" s="158"/>
      <c r="G4" s="158"/>
      <c r="H4" s="158"/>
      <c r="I4" s="158"/>
      <c r="J4" s="158"/>
      <c r="K4" s="158"/>
      <c r="L4" s="158"/>
      <c r="M4" s="158"/>
    </row>
    <row r="5" spans="1:13" s="101" customFormat="1" x14ac:dyDescent="0.2">
      <c r="A5" s="158"/>
      <c r="B5" s="158"/>
      <c r="C5" s="158"/>
      <c r="D5" s="158"/>
      <c r="E5" s="158"/>
      <c r="F5" s="158"/>
      <c r="G5" s="158"/>
      <c r="H5" s="158"/>
      <c r="I5" s="158"/>
      <c r="J5" s="158"/>
      <c r="K5" s="158"/>
      <c r="L5" s="158"/>
      <c r="M5" s="158"/>
    </row>
    <row r="6" spans="1:13" s="101" customFormat="1" x14ac:dyDescent="0.2">
      <c r="A6" s="158"/>
      <c r="B6" s="158"/>
      <c r="C6" s="158"/>
      <c r="D6" s="158"/>
      <c r="E6" s="158"/>
      <c r="F6" s="158"/>
      <c r="G6" s="158"/>
      <c r="H6" s="158"/>
      <c r="I6" s="158"/>
      <c r="J6" s="158"/>
      <c r="K6" s="158"/>
      <c r="L6" s="158"/>
      <c r="M6" s="158"/>
    </row>
    <row r="7" spans="1:13" ht="13.5" thickBot="1" x14ac:dyDescent="0.25">
      <c r="A7" s="159"/>
      <c r="B7" s="159"/>
      <c r="C7" s="159"/>
      <c r="D7" s="159"/>
      <c r="E7" s="159"/>
      <c r="F7" s="159"/>
      <c r="G7" s="159"/>
      <c r="H7" s="159"/>
      <c r="I7" s="159"/>
      <c r="J7" s="159"/>
      <c r="K7" s="159"/>
      <c r="L7" s="159"/>
      <c r="M7" s="159"/>
    </row>
    <row r="8" spans="1:13" x14ac:dyDescent="0.2">
      <c r="A8" s="28"/>
      <c r="B8" s="28"/>
      <c r="C8" s="28"/>
      <c r="D8" s="28"/>
      <c r="E8" s="709"/>
      <c r="F8" s="709"/>
      <c r="G8" s="710" t="s">
        <v>167</v>
      </c>
      <c r="H8" s="710"/>
      <c r="I8" s="710"/>
      <c r="J8" s="710"/>
      <c r="K8" s="710"/>
      <c r="L8" s="709"/>
      <c r="M8" s="709"/>
    </row>
    <row r="9" spans="1:13" x14ac:dyDescent="0.2">
      <c r="A9" s="28"/>
      <c r="B9" s="28"/>
      <c r="C9" s="28"/>
      <c r="D9" s="28"/>
      <c r="F9" s="28"/>
      <c r="L9" s="711"/>
      <c r="M9" s="26" t="s">
        <v>168</v>
      </c>
    </row>
    <row r="10" spans="1:13" x14ac:dyDescent="0.2">
      <c r="A10" s="28"/>
      <c r="B10" s="28"/>
      <c r="C10" s="28"/>
      <c r="D10" s="28"/>
      <c r="E10" s="26" t="s">
        <v>166</v>
      </c>
      <c r="F10" s="28"/>
      <c r="G10" s="26" t="s">
        <v>169</v>
      </c>
      <c r="H10" s="28"/>
      <c r="I10" s="26" t="s">
        <v>170</v>
      </c>
      <c r="J10" s="28"/>
      <c r="K10" s="26" t="s">
        <v>171</v>
      </c>
      <c r="L10" s="26"/>
      <c r="M10" s="691" t="s">
        <v>831</v>
      </c>
    </row>
    <row r="11" spans="1:13" x14ac:dyDescent="0.2">
      <c r="A11" s="28"/>
      <c r="B11" s="28" t="s">
        <v>172</v>
      </c>
      <c r="C11" s="28"/>
      <c r="D11" s="28"/>
      <c r="E11" s="712" t="s">
        <v>778</v>
      </c>
      <c r="F11" s="28"/>
      <c r="G11" s="27" t="s">
        <v>173</v>
      </c>
      <c r="H11" s="28"/>
      <c r="I11" s="27" t="s">
        <v>174</v>
      </c>
      <c r="J11" s="28"/>
      <c r="K11" s="27" t="s">
        <v>156</v>
      </c>
      <c r="L11" s="27"/>
      <c r="M11" s="692" t="s">
        <v>832</v>
      </c>
    </row>
    <row r="12" spans="1:13" x14ac:dyDescent="0.2">
      <c r="A12" s="28"/>
      <c r="B12" s="28"/>
      <c r="C12" s="28"/>
      <c r="D12" s="28"/>
      <c r="E12" s="28"/>
      <c r="F12" s="28"/>
      <c r="G12" s="28"/>
      <c r="H12" s="28"/>
      <c r="I12" s="28"/>
      <c r="J12" s="28"/>
      <c r="K12" s="28"/>
      <c r="L12" s="28"/>
      <c r="M12" s="28"/>
    </row>
    <row r="13" spans="1:13" x14ac:dyDescent="0.2">
      <c r="A13" s="713" t="s">
        <v>323</v>
      </c>
      <c r="B13" s="28"/>
      <c r="C13" s="28"/>
      <c r="D13" s="28"/>
      <c r="E13" s="28"/>
      <c r="F13" s="28"/>
      <c r="G13" s="28"/>
      <c r="H13" s="28"/>
      <c r="I13" s="28"/>
      <c r="J13" s="28"/>
      <c r="K13" s="28"/>
      <c r="L13" s="28"/>
      <c r="M13" s="28"/>
    </row>
    <row r="14" spans="1:13" x14ac:dyDescent="0.2">
      <c r="A14" s="28"/>
      <c r="B14" s="28" t="s">
        <v>194</v>
      </c>
      <c r="C14" s="28"/>
      <c r="D14" s="28"/>
      <c r="E14" s="28"/>
      <c r="F14" s="28"/>
      <c r="G14" s="28"/>
      <c r="H14" s="28"/>
      <c r="I14" s="28"/>
      <c r="J14" s="28"/>
      <c r="K14" s="28"/>
      <c r="L14" s="28"/>
      <c r="M14" s="28"/>
    </row>
    <row r="15" spans="1:13" x14ac:dyDescent="0.2">
      <c r="A15" s="28"/>
      <c r="B15" s="28"/>
      <c r="C15" s="28" t="s">
        <v>324</v>
      </c>
      <c r="D15" s="28"/>
      <c r="E15" s="160">
        <v>265000</v>
      </c>
      <c r="F15" s="28"/>
      <c r="G15" s="160">
        <v>501100</v>
      </c>
      <c r="H15" s="28"/>
      <c r="I15" s="160">
        <v>12900</v>
      </c>
      <c r="J15" s="28"/>
      <c r="K15" s="160">
        <f>+I15+G15</f>
        <v>514000</v>
      </c>
      <c r="L15" s="160"/>
      <c r="M15" s="160">
        <f>+K15-E15</f>
        <v>249000</v>
      </c>
    </row>
    <row r="16" spans="1:13" x14ac:dyDescent="0.2">
      <c r="A16" s="28"/>
      <c r="B16" s="28"/>
      <c r="C16" s="28" t="s">
        <v>497</v>
      </c>
      <c r="D16" s="28"/>
      <c r="E16" s="28">
        <v>35000</v>
      </c>
      <c r="F16" s="28"/>
      <c r="G16" s="161">
        <v>0</v>
      </c>
      <c r="H16" s="28"/>
      <c r="I16" s="161">
        <v>35000</v>
      </c>
      <c r="J16" s="28"/>
      <c r="K16" s="162">
        <f>+I16+G16</f>
        <v>35000</v>
      </c>
      <c r="L16" s="161"/>
      <c r="M16" s="161">
        <f>+K16-E16</f>
        <v>0</v>
      </c>
    </row>
    <row r="17" spans="1:13" x14ac:dyDescent="0.2">
      <c r="A17" s="28"/>
      <c r="B17" s="28" t="s">
        <v>29</v>
      </c>
      <c r="C17" s="28"/>
      <c r="D17" s="28"/>
      <c r="E17" s="163">
        <v>40000</v>
      </c>
      <c r="F17" s="28"/>
      <c r="G17" s="163">
        <v>28014</v>
      </c>
      <c r="H17" s="28"/>
      <c r="I17" s="163">
        <v>12016</v>
      </c>
      <c r="J17" s="28"/>
      <c r="K17" s="163">
        <f>+I17+G17</f>
        <v>40030</v>
      </c>
      <c r="L17" s="28"/>
      <c r="M17" s="164">
        <f>+K17-E17</f>
        <v>30</v>
      </c>
    </row>
    <row r="18" spans="1:13" x14ac:dyDescent="0.2">
      <c r="A18" s="28"/>
      <c r="B18" s="28"/>
      <c r="C18" s="28"/>
      <c r="D18" s="28" t="s">
        <v>186</v>
      </c>
      <c r="E18" s="163">
        <f>SUM(E15:E17)</f>
        <v>340000</v>
      </c>
      <c r="F18" s="28"/>
      <c r="G18" s="163">
        <f>SUM(G15:G17)</f>
        <v>529114</v>
      </c>
      <c r="H18" s="28"/>
      <c r="I18" s="163">
        <f>SUM(I15:I17)</f>
        <v>59916</v>
      </c>
      <c r="J18" s="28"/>
      <c r="K18" s="163">
        <f>SUM(K15:K17)</f>
        <v>589030</v>
      </c>
      <c r="L18" s="28"/>
      <c r="M18" s="163">
        <f>+K18-E18</f>
        <v>249030</v>
      </c>
    </row>
    <row r="19" spans="1:13" x14ac:dyDescent="0.2">
      <c r="A19" s="28"/>
      <c r="B19" s="28"/>
      <c r="C19" s="28"/>
      <c r="D19" s="28"/>
      <c r="E19" s="28"/>
      <c r="F19" s="28"/>
      <c r="G19" s="28"/>
      <c r="H19" s="28"/>
      <c r="I19" s="28"/>
      <c r="J19" s="28"/>
      <c r="K19" s="28"/>
      <c r="L19" s="28"/>
      <c r="M19" s="28"/>
    </row>
    <row r="20" spans="1:13" x14ac:dyDescent="0.2">
      <c r="A20" s="713" t="s">
        <v>325</v>
      </c>
      <c r="B20" s="28"/>
      <c r="C20" s="28"/>
      <c r="D20" s="28"/>
      <c r="E20" s="28"/>
      <c r="F20" s="28"/>
      <c r="G20" s="28"/>
      <c r="H20" s="28"/>
      <c r="I20" s="28"/>
      <c r="J20" s="28"/>
      <c r="K20" s="28"/>
      <c r="L20" s="28"/>
      <c r="M20" s="28"/>
    </row>
    <row r="21" spans="1:13" x14ac:dyDescent="0.2">
      <c r="A21" s="28"/>
      <c r="B21" s="28" t="s">
        <v>194</v>
      </c>
      <c r="C21" s="28"/>
      <c r="D21" s="28"/>
      <c r="E21" s="28"/>
      <c r="F21" s="28"/>
      <c r="G21" s="28"/>
      <c r="H21" s="28"/>
      <c r="I21" s="28"/>
      <c r="J21" s="28"/>
      <c r="K21" s="28"/>
      <c r="L21" s="28"/>
      <c r="M21" s="28"/>
    </row>
    <row r="22" spans="1:13" x14ac:dyDescent="0.2">
      <c r="A22" s="28"/>
      <c r="B22" s="28"/>
      <c r="C22" s="28" t="s">
        <v>324</v>
      </c>
      <c r="D22" s="28"/>
      <c r="E22" s="28">
        <v>265000</v>
      </c>
      <c r="F22" s="28"/>
      <c r="G22" s="165">
        <v>0</v>
      </c>
      <c r="H22" s="28"/>
      <c r="I22" s="28">
        <v>45048</v>
      </c>
      <c r="J22" s="28"/>
      <c r="K22" s="28">
        <f>+I22+G22</f>
        <v>45048</v>
      </c>
      <c r="L22" s="28"/>
      <c r="M22" s="162">
        <f>+K22-E22</f>
        <v>-219952</v>
      </c>
    </row>
    <row r="23" spans="1:13" x14ac:dyDescent="0.2">
      <c r="A23" s="28"/>
      <c r="B23" s="28"/>
      <c r="C23" s="28" t="s">
        <v>246</v>
      </c>
      <c r="D23" s="28"/>
      <c r="E23" s="28">
        <v>35000</v>
      </c>
      <c r="F23" s="28"/>
      <c r="G23" s="165">
        <v>0</v>
      </c>
      <c r="H23" s="28"/>
      <c r="I23" s="28">
        <v>35000</v>
      </c>
      <c r="J23" s="28"/>
      <c r="K23" s="28">
        <f>+I23+G23</f>
        <v>35000</v>
      </c>
      <c r="L23" s="28"/>
      <c r="M23" s="162">
        <f>+K23-E23</f>
        <v>0</v>
      </c>
    </row>
    <row r="24" spans="1:13" x14ac:dyDescent="0.2">
      <c r="A24" s="28"/>
      <c r="B24" s="28"/>
      <c r="C24" s="28" t="s">
        <v>92</v>
      </c>
      <c r="D24" s="28"/>
      <c r="E24" s="28">
        <v>100000</v>
      </c>
      <c r="F24" s="28"/>
      <c r="G24" s="28">
        <v>100000</v>
      </c>
      <c r="H24" s="28"/>
      <c r="I24" s="166">
        <v>0</v>
      </c>
      <c r="J24" s="28"/>
      <c r="K24" s="28">
        <f>+I24+G24</f>
        <v>100000</v>
      </c>
      <c r="L24" s="28"/>
      <c r="M24" s="166">
        <f>+K24-E24</f>
        <v>0</v>
      </c>
    </row>
    <row r="25" spans="1:13" x14ac:dyDescent="0.2">
      <c r="A25" s="28"/>
      <c r="B25" s="28" t="s">
        <v>29</v>
      </c>
      <c r="C25" s="28"/>
      <c r="D25" s="28"/>
      <c r="E25" s="167">
        <v>50000</v>
      </c>
      <c r="F25" s="28"/>
      <c r="G25" s="167">
        <v>0</v>
      </c>
      <c r="H25" s="28"/>
      <c r="I25" s="168">
        <v>20146</v>
      </c>
      <c r="J25" s="28"/>
      <c r="K25" s="167">
        <f>+I25+G25</f>
        <v>20146</v>
      </c>
      <c r="L25" s="28"/>
      <c r="M25" s="168">
        <f>+K25-E25</f>
        <v>-29854</v>
      </c>
    </row>
    <row r="26" spans="1:13" x14ac:dyDescent="0.2">
      <c r="A26" s="28"/>
      <c r="B26" s="28"/>
      <c r="C26" s="28"/>
      <c r="D26" s="28" t="s">
        <v>1</v>
      </c>
      <c r="E26" s="163">
        <f>SUM(E22:E25)</f>
        <v>450000</v>
      </c>
      <c r="F26" s="28"/>
      <c r="G26" s="163">
        <f>SUM(G22:G25)</f>
        <v>100000</v>
      </c>
      <c r="H26" s="28"/>
      <c r="I26" s="163">
        <f>SUM(I22:I25)</f>
        <v>100194</v>
      </c>
      <c r="J26" s="28"/>
      <c r="K26" s="163">
        <f>SUM(K22:K25)</f>
        <v>200194</v>
      </c>
      <c r="L26" s="28"/>
      <c r="M26" s="163">
        <f>SUM(M22:M25)</f>
        <v>-249806</v>
      </c>
    </row>
    <row r="27" spans="1:13" x14ac:dyDescent="0.2">
      <c r="A27" s="28"/>
      <c r="B27" s="28"/>
      <c r="C27" s="28"/>
      <c r="D27" s="28" t="s">
        <v>326</v>
      </c>
      <c r="E27" s="163">
        <f>+E26+E18</f>
        <v>790000</v>
      </c>
      <c r="F27" s="28"/>
      <c r="G27" s="163">
        <f>+G26+G18</f>
        <v>629114</v>
      </c>
      <c r="H27" s="28"/>
      <c r="I27" s="163">
        <f>+I26+I18</f>
        <v>160110</v>
      </c>
      <c r="J27" s="28"/>
      <c r="K27" s="163">
        <f>+K26+K18</f>
        <v>789224</v>
      </c>
      <c r="L27" s="28"/>
      <c r="M27" s="169">
        <f>+M18+M26</f>
        <v>-776</v>
      </c>
    </row>
    <row r="28" spans="1:13" x14ac:dyDescent="0.2">
      <c r="A28" s="28"/>
      <c r="B28" s="28"/>
      <c r="C28" s="28"/>
      <c r="D28" s="28"/>
      <c r="E28" s="28"/>
      <c r="F28" s="28"/>
      <c r="G28" s="28"/>
      <c r="H28" s="28"/>
      <c r="I28" s="28"/>
      <c r="J28" s="28"/>
      <c r="K28" s="28"/>
      <c r="L28" s="28"/>
      <c r="M28" s="162"/>
    </row>
    <row r="29" spans="1:13" x14ac:dyDescent="0.2">
      <c r="A29" s="713" t="s">
        <v>327</v>
      </c>
      <c r="B29" s="28"/>
      <c r="C29" s="28"/>
      <c r="D29" s="28"/>
      <c r="E29" s="28"/>
      <c r="F29" s="28"/>
      <c r="G29" s="28"/>
      <c r="H29" s="28"/>
      <c r="I29" s="28"/>
      <c r="J29" s="28"/>
      <c r="K29" s="28"/>
      <c r="L29" s="28"/>
      <c r="M29" s="162"/>
    </row>
    <row r="30" spans="1:13" x14ac:dyDescent="0.2">
      <c r="A30" s="28"/>
      <c r="B30" s="28" t="s">
        <v>328</v>
      </c>
      <c r="C30" s="28"/>
      <c r="D30" s="28"/>
      <c r="E30" s="28">
        <v>135500</v>
      </c>
      <c r="F30" s="28"/>
      <c r="G30" s="28">
        <v>127500</v>
      </c>
      <c r="H30" s="28"/>
      <c r="I30" s="28">
        <v>8000</v>
      </c>
      <c r="J30" s="28"/>
      <c r="K30" s="28">
        <f>+I30+G30</f>
        <v>135500</v>
      </c>
      <c r="L30" s="28"/>
      <c r="M30" s="162">
        <f>+E30-K30</f>
        <v>0</v>
      </c>
    </row>
    <row r="31" spans="1:13" x14ac:dyDescent="0.2">
      <c r="A31" s="28"/>
      <c r="B31" s="28" t="s">
        <v>179</v>
      </c>
      <c r="C31" s="28"/>
      <c r="D31" s="28"/>
      <c r="E31" s="163">
        <v>1604500</v>
      </c>
      <c r="F31" s="28"/>
      <c r="G31" s="163">
        <v>1176936</v>
      </c>
      <c r="H31" s="28"/>
      <c r="I31" s="163">
        <v>424064</v>
      </c>
      <c r="J31" s="28"/>
      <c r="K31" s="163">
        <f>+I31+G31</f>
        <v>1601000</v>
      </c>
      <c r="L31" s="28"/>
      <c r="M31" s="168">
        <f>+E31-K31</f>
        <v>3500</v>
      </c>
    </row>
    <row r="32" spans="1:13" x14ac:dyDescent="0.2">
      <c r="A32" s="28"/>
      <c r="B32" s="28"/>
      <c r="C32" s="28"/>
      <c r="D32" s="28" t="s">
        <v>186</v>
      </c>
      <c r="E32" s="163">
        <f>SUM(E30:E31)</f>
        <v>1740000</v>
      </c>
      <c r="F32" s="28"/>
      <c r="G32" s="163">
        <f>SUM(G30:G31)</f>
        <v>1304436</v>
      </c>
      <c r="H32" s="28"/>
      <c r="I32" s="163">
        <f>SUM(I30:I31)</f>
        <v>432064</v>
      </c>
      <c r="J32" s="28"/>
      <c r="K32" s="163">
        <f>SUM(K30:K31)</f>
        <v>1736500</v>
      </c>
      <c r="L32" s="28"/>
      <c r="M32" s="163">
        <f>SUM(M30:M31)</f>
        <v>3500</v>
      </c>
    </row>
    <row r="33" spans="1:13" x14ac:dyDescent="0.2">
      <c r="A33" s="28"/>
      <c r="B33" s="28"/>
      <c r="C33" s="28"/>
      <c r="D33" s="28"/>
      <c r="E33" s="28"/>
      <c r="F33" s="28"/>
      <c r="G33" s="28"/>
      <c r="H33" s="28"/>
      <c r="I33" s="28"/>
      <c r="J33" s="28"/>
      <c r="K33" s="28"/>
      <c r="L33" s="28"/>
      <c r="M33" s="162"/>
    </row>
    <row r="34" spans="1:13" x14ac:dyDescent="0.2">
      <c r="A34" s="713" t="s">
        <v>329</v>
      </c>
      <c r="B34" s="28"/>
      <c r="C34" s="28"/>
      <c r="D34" s="28"/>
      <c r="E34" s="28"/>
      <c r="F34" s="28"/>
      <c r="G34" s="28"/>
      <c r="H34" s="28"/>
      <c r="I34" s="28"/>
      <c r="J34" s="28"/>
      <c r="K34" s="28"/>
      <c r="L34" s="28"/>
      <c r="M34" s="162"/>
    </row>
    <row r="35" spans="1:13" x14ac:dyDescent="0.2">
      <c r="A35" s="28"/>
      <c r="B35" s="28" t="s">
        <v>328</v>
      </c>
      <c r="C35" s="28"/>
      <c r="D35" s="28"/>
      <c r="E35" s="28">
        <v>195000</v>
      </c>
      <c r="F35" s="28"/>
      <c r="G35" s="165">
        <v>0</v>
      </c>
      <c r="H35" s="28"/>
      <c r="I35" s="28">
        <v>87814</v>
      </c>
      <c r="J35" s="28"/>
      <c r="K35" s="28">
        <f>+I35+G35</f>
        <v>87814</v>
      </c>
      <c r="L35" s="28"/>
      <c r="M35" s="162">
        <v>107186</v>
      </c>
    </row>
    <row r="36" spans="1:13" x14ac:dyDescent="0.2">
      <c r="A36" s="28"/>
      <c r="B36" s="28" t="s">
        <v>330</v>
      </c>
      <c r="C36" s="28"/>
      <c r="D36" s="28"/>
      <c r="E36" s="28">
        <v>90000</v>
      </c>
      <c r="F36" s="28"/>
      <c r="G36" s="165">
        <v>0</v>
      </c>
      <c r="H36" s="28"/>
      <c r="I36" s="28">
        <v>90000</v>
      </c>
      <c r="J36" s="28"/>
      <c r="K36" s="28">
        <f>+I36+G36</f>
        <v>90000</v>
      </c>
      <c r="L36" s="28"/>
      <c r="M36" s="162">
        <v>0</v>
      </c>
    </row>
    <row r="37" spans="1:13" x14ac:dyDescent="0.2">
      <c r="A37" s="28"/>
      <c r="B37" s="28" t="s">
        <v>179</v>
      </c>
      <c r="C37" s="28"/>
      <c r="D37" s="28"/>
      <c r="E37" s="163">
        <v>2783550</v>
      </c>
      <c r="F37" s="28"/>
      <c r="G37" s="170">
        <v>0</v>
      </c>
      <c r="H37" s="28"/>
      <c r="I37" s="163">
        <v>537735</v>
      </c>
      <c r="J37" s="28"/>
      <c r="K37" s="163">
        <f>+I37+G37</f>
        <v>537735</v>
      </c>
      <c r="L37" s="28"/>
      <c r="M37" s="163">
        <v>2245815</v>
      </c>
    </row>
    <row r="38" spans="1:13" x14ac:dyDescent="0.2">
      <c r="A38" s="28"/>
      <c r="B38" s="28"/>
      <c r="C38" s="28"/>
      <c r="D38" s="28" t="s">
        <v>186</v>
      </c>
      <c r="E38" s="163">
        <f>SUM(E35:E37)</f>
        <v>3068550</v>
      </c>
      <c r="F38" s="28"/>
      <c r="G38" s="163">
        <f>SUM(G35:G37)</f>
        <v>0</v>
      </c>
      <c r="H38" s="28"/>
      <c r="I38" s="163">
        <f>SUM(I35:I37)</f>
        <v>715549</v>
      </c>
      <c r="J38" s="28"/>
      <c r="K38" s="163">
        <f>SUM(K35:K37)</f>
        <v>715549</v>
      </c>
      <c r="L38" s="28"/>
      <c r="M38" s="163">
        <f>SUM(M35:M37)</f>
        <v>2353001</v>
      </c>
    </row>
    <row r="39" spans="1:13" x14ac:dyDescent="0.2">
      <c r="A39" s="28"/>
      <c r="B39" s="28"/>
      <c r="C39" s="28"/>
      <c r="D39" s="28" t="s">
        <v>37</v>
      </c>
      <c r="E39" s="163">
        <f>+E38+E32</f>
        <v>4808550</v>
      </c>
      <c r="F39" s="28"/>
      <c r="G39" s="163">
        <f>+G38+G32</f>
        <v>1304436</v>
      </c>
      <c r="H39" s="28"/>
      <c r="I39" s="163">
        <f>+I38+I32</f>
        <v>1147613</v>
      </c>
      <c r="J39" s="28"/>
      <c r="K39" s="163">
        <f>+K38+K32</f>
        <v>2452049</v>
      </c>
      <c r="L39" s="28"/>
      <c r="M39" s="163">
        <f>+M38+M32</f>
        <v>2356501</v>
      </c>
    </row>
    <row r="40" spans="1:13" x14ac:dyDescent="0.2">
      <c r="A40" s="28"/>
      <c r="B40" s="28"/>
      <c r="C40" s="28"/>
      <c r="D40" s="28"/>
      <c r="E40" s="28"/>
      <c r="F40" s="28"/>
      <c r="G40" s="28"/>
      <c r="H40" s="28"/>
      <c r="I40" s="28"/>
      <c r="J40" s="28"/>
      <c r="K40" s="28"/>
      <c r="L40" s="28"/>
      <c r="M40" s="28"/>
    </row>
    <row r="41" spans="1:13" x14ac:dyDescent="0.2">
      <c r="A41" s="713" t="s">
        <v>249</v>
      </c>
      <c r="B41" s="28"/>
      <c r="C41" s="28"/>
      <c r="D41" s="28"/>
      <c r="E41" s="163">
        <f>+E27-E39</f>
        <v>-4018550</v>
      </c>
      <c r="F41" s="28"/>
      <c r="G41" s="163">
        <f>+G27-G39</f>
        <v>-675322</v>
      </c>
      <c r="H41" s="28"/>
      <c r="I41" s="163">
        <f>+I27-I39</f>
        <v>-987503</v>
      </c>
      <c r="J41" s="28"/>
      <c r="K41" s="163">
        <f>+K27-K39</f>
        <v>-1662825</v>
      </c>
      <c r="L41" s="28"/>
      <c r="M41" s="163">
        <f>-M39-M27</f>
        <v>-2355725</v>
      </c>
    </row>
    <row r="42" spans="1:13" x14ac:dyDescent="0.2">
      <c r="A42" s="28"/>
      <c r="B42" s="28"/>
      <c r="C42" s="28"/>
      <c r="D42" s="28"/>
      <c r="E42" s="28"/>
      <c r="F42" s="28"/>
      <c r="G42" s="28"/>
      <c r="H42" s="28"/>
      <c r="I42" s="28"/>
      <c r="J42" s="28"/>
      <c r="K42" s="28"/>
      <c r="L42" s="28"/>
      <c r="M42" s="28"/>
    </row>
    <row r="43" spans="1:13" x14ac:dyDescent="0.2">
      <c r="A43" s="713" t="s">
        <v>588</v>
      </c>
      <c r="B43" s="28"/>
      <c r="C43" s="28"/>
      <c r="D43" s="28"/>
      <c r="E43" s="28"/>
      <c r="F43" s="28"/>
      <c r="G43" s="28"/>
      <c r="H43" s="28"/>
      <c r="I43" s="28"/>
      <c r="J43" s="28"/>
      <c r="K43" s="28"/>
      <c r="L43" s="28"/>
      <c r="M43" s="28"/>
    </row>
    <row r="44" spans="1:13" x14ac:dyDescent="0.2">
      <c r="A44" s="28"/>
      <c r="B44" s="28" t="s">
        <v>469</v>
      </c>
      <c r="C44" s="28"/>
      <c r="D44" s="28"/>
      <c r="E44" s="28"/>
      <c r="F44" s="28"/>
      <c r="G44" s="28"/>
      <c r="H44" s="28"/>
      <c r="I44" s="28"/>
      <c r="J44" s="28"/>
      <c r="K44" s="28"/>
      <c r="L44" s="28"/>
      <c r="M44" s="28"/>
    </row>
    <row r="45" spans="1:13" x14ac:dyDescent="0.2">
      <c r="A45" s="28"/>
      <c r="B45" s="28"/>
      <c r="C45" s="28" t="s">
        <v>415</v>
      </c>
      <c r="D45" s="28"/>
      <c r="E45" s="28">
        <f>470000+30000</f>
        <v>500000</v>
      </c>
      <c r="F45" s="28"/>
      <c r="G45" s="162">
        <v>30000</v>
      </c>
      <c r="H45" s="28"/>
      <c r="I45" s="28">
        <v>97400</v>
      </c>
      <c r="J45" s="28"/>
      <c r="K45" s="28">
        <f>+I45+G45</f>
        <v>127400</v>
      </c>
      <c r="L45" s="28"/>
      <c r="M45" s="162">
        <f>+K45-E45</f>
        <v>-372600</v>
      </c>
    </row>
    <row r="46" spans="1:13" x14ac:dyDescent="0.2">
      <c r="A46" s="28"/>
      <c r="B46" s="900" t="s">
        <v>479</v>
      </c>
      <c r="C46" s="900"/>
      <c r="D46" s="900"/>
      <c r="E46" s="28">
        <v>2518550</v>
      </c>
      <c r="F46" s="28"/>
      <c r="G46" s="28">
        <v>1518550</v>
      </c>
      <c r="H46" s="28"/>
      <c r="I46" s="171">
        <v>0</v>
      </c>
      <c r="J46" s="28"/>
      <c r="K46" s="28">
        <v>1518550</v>
      </c>
      <c r="L46" s="28"/>
      <c r="M46" s="162">
        <f>+K46-E46</f>
        <v>-1000000</v>
      </c>
    </row>
    <row r="47" spans="1:13" x14ac:dyDescent="0.2">
      <c r="A47" s="28"/>
      <c r="B47" s="546" t="s">
        <v>480</v>
      </c>
      <c r="C47" s="546"/>
      <c r="D47" s="546"/>
      <c r="E47" s="28">
        <v>1000000</v>
      </c>
      <c r="F47" s="28"/>
      <c r="G47" s="28">
        <v>1000000</v>
      </c>
      <c r="H47" s="28"/>
      <c r="I47" s="171">
        <v>0</v>
      </c>
      <c r="J47" s="28"/>
      <c r="K47" s="28">
        <v>1000000</v>
      </c>
      <c r="L47" s="28"/>
      <c r="M47" s="162"/>
    </row>
    <row r="48" spans="1:13" x14ac:dyDescent="0.2">
      <c r="A48" s="28"/>
      <c r="B48" s="546"/>
      <c r="C48" s="546"/>
      <c r="D48" s="546" t="s">
        <v>331</v>
      </c>
      <c r="E48" s="261">
        <f>SUM(E45:E47)</f>
        <v>4018550</v>
      </c>
      <c r="F48" s="28"/>
      <c r="G48" s="261">
        <f>SUM(G45:G47)</f>
        <v>2548550</v>
      </c>
      <c r="H48" s="28"/>
      <c r="I48" s="262">
        <f>SUM(I45:I47)</f>
        <v>97400</v>
      </c>
      <c r="J48" s="171">
        <f>SUM(J45:J47)</f>
        <v>0</v>
      </c>
      <c r="K48" s="262">
        <f>SUM(K45:K47)</f>
        <v>2645950</v>
      </c>
      <c r="L48" s="171">
        <f>SUM(L45:L47)</f>
        <v>0</v>
      </c>
      <c r="M48" s="262">
        <f>SUM(M45:M47)</f>
        <v>-1372600</v>
      </c>
    </row>
    <row r="49" spans="1:13" x14ac:dyDescent="0.2">
      <c r="A49" s="28"/>
      <c r="B49" s="546"/>
      <c r="C49" s="546"/>
      <c r="D49" s="546"/>
      <c r="E49" s="28"/>
      <c r="F49" s="28"/>
      <c r="G49" s="28"/>
      <c r="H49" s="28"/>
      <c r="I49" s="171"/>
      <c r="J49" s="171"/>
      <c r="K49" s="171"/>
      <c r="L49" s="171"/>
      <c r="M49" s="171"/>
    </row>
    <row r="50" spans="1:13" x14ac:dyDescent="0.2">
      <c r="A50" s="713" t="s">
        <v>332</v>
      </c>
      <c r="B50" s="713"/>
      <c r="C50" s="260"/>
      <c r="J50" s="28"/>
      <c r="K50" s="28"/>
      <c r="L50" s="28"/>
      <c r="M50" s="28"/>
    </row>
    <row r="51" spans="1:13" ht="13.5" thickBot="1" x14ac:dyDescent="0.25">
      <c r="A51" s="713" t="s">
        <v>333</v>
      </c>
      <c r="B51" s="713"/>
      <c r="E51" s="304">
        <f>E48+E41</f>
        <v>0</v>
      </c>
      <c r="G51" s="562">
        <f>G48+G41</f>
        <v>1873228</v>
      </c>
      <c r="I51" s="563">
        <f>I41+I48</f>
        <v>-890103</v>
      </c>
      <c r="J51" s="28"/>
      <c r="K51" s="172">
        <f>K48+K41</f>
        <v>983125</v>
      </c>
      <c r="L51" s="184"/>
      <c r="M51" s="172">
        <f>M48-M41</f>
        <v>983125</v>
      </c>
    </row>
    <row r="52" spans="1:13" ht="13.5" thickTop="1" x14ac:dyDescent="0.2">
      <c r="A52" s="28"/>
      <c r="B52" s="28"/>
      <c r="G52" s="483"/>
      <c r="I52" s="564"/>
      <c r="J52" s="28"/>
      <c r="K52" s="28"/>
      <c r="L52" s="28"/>
      <c r="M52" s="28"/>
    </row>
    <row r="53" spans="1:13" x14ac:dyDescent="0.2">
      <c r="A53" s="19"/>
      <c r="B53" s="19"/>
      <c r="D53" s="19" t="s">
        <v>281</v>
      </c>
      <c r="J53" s="19"/>
      <c r="K53" s="19"/>
      <c r="L53" s="19"/>
      <c r="M53" s="19"/>
    </row>
  </sheetData>
  <customSheetViews>
    <customSheetView guid="{AB48C5D7-99F4-4378-A0F9-05018B348977}">
      <selection activeCell="B39" sqref="B39"/>
      <pageMargins left="0.75" right="0.75" top="1" bottom="1" header="0.5" footer="0.5"/>
      <pageSetup scale="79" firstPageNumber="105" orientation="portrait" useFirstPageNumber="1" r:id="rId1"/>
      <headerFooter alignWithMargins="0"/>
    </customSheetView>
  </customSheetViews>
  <mergeCells count="2">
    <mergeCell ref="B46:D46"/>
    <mergeCell ref="A3:M3"/>
  </mergeCells>
  <phoneticPr fontId="0" type="noConversion"/>
  <printOptions horizontalCentered="1"/>
  <pageMargins left="0.7" right="0.7" top="0.75" bottom="0.75" header="0.3" footer="0.3"/>
  <pageSetup scale="97" firstPageNumber="105" fitToHeight="0"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tabColor rgb="FF00FF00"/>
    <pageSetUpPr fitToPage="1"/>
  </sheetPr>
  <dimension ref="A1:I130"/>
  <sheetViews>
    <sheetView topLeftCell="A21" workbookViewId="0">
      <selection activeCell="E6" sqref="E6"/>
    </sheetView>
  </sheetViews>
  <sheetFormatPr defaultColWidth="8.42578125" defaultRowHeight="12.75" x14ac:dyDescent="0.2"/>
  <cols>
    <col min="1" max="3" width="2.42578125" style="144" customWidth="1"/>
    <col min="4" max="4" width="31" style="144" customWidth="1"/>
    <col min="5" max="5" width="11" style="144" customWidth="1"/>
    <col min="6" max="6" width="1.7109375" style="144" customWidth="1"/>
    <col min="7" max="7" width="10.5703125" style="144" customWidth="1"/>
    <col min="8" max="8" width="1.7109375" style="144" customWidth="1"/>
    <col min="9" max="9" width="12.42578125" style="144" customWidth="1"/>
    <col min="10" max="16384" width="8.42578125" style="144"/>
  </cols>
  <sheetData>
    <row r="1" spans="1:9" s="142" customFormat="1" x14ac:dyDescent="0.2">
      <c r="A1" s="22" t="s">
        <v>136</v>
      </c>
      <c r="B1" s="22"/>
      <c r="C1" s="22"/>
      <c r="D1" s="22"/>
      <c r="E1" s="22"/>
      <c r="F1" s="22"/>
      <c r="G1" s="22"/>
      <c r="H1" s="22"/>
      <c r="I1" s="22"/>
    </row>
    <row r="2" spans="1:9" s="142" customFormat="1" x14ac:dyDescent="0.2">
      <c r="A2" s="22" t="s">
        <v>334</v>
      </c>
      <c r="B2" s="22"/>
      <c r="C2" s="22"/>
      <c r="D2" s="22"/>
      <c r="E2" s="22"/>
      <c r="F2" s="22"/>
      <c r="G2" s="22"/>
      <c r="H2" s="22"/>
      <c r="I2" s="22"/>
    </row>
    <row r="3" spans="1:9" s="142" customFormat="1" x14ac:dyDescent="0.2">
      <c r="A3" s="902" t="s">
        <v>335</v>
      </c>
      <c r="B3" s="902"/>
      <c r="C3" s="902"/>
      <c r="D3" s="902"/>
      <c r="E3" s="902"/>
      <c r="F3" s="902"/>
      <c r="G3" s="902"/>
      <c r="H3" s="902"/>
      <c r="I3" s="902"/>
    </row>
    <row r="4" spans="1:9" s="142" customFormat="1" x14ac:dyDescent="0.2">
      <c r="A4" s="22" t="str">
        <f>'5-GASB34GovtFundsBudget'!C4</f>
        <v>For the Year Ended June 30, 2025</v>
      </c>
      <c r="B4" s="22"/>
      <c r="C4" s="22"/>
      <c r="D4" s="22"/>
      <c r="E4" s="22"/>
      <c r="F4" s="22"/>
      <c r="G4" s="22"/>
      <c r="H4" s="22"/>
      <c r="I4" s="22"/>
    </row>
    <row r="5" spans="1:9" s="142" customFormat="1" x14ac:dyDescent="0.2">
      <c r="A5" s="22"/>
      <c r="B5" s="22"/>
      <c r="C5" s="22"/>
      <c r="D5" s="22"/>
      <c r="E5" s="22"/>
      <c r="F5" s="22"/>
      <c r="G5" s="22"/>
      <c r="H5" s="22"/>
      <c r="I5" s="22"/>
    </row>
    <row r="6" spans="1:9" x14ac:dyDescent="0.2">
      <c r="A6" s="143"/>
      <c r="B6" s="143"/>
      <c r="C6" s="143"/>
      <c r="D6" s="143"/>
      <c r="E6" s="143"/>
      <c r="F6" s="143"/>
      <c r="G6" s="143"/>
      <c r="H6" s="143"/>
      <c r="I6" s="143"/>
    </row>
    <row r="7" spans="1:9" ht="13.5" thickBot="1" x14ac:dyDescent="0.25">
      <c r="A7" s="145"/>
      <c r="B7" s="145"/>
      <c r="C7" s="145"/>
      <c r="D7" s="145"/>
      <c r="E7" s="145"/>
      <c r="F7" s="145"/>
      <c r="G7" s="145"/>
      <c r="H7" s="145"/>
      <c r="I7" s="145"/>
    </row>
    <row r="8" spans="1:9" x14ac:dyDescent="0.2">
      <c r="A8" s="146"/>
      <c r="B8" s="146"/>
      <c r="C8" s="146"/>
      <c r="D8" s="146"/>
      <c r="E8" s="146"/>
      <c r="F8" s="146"/>
      <c r="G8" s="146"/>
      <c r="H8" s="146"/>
      <c r="I8" s="15" t="s">
        <v>254</v>
      </c>
    </row>
    <row r="9" spans="1:9" x14ac:dyDescent="0.2">
      <c r="A9" s="146"/>
      <c r="B9" s="146"/>
      <c r="C9" s="146"/>
      <c r="D9" s="146"/>
      <c r="E9" s="15" t="s">
        <v>336</v>
      </c>
      <c r="F9" s="146"/>
      <c r="G9" s="146"/>
      <c r="H9" s="146"/>
      <c r="I9" s="702" t="s">
        <v>831</v>
      </c>
    </row>
    <row r="10" spans="1:9" x14ac:dyDescent="0.2">
      <c r="A10" s="146"/>
      <c r="B10" s="17" t="s">
        <v>172</v>
      </c>
      <c r="C10" s="146"/>
      <c r="D10" s="146"/>
      <c r="E10" s="147" t="s">
        <v>337</v>
      </c>
      <c r="F10" s="146"/>
      <c r="G10" s="16" t="s">
        <v>167</v>
      </c>
      <c r="H10" s="146"/>
      <c r="I10" s="703" t="s">
        <v>832</v>
      </c>
    </row>
    <row r="11" spans="1:9" x14ac:dyDescent="0.2">
      <c r="A11" s="156" t="s">
        <v>127</v>
      </c>
      <c r="B11" s="146"/>
      <c r="C11" s="146"/>
      <c r="D11" s="146"/>
      <c r="E11" s="146"/>
      <c r="F11" s="146"/>
      <c r="G11" s="146"/>
      <c r="H11" s="146"/>
      <c r="I11" s="146"/>
    </row>
    <row r="12" spans="1:9" x14ac:dyDescent="0.2">
      <c r="A12" s="146"/>
      <c r="B12" s="17" t="s">
        <v>255</v>
      </c>
      <c r="C12" s="146"/>
      <c r="D12" s="146"/>
      <c r="E12" s="146"/>
      <c r="F12" s="146"/>
      <c r="G12" s="146"/>
      <c r="H12" s="146"/>
      <c r="I12" s="146"/>
    </row>
    <row r="13" spans="1:9" x14ac:dyDescent="0.2">
      <c r="A13" s="146"/>
      <c r="B13" s="146"/>
      <c r="C13" s="17" t="s">
        <v>28</v>
      </c>
      <c r="D13" s="146"/>
      <c r="E13" s="148">
        <f>31600+1500+600</f>
        <v>33700</v>
      </c>
      <c r="F13" s="148"/>
      <c r="G13" s="148">
        <f>31930+600+400</f>
        <v>32930</v>
      </c>
      <c r="H13" s="149"/>
      <c r="I13" s="150">
        <f>+G13-E13</f>
        <v>-770</v>
      </c>
    </row>
    <row r="14" spans="1:9" x14ac:dyDescent="0.2">
      <c r="A14" s="146"/>
      <c r="B14" s="146"/>
      <c r="C14" s="146"/>
      <c r="D14" s="146"/>
      <c r="E14" s="149"/>
      <c r="F14" s="149"/>
      <c r="G14" s="149"/>
      <c r="H14" s="149"/>
      <c r="I14" s="149"/>
    </row>
    <row r="15" spans="1:9" x14ac:dyDescent="0.2">
      <c r="A15" s="146"/>
      <c r="B15" s="17" t="s">
        <v>259</v>
      </c>
      <c r="C15" s="146"/>
      <c r="D15" s="146"/>
      <c r="E15" s="149"/>
      <c r="F15" s="149"/>
      <c r="G15" s="149"/>
      <c r="H15" s="149"/>
      <c r="I15" s="149"/>
    </row>
    <row r="16" spans="1:9" x14ac:dyDescent="0.2">
      <c r="A16" s="146"/>
      <c r="B16" s="146"/>
      <c r="C16" s="17" t="s">
        <v>260</v>
      </c>
      <c r="D16" s="146"/>
      <c r="E16" s="152">
        <v>800</v>
      </c>
      <c r="F16" s="149"/>
      <c r="G16" s="152">
        <v>700</v>
      </c>
      <c r="H16" s="149"/>
      <c r="I16" s="152">
        <f>+G16-E16</f>
        <v>-100</v>
      </c>
    </row>
    <row r="17" spans="1:9" ht="15" customHeight="1" x14ac:dyDescent="0.2">
      <c r="A17" s="146"/>
      <c r="B17" s="146"/>
      <c r="C17" s="146"/>
      <c r="D17" s="17" t="s">
        <v>30</v>
      </c>
      <c r="E17" s="152">
        <f>+E16+E13</f>
        <v>34500</v>
      </c>
      <c r="F17" s="149"/>
      <c r="G17" s="152">
        <f>+G16+G13</f>
        <v>33630</v>
      </c>
      <c r="H17" s="149"/>
      <c r="I17" s="152">
        <f>+I16+I13</f>
        <v>-870</v>
      </c>
    </row>
    <row r="18" spans="1:9" x14ac:dyDescent="0.2">
      <c r="A18" s="146"/>
      <c r="B18" s="146"/>
      <c r="C18" s="146"/>
      <c r="D18" s="146"/>
      <c r="E18" s="149"/>
      <c r="F18" s="149"/>
      <c r="G18" s="149"/>
      <c r="H18" s="149"/>
      <c r="I18" s="149"/>
    </row>
    <row r="19" spans="1:9" x14ac:dyDescent="0.2">
      <c r="A19" s="156" t="s">
        <v>128</v>
      </c>
      <c r="B19" s="146"/>
      <c r="C19" s="146"/>
      <c r="D19" s="146"/>
      <c r="E19" s="149"/>
      <c r="F19" s="149"/>
      <c r="G19" s="149"/>
      <c r="H19" s="149"/>
      <c r="I19" s="149"/>
    </row>
    <row r="20" spans="1:9" x14ac:dyDescent="0.2">
      <c r="A20" s="146"/>
      <c r="B20" s="17" t="s">
        <v>205</v>
      </c>
      <c r="C20" s="146"/>
      <c r="D20" s="146"/>
      <c r="E20" s="149">
        <f>19000+1500+300</f>
        <v>20800</v>
      </c>
      <c r="F20" s="149"/>
      <c r="G20" s="149">
        <f>18000+(120000+45050)*0.6*0.02+(155804*0.605*0.02)</f>
        <v>21865.828399999999</v>
      </c>
      <c r="H20" s="149"/>
      <c r="I20" s="149">
        <f>+E20-G20</f>
        <v>-1065.8283999999985</v>
      </c>
    </row>
    <row r="21" spans="1:9" x14ac:dyDescent="0.2">
      <c r="A21" s="146"/>
      <c r="B21" s="17" t="s">
        <v>261</v>
      </c>
      <c r="C21" s="146"/>
      <c r="D21" s="146"/>
      <c r="E21" s="149">
        <v>4500</v>
      </c>
      <c r="F21" s="149"/>
      <c r="G21" s="149">
        <v>4300</v>
      </c>
      <c r="H21" s="149"/>
      <c r="I21" s="149">
        <f>+E21-G21</f>
        <v>200</v>
      </c>
    </row>
    <row r="22" spans="1:9" x14ac:dyDescent="0.2">
      <c r="A22" s="146"/>
      <c r="B22" s="17" t="s">
        <v>208</v>
      </c>
      <c r="C22" s="146"/>
      <c r="D22" s="146"/>
      <c r="E22" s="149">
        <v>2500</v>
      </c>
      <c r="F22" s="149"/>
      <c r="G22" s="149">
        <f>2000+434-9</f>
        <v>2425</v>
      </c>
      <c r="H22" s="149"/>
      <c r="I22" s="149">
        <f>+E22-G22</f>
        <v>75</v>
      </c>
    </row>
    <row r="23" spans="1:9" x14ac:dyDescent="0.2">
      <c r="A23" s="146"/>
      <c r="B23" s="17" t="s">
        <v>446</v>
      </c>
      <c r="C23" s="146"/>
      <c r="D23" s="146"/>
      <c r="E23" s="149"/>
      <c r="F23" s="149"/>
      <c r="G23" s="149"/>
      <c r="H23" s="149"/>
      <c r="I23" s="149"/>
    </row>
    <row r="24" spans="1:9" x14ac:dyDescent="0.2">
      <c r="A24" s="146"/>
      <c r="B24" s="146"/>
      <c r="C24" s="17" t="s">
        <v>267</v>
      </c>
      <c r="D24" s="146"/>
      <c r="E24" s="152">
        <f>6400+300</f>
        <v>6700</v>
      </c>
      <c r="F24" s="149"/>
      <c r="G24" s="152">
        <v>1000</v>
      </c>
      <c r="H24" s="149"/>
      <c r="I24" s="153">
        <f>+E24-G24</f>
        <v>5700</v>
      </c>
    </row>
    <row r="25" spans="1:9" ht="15" customHeight="1" x14ac:dyDescent="0.2">
      <c r="A25" s="146"/>
      <c r="B25" s="146"/>
      <c r="C25" s="146"/>
      <c r="D25" s="17" t="s">
        <v>37</v>
      </c>
      <c r="E25" s="152">
        <f>SUM(E20:E24)</f>
        <v>34500</v>
      </c>
      <c r="F25" s="149"/>
      <c r="G25" s="152">
        <f>SUM(G20:G24)</f>
        <v>29590.828399999999</v>
      </c>
      <c r="H25" s="149"/>
      <c r="I25" s="152">
        <f>SUM(I20:I24)</f>
        <v>4909.1716000000015</v>
      </c>
    </row>
    <row r="26" spans="1:9" x14ac:dyDescent="0.2">
      <c r="A26" s="146"/>
      <c r="B26" s="146"/>
      <c r="C26" s="146"/>
      <c r="D26" s="146"/>
      <c r="E26" s="149"/>
      <c r="F26" s="149"/>
      <c r="G26" s="149"/>
      <c r="H26" s="149"/>
      <c r="I26" s="149"/>
    </row>
    <row r="27" spans="1:9" ht="13.5" thickBot="1" x14ac:dyDescent="0.25">
      <c r="A27" s="156" t="s">
        <v>182</v>
      </c>
      <c r="B27" s="146"/>
      <c r="C27" s="146"/>
      <c r="D27" s="146"/>
      <c r="E27" s="154">
        <f>E17-E25</f>
        <v>0</v>
      </c>
      <c r="F27" s="149"/>
      <c r="G27" s="149">
        <f>+G17-G25</f>
        <v>4039.1716000000015</v>
      </c>
      <c r="H27" s="149"/>
      <c r="I27" s="155">
        <f>+I25+I17</f>
        <v>4039.1716000000015</v>
      </c>
    </row>
    <row r="28" spans="1:9" ht="13.5" thickTop="1" x14ac:dyDescent="0.2">
      <c r="A28" s="146"/>
      <c r="B28" s="146"/>
      <c r="C28" s="146"/>
      <c r="D28" s="146"/>
      <c r="E28" s="149"/>
      <c r="F28" s="149"/>
      <c r="G28" s="149"/>
      <c r="H28" s="149"/>
      <c r="I28" s="149"/>
    </row>
    <row r="29" spans="1:9" x14ac:dyDescent="0.2">
      <c r="A29" s="156" t="s">
        <v>338</v>
      </c>
      <c r="B29" s="146"/>
      <c r="C29" s="146"/>
      <c r="D29" s="146"/>
      <c r="E29" s="149"/>
      <c r="F29" s="149"/>
      <c r="G29" s="149"/>
      <c r="H29" s="149"/>
      <c r="I29" s="149"/>
    </row>
    <row r="30" spans="1:9" x14ac:dyDescent="0.2">
      <c r="A30" s="156" t="s">
        <v>339</v>
      </c>
      <c r="B30" s="146"/>
      <c r="C30" s="146"/>
      <c r="D30" s="146"/>
      <c r="E30" s="146"/>
      <c r="F30" s="146"/>
      <c r="G30" s="146"/>
      <c r="H30" s="146"/>
      <c r="I30" s="146"/>
    </row>
    <row r="31" spans="1:9" x14ac:dyDescent="0.2">
      <c r="A31" s="17" t="s">
        <v>271</v>
      </c>
      <c r="B31" s="146"/>
      <c r="C31" s="146"/>
      <c r="D31" s="146"/>
      <c r="E31" s="146"/>
      <c r="F31" s="146"/>
      <c r="G31" s="146"/>
      <c r="H31" s="146"/>
      <c r="I31" s="146"/>
    </row>
    <row r="32" spans="1:9" x14ac:dyDescent="0.2">
      <c r="A32" s="146"/>
      <c r="B32" s="17" t="s">
        <v>36</v>
      </c>
      <c r="C32" s="146"/>
      <c r="D32" s="146"/>
      <c r="E32" s="149"/>
      <c r="F32" s="149"/>
      <c r="G32" s="149">
        <v>1000</v>
      </c>
      <c r="H32" s="149"/>
      <c r="I32" s="149"/>
    </row>
    <row r="33" spans="1:9" x14ac:dyDescent="0.2">
      <c r="A33" s="146"/>
      <c r="B33" s="17" t="s">
        <v>56</v>
      </c>
      <c r="C33" s="146"/>
      <c r="D33" s="146"/>
      <c r="E33" s="149"/>
      <c r="F33" s="149"/>
      <c r="G33" s="149">
        <v>-4766</v>
      </c>
      <c r="H33" s="149"/>
      <c r="I33" s="149"/>
    </row>
    <row r="34" spans="1:9" x14ac:dyDescent="0.2">
      <c r="A34" s="146"/>
      <c r="B34" s="17" t="s">
        <v>274</v>
      </c>
      <c r="C34" s="146"/>
      <c r="D34" s="146"/>
      <c r="E34" s="149"/>
      <c r="F34" s="149"/>
      <c r="G34" s="149">
        <f>-500-2</f>
        <v>-502</v>
      </c>
      <c r="H34" s="149"/>
      <c r="I34" s="149"/>
    </row>
    <row r="35" spans="1:9" x14ac:dyDescent="0.2">
      <c r="A35" s="146"/>
      <c r="B35" s="331" t="s">
        <v>660</v>
      </c>
      <c r="C35" s="146"/>
      <c r="D35" s="146"/>
      <c r="E35" s="149"/>
      <c r="F35" s="149"/>
      <c r="G35" s="149">
        <f>-'8-Cash Flow-Prop'!H68</f>
        <v>3582.1324</v>
      </c>
      <c r="H35" s="149"/>
      <c r="I35" s="149"/>
    </row>
    <row r="36" spans="1:9" x14ac:dyDescent="0.2">
      <c r="A36" s="146"/>
      <c r="B36" s="331" t="s">
        <v>661</v>
      </c>
      <c r="C36" s="146"/>
      <c r="D36" s="146"/>
      <c r="E36" s="149"/>
      <c r="F36" s="149"/>
      <c r="G36" s="149">
        <f>-'8-Cash Flow-Prop'!H70</f>
        <v>-3726.4370000000004</v>
      </c>
      <c r="H36" s="149"/>
      <c r="I36" s="149"/>
    </row>
    <row r="37" spans="1:9" x14ac:dyDescent="0.2">
      <c r="A37" s="146"/>
      <c r="B37" s="331" t="s">
        <v>662</v>
      </c>
      <c r="C37" s="146"/>
      <c r="D37" s="146"/>
      <c r="E37" s="149"/>
      <c r="F37" s="149"/>
      <c r="G37" s="149">
        <f>-'8-Cash Flow-Prop'!H71</f>
        <v>134.60039999999998</v>
      </c>
      <c r="H37" s="149"/>
      <c r="I37" s="149"/>
    </row>
    <row r="38" spans="1:9" x14ac:dyDescent="0.2">
      <c r="A38" s="146"/>
      <c r="B38" s="331" t="s">
        <v>708</v>
      </c>
      <c r="C38" s="267"/>
      <c r="D38" s="267"/>
      <c r="E38" s="267"/>
      <c r="F38" s="267"/>
      <c r="G38" s="267">
        <f>-'8-Cash Flow-Prop'!H69</f>
        <v>-301.63200000000001</v>
      </c>
      <c r="H38" s="19"/>
    </row>
    <row r="39" spans="1:9" x14ac:dyDescent="0.2">
      <c r="A39" s="146"/>
      <c r="B39" s="331" t="s">
        <v>709</v>
      </c>
      <c r="C39" s="267"/>
      <c r="D39" s="267"/>
      <c r="E39" s="267"/>
      <c r="F39" s="267"/>
      <c r="G39" s="267">
        <f>-'8-Cash Flow-Prop'!H75</f>
        <v>-72.756</v>
      </c>
      <c r="H39" s="19"/>
    </row>
    <row r="40" spans="1:9" x14ac:dyDescent="0.2">
      <c r="A40" s="146"/>
      <c r="B40" s="331" t="s">
        <v>707</v>
      </c>
      <c r="C40" s="267"/>
      <c r="D40" s="267"/>
      <c r="E40" s="267"/>
      <c r="F40" s="267"/>
      <c r="G40" s="267">
        <f>-'8-Cash Flow-Prop'!H76</f>
        <v>-89.856000000000009</v>
      </c>
      <c r="H40" s="19"/>
    </row>
    <row r="41" spans="1:9" ht="15" customHeight="1" x14ac:dyDescent="0.2">
      <c r="A41" s="146"/>
      <c r="B41" s="146"/>
      <c r="C41" s="17" t="s">
        <v>320</v>
      </c>
      <c r="D41" s="146"/>
      <c r="E41" s="146"/>
      <c r="F41" s="146"/>
      <c r="G41" s="152">
        <f>SUM(G32:G40)</f>
        <v>-4741.9481999999998</v>
      </c>
      <c r="H41" s="146"/>
      <c r="I41" s="146"/>
    </row>
    <row r="42" spans="1:9" x14ac:dyDescent="0.2">
      <c r="A42" s="146"/>
      <c r="B42" s="146"/>
      <c r="C42" s="146"/>
      <c r="D42" s="146"/>
      <c r="E42" s="146"/>
      <c r="F42" s="146"/>
      <c r="G42" s="146"/>
      <c r="H42" s="146"/>
      <c r="I42" s="146"/>
    </row>
    <row r="43" spans="1:9" ht="13.5" thickBot="1" x14ac:dyDescent="0.25">
      <c r="A43" s="156" t="s">
        <v>600</v>
      </c>
      <c r="B43" s="146"/>
      <c r="C43" s="146"/>
      <c r="D43" s="146"/>
      <c r="E43" s="149"/>
      <c r="F43" s="149"/>
      <c r="G43" s="157">
        <f>+G41+G27-1</f>
        <v>-703.77659999999833</v>
      </c>
      <c r="H43" s="149"/>
      <c r="I43" s="149"/>
    </row>
    <row r="44" spans="1:9" ht="13.5" thickTop="1" x14ac:dyDescent="0.2">
      <c r="A44" s="146"/>
      <c r="B44" s="146"/>
      <c r="C44" s="146"/>
      <c r="D44" s="146"/>
      <c r="E44" s="149"/>
      <c r="F44" s="149"/>
      <c r="G44" s="149"/>
      <c r="H44" s="149"/>
      <c r="I44" s="149"/>
    </row>
    <row r="45" spans="1:9" x14ac:dyDescent="0.2">
      <c r="A45" s="146"/>
      <c r="B45" s="146"/>
      <c r="C45" s="146"/>
      <c r="D45" s="146"/>
      <c r="E45" s="146"/>
      <c r="F45" s="146"/>
      <c r="G45" s="146"/>
      <c r="H45" s="146"/>
      <c r="I45" s="146"/>
    </row>
    <row r="46" spans="1:9" ht="13.5" thickBot="1" x14ac:dyDescent="0.25">
      <c r="A46" s="146"/>
      <c r="B46" s="146"/>
      <c r="C46" s="146"/>
      <c r="D46" s="146"/>
      <c r="E46" s="149"/>
      <c r="F46" s="149"/>
      <c r="G46" s="149"/>
      <c r="H46" s="149"/>
      <c r="I46" s="149"/>
    </row>
    <row r="47" spans="1:9" ht="45" customHeight="1" thickBot="1" x14ac:dyDescent="0.25">
      <c r="A47" s="903" t="s">
        <v>853</v>
      </c>
      <c r="B47" s="904"/>
      <c r="C47" s="904"/>
      <c r="D47" s="904"/>
      <c r="E47" s="904"/>
      <c r="F47" s="904"/>
      <c r="G47" s="904"/>
      <c r="H47" s="904"/>
      <c r="I47" s="905"/>
    </row>
    <row r="48" spans="1:9" ht="12.75" customHeight="1" x14ac:dyDescent="0.2">
      <c r="A48" s="146"/>
      <c r="B48" s="146"/>
      <c r="C48" s="727"/>
      <c r="D48" s="727"/>
      <c r="E48" s="727"/>
      <c r="F48" s="727"/>
      <c r="G48" s="727"/>
      <c r="H48" s="727"/>
      <c r="I48" s="727"/>
    </row>
    <row r="49" spans="1:9" ht="12.75" customHeight="1" x14ac:dyDescent="0.2">
      <c r="A49" s="146"/>
      <c r="B49" s="146"/>
      <c r="C49" s="727"/>
      <c r="D49" s="727"/>
      <c r="E49" s="727"/>
      <c r="F49" s="727"/>
      <c r="G49" s="727"/>
      <c r="H49" s="727"/>
      <c r="I49" s="727"/>
    </row>
    <row r="50" spans="1:9" x14ac:dyDescent="0.2">
      <c r="A50" s="146"/>
      <c r="B50" s="146"/>
      <c r="C50" s="146"/>
      <c r="D50" s="17"/>
      <c r="E50" s="195"/>
      <c r="F50" s="195"/>
      <c r="G50" s="195"/>
      <c r="H50" s="195"/>
      <c r="I50" s="195"/>
    </row>
    <row r="51" spans="1:9" x14ac:dyDescent="0.2">
      <c r="A51" s="146"/>
      <c r="B51" s="146"/>
      <c r="C51" s="250"/>
      <c r="D51"/>
      <c r="E51"/>
      <c r="F51"/>
      <c r="G51"/>
      <c r="H51"/>
      <c r="I51"/>
    </row>
    <row r="52" spans="1:9" x14ac:dyDescent="0.2">
      <c r="A52" s="146"/>
      <c r="B52" s="146"/>
      <c r="C52"/>
      <c r="D52"/>
      <c r="E52"/>
      <c r="F52"/>
      <c r="G52"/>
      <c r="H52"/>
      <c r="I52"/>
    </row>
    <row r="53" spans="1:9" x14ac:dyDescent="0.2">
      <c r="A53" s="146"/>
      <c r="B53" s="146"/>
      <c r="C53"/>
      <c r="D53"/>
      <c r="E53"/>
      <c r="F53"/>
      <c r="G53"/>
      <c r="H53"/>
      <c r="I53"/>
    </row>
    <row r="54" spans="1:9" x14ac:dyDescent="0.2">
      <c r="C54"/>
      <c r="D54"/>
      <c r="E54"/>
      <c r="F54"/>
      <c r="G54"/>
      <c r="H54"/>
      <c r="I54"/>
    </row>
    <row r="55" spans="1:9" x14ac:dyDescent="0.2">
      <c r="E55" s="151"/>
      <c r="F55" s="151"/>
      <c r="G55" s="151"/>
      <c r="H55" s="151"/>
      <c r="I55" s="151"/>
    </row>
    <row r="56" spans="1:9" x14ac:dyDescent="0.2">
      <c r="E56" s="151"/>
      <c r="F56" s="151"/>
      <c r="G56" s="151"/>
      <c r="H56" s="151"/>
      <c r="I56" s="151"/>
    </row>
    <row r="57" spans="1:9" x14ac:dyDescent="0.2">
      <c r="E57" s="151"/>
      <c r="F57" s="151"/>
      <c r="G57" s="151"/>
      <c r="H57" s="151"/>
      <c r="I57" s="151"/>
    </row>
    <row r="58" spans="1:9" x14ac:dyDescent="0.2">
      <c r="E58" s="151"/>
      <c r="F58" s="151"/>
      <c r="G58" s="151"/>
      <c r="H58" s="151"/>
      <c r="I58" s="151"/>
    </row>
    <row r="59" spans="1:9" x14ac:dyDescent="0.2">
      <c r="E59" s="151"/>
      <c r="F59" s="151"/>
      <c r="G59" s="151"/>
      <c r="H59" s="151"/>
      <c r="I59" s="151"/>
    </row>
    <row r="60" spans="1:9" x14ac:dyDescent="0.2">
      <c r="E60" s="151"/>
      <c r="F60" s="151"/>
      <c r="G60" s="151"/>
      <c r="H60" s="151"/>
      <c r="I60" s="151"/>
    </row>
    <row r="61" spans="1:9" x14ac:dyDescent="0.2">
      <c r="E61" s="151"/>
      <c r="F61" s="151"/>
      <c r="G61" s="151"/>
      <c r="H61" s="151"/>
      <c r="I61" s="151"/>
    </row>
    <row r="62" spans="1:9" x14ac:dyDescent="0.2">
      <c r="E62" s="151"/>
      <c r="F62" s="151"/>
      <c r="G62" s="151"/>
      <c r="H62" s="151"/>
      <c r="I62" s="151"/>
    </row>
    <row r="63" spans="1:9" x14ac:dyDescent="0.2">
      <c r="E63" s="151"/>
      <c r="F63" s="151"/>
      <c r="G63" s="151"/>
      <c r="H63" s="151"/>
      <c r="I63" s="151"/>
    </row>
    <row r="64" spans="1:9" x14ac:dyDescent="0.2">
      <c r="E64" s="151"/>
      <c r="F64" s="151"/>
      <c r="G64" s="151"/>
      <c r="H64" s="151"/>
      <c r="I64" s="151"/>
    </row>
    <row r="65" spans="5:9" x14ac:dyDescent="0.2">
      <c r="E65" s="151"/>
      <c r="F65" s="151"/>
      <c r="G65" s="151"/>
      <c r="H65" s="151"/>
      <c r="I65" s="151"/>
    </row>
    <row r="66" spans="5:9" x14ac:dyDescent="0.2">
      <c r="E66" s="151"/>
      <c r="F66" s="151"/>
      <c r="G66" s="151"/>
      <c r="H66" s="151"/>
      <c r="I66" s="151"/>
    </row>
    <row r="67" spans="5:9" x14ac:dyDescent="0.2">
      <c r="E67" s="151"/>
      <c r="F67" s="151"/>
      <c r="G67" s="151"/>
      <c r="H67" s="151"/>
      <c r="I67" s="151"/>
    </row>
    <row r="68" spans="5:9" x14ac:dyDescent="0.2">
      <c r="E68" s="151"/>
      <c r="F68" s="151"/>
      <c r="G68" s="151"/>
      <c r="H68" s="151"/>
      <c r="I68" s="151"/>
    </row>
    <row r="69" spans="5:9" x14ac:dyDescent="0.2">
      <c r="E69" s="151"/>
      <c r="F69" s="151"/>
      <c r="G69" s="151"/>
      <c r="H69" s="151"/>
      <c r="I69" s="151"/>
    </row>
    <row r="70" spans="5:9" x14ac:dyDescent="0.2">
      <c r="E70" s="151"/>
      <c r="F70" s="151"/>
      <c r="G70" s="151"/>
      <c r="H70" s="151"/>
      <c r="I70" s="151"/>
    </row>
    <row r="71" spans="5:9" x14ac:dyDescent="0.2">
      <c r="E71" s="151"/>
      <c r="F71" s="151"/>
      <c r="G71" s="151"/>
      <c r="H71" s="151"/>
      <c r="I71" s="151"/>
    </row>
    <row r="72" spans="5:9" x14ac:dyDescent="0.2">
      <c r="E72" s="151"/>
      <c r="F72" s="151"/>
      <c r="G72" s="151"/>
      <c r="H72" s="151"/>
      <c r="I72" s="151"/>
    </row>
    <row r="73" spans="5:9" x14ac:dyDescent="0.2">
      <c r="E73" s="151"/>
      <c r="F73" s="151"/>
      <c r="G73" s="151"/>
      <c r="H73" s="151"/>
      <c r="I73" s="151"/>
    </row>
    <row r="74" spans="5:9" x14ac:dyDescent="0.2">
      <c r="E74" s="151"/>
      <c r="F74" s="151"/>
      <c r="G74" s="151"/>
      <c r="H74" s="151"/>
      <c r="I74" s="151"/>
    </row>
    <row r="75" spans="5:9" x14ac:dyDescent="0.2">
      <c r="E75" s="151"/>
      <c r="F75" s="151"/>
      <c r="G75" s="151"/>
      <c r="H75" s="151"/>
      <c r="I75" s="151"/>
    </row>
    <row r="76" spans="5:9" x14ac:dyDescent="0.2">
      <c r="E76" s="151"/>
      <c r="F76" s="151"/>
      <c r="G76" s="151"/>
      <c r="H76" s="151"/>
      <c r="I76" s="151"/>
    </row>
    <row r="77" spans="5:9" x14ac:dyDescent="0.2">
      <c r="E77" s="151"/>
      <c r="F77" s="151"/>
      <c r="G77" s="151"/>
      <c r="H77" s="151"/>
      <c r="I77" s="151"/>
    </row>
    <row r="78" spans="5:9" x14ac:dyDescent="0.2">
      <c r="E78" s="151"/>
      <c r="F78" s="151"/>
      <c r="G78" s="151"/>
      <c r="H78" s="151"/>
      <c r="I78" s="151"/>
    </row>
    <row r="79" spans="5:9" x14ac:dyDescent="0.2">
      <c r="E79" s="151"/>
      <c r="F79" s="151"/>
      <c r="G79" s="151"/>
      <c r="H79" s="151"/>
      <c r="I79" s="151"/>
    </row>
    <row r="80" spans="5:9" x14ac:dyDescent="0.2">
      <c r="E80" s="151"/>
      <c r="F80" s="151"/>
      <c r="G80" s="151"/>
      <c r="H80" s="151"/>
      <c r="I80" s="151"/>
    </row>
    <row r="81" spans="5:9" x14ac:dyDescent="0.2">
      <c r="E81" s="151"/>
      <c r="F81" s="151"/>
      <c r="G81" s="151"/>
      <c r="H81" s="151"/>
      <c r="I81" s="151"/>
    </row>
    <row r="82" spans="5:9" x14ac:dyDescent="0.2">
      <c r="E82" s="151"/>
      <c r="F82" s="151"/>
      <c r="G82" s="151"/>
      <c r="H82" s="151"/>
      <c r="I82" s="151"/>
    </row>
    <row r="83" spans="5:9" x14ac:dyDescent="0.2">
      <c r="E83" s="151"/>
      <c r="F83" s="151"/>
      <c r="G83" s="151"/>
      <c r="H83" s="151"/>
      <c r="I83" s="151"/>
    </row>
    <row r="84" spans="5:9" x14ac:dyDescent="0.2">
      <c r="E84" s="151"/>
      <c r="F84" s="151"/>
      <c r="G84" s="151"/>
      <c r="H84" s="151"/>
      <c r="I84" s="151"/>
    </row>
    <row r="85" spans="5:9" x14ac:dyDescent="0.2">
      <c r="E85" s="151"/>
      <c r="F85" s="151"/>
      <c r="G85" s="151"/>
      <c r="H85" s="151"/>
      <c r="I85" s="151"/>
    </row>
    <row r="86" spans="5:9" x14ac:dyDescent="0.2">
      <c r="E86" s="151"/>
      <c r="F86" s="151"/>
      <c r="G86" s="151"/>
      <c r="H86" s="151"/>
      <c r="I86" s="151"/>
    </row>
    <row r="87" spans="5:9" x14ac:dyDescent="0.2">
      <c r="E87" s="151"/>
      <c r="F87" s="151"/>
      <c r="G87" s="151"/>
      <c r="H87" s="151"/>
      <c r="I87" s="151"/>
    </row>
    <row r="88" spans="5:9" x14ac:dyDescent="0.2">
      <c r="E88" s="151"/>
      <c r="F88" s="151"/>
      <c r="G88" s="151"/>
      <c r="H88" s="151"/>
      <c r="I88" s="151"/>
    </row>
    <row r="89" spans="5:9" x14ac:dyDescent="0.2">
      <c r="E89" s="151"/>
      <c r="F89" s="151"/>
      <c r="G89" s="151"/>
      <c r="H89" s="151"/>
      <c r="I89" s="151"/>
    </row>
    <row r="90" spans="5:9" x14ac:dyDescent="0.2">
      <c r="E90" s="151"/>
      <c r="F90" s="151"/>
      <c r="G90" s="151"/>
      <c r="H90" s="151"/>
      <c r="I90" s="151"/>
    </row>
    <row r="91" spans="5:9" x14ac:dyDescent="0.2">
      <c r="E91" s="151"/>
      <c r="F91" s="151"/>
      <c r="G91" s="151"/>
      <c r="H91" s="151"/>
      <c r="I91" s="151"/>
    </row>
    <row r="92" spans="5:9" x14ac:dyDescent="0.2">
      <c r="E92" s="151"/>
      <c r="F92" s="151"/>
      <c r="G92" s="151"/>
      <c r="H92" s="151"/>
      <c r="I92" s="151"/>
    </row>
    <row r="93" spans="5:9" x14ac:dyDescent="0.2">
      <c r="E93" s="151"/>
      <c r="F93" s="151"/>
      <c r="G93" s="151"/>
      <c r="H93" s="151"/>
      <c r="I93" s="151"/>
    </row>
    <row r="94" spans="5:9" x14ac:dyDescent="0.2">
      <c r="E94" s="151"/>
      <c r="F94" s="151"/>
      <c r="G94" s="151"/>
      <c r="H94" s="151"/>
      <c r="I94" s="151"/>
    </row>
    <row r="95" spans="5:9" x14ac:dyDescent="0.2">
      <c r="E95" s="151"/>
      <c r="F95" s="151"/>
      <c r="G95" s="151"/>
      <c r="H95" s="151"/>
      <c r="I95" s="151"/>
    </row>
    <row r="96" spans="5:9" x14ac:dyDescent="0.2">
      <c r="E96" s="151"/>
      <c r="F96" s="151"/>
      <c r="G96" s="151"/>
      <c r="H96" s="151"/>
      <c r="I96" s="151"/>
    </row>
    <row r="97" spans="5:9" x14ac:dyDescent="0.2">
      <c r="E97" s="151"/>
      <c r="F97" s="151"/>
      <c r="G97" s="151"/>
      <c r="H97" s="151"/>
      <c r="I97" s="151"/>
    </row>
    <row r="98" spans="5:9" x14ac:dyDescent="0.2">
      <c r="E98" s="151"/>
      <c r="F98" s="151"/>
      <c r="G98" s="151"/>
      <c r="H98" s="151"/>
      <c r="I98" s="151"/>
    </row>
    <row r="99" spans="5:9" x14ac:dyDescent="0.2">
      <c r="E99" s="151"/>
      <c r="F99" s="151"/>
      <c r="G99" s="151"/>
      <c r="H99" s="151"/>
      <c r="I99" s="151"/>
    </row>
    <row r="100" spans="5:9" x14ac:dyDescent="0.2">
      <c r="E100" s="151"/>
      <c r="F100" s="151"/>
      <c r="G100" s="151"/>
      <c r="H100" s="151"/>
      <c r="I100" s="151"/>
    </row>
    <row r="101" spans="5:9" x14ac:dyDescent="0.2">
      <c r="E101" s="151"/>
      <c r="F101" s="151"/>
      <c r="G101" s="151"/>
      <c r="H101" s="151"/>
      <c r="I101" s="151"/>
    </row>
    <row r="102" spans="5:9" x14ac:dyDescent="0.2">
      <c r="E102" s="151"/>
      <c r="F102" s="151"/>
      <c r="G102" s="151"/>
      <c r="H102" s="151"/>
      <c r="I102" s="151"/>
    </row>
    <row r="103" spans="5:9" x14ac:dyDescent="0.2">
      <c r="E103" s="151"/>
      <c r="F103" s="151"/>
      <c r="G103" s="151"/>
      <c r="H103" s="151"/>
      <c r="I103" s="151"/>
    </row>
    <row r="104" spans="5:9" x14ac:dyDescent="0.2">
      <c r="E104" s="151"/>
      <c r="F104" s="151"/>
      <c r="G104" s="151"/>
      <c r="H104" s="151"/>
      <c r="I104" s="151"/>
    </row>
    <row r="105" spans="5:9" x14ac:dyDescent="0.2">
      <c r="E105" s="151"/>
      <c r="F105" s="151"/>
      <c r="G105" s="151"/>
      <c r="H105" s="151"/>
      <c r="I105" s="151"/>
    </row>
    <row r="106" spans="5:9" x14ac:dyDescent="0.2">
      <c r="E106" s="151"/>
      <c r="F106" s="151"/>
      <c r="G106" s="151"/>
      <c r="H106" s="151"/>
      <c r="I106" s="151"/>
    </row>
    <row r="107" spans="5:9" x14ac:dyDescent="0.2">
      <c r="E107" s="151"/>
      <c r="F107" s="151"/>
      <c r="G107" s="151"/>
      <c r="H107" s="151"/>
      <c r="I107" s="151"/>
    </row>
    <row r="108" spans="5:9" x14ac:dyDescent="0.2">
      <c r="E108" s="151"/>
      <c r="F108" s="151"/>
      <c r="G108" s="151"/>
      <c r="H108" s="151"/>
      <c r="I108" s="151"/>
    </row>
    <row r="109" spans="5:9" x14ac:dyDescent="0.2">
      <c r="E109" s="151"/>
      <c r="F109" s="151"/>
      <c r="G109" s="151"/>
      <c r="H109" s="151"/>
      <c r="I109" s="151"/>
    </row>
    <row r="110" spans="5:9" x14ac:dyDescent="0.2">
      <c r="E110" s="151"/>
      <c r="F110" s="151"/>
      <c r="G110" s="151"/>
      <c r="H110" s="151"/>
      <c r="I110" s="151"/>
    </row>
    <row r="111" spans="5:9" x14ac:dyDescent="0.2">
      <c r="E111" s="151"/>
      <c r="F111" s="151"/>
      <c r="G111" s="151"/>
      <c r="H111" s="151"/>
      <c r="I111" s="151"/>
    </row>
    <row r="112" spans="5:9" x14ac:dyDescent="0.2">
      <c r="E112" s="151"/>
      <c r="F112" s="151"/>
      <c r="G112" s="151"/>
      <c r="H112" s="151"/>
      <c r="I112" s="151"/>
    </row>
    <row r="113" spans="5:9" x14ac:dyDescent="0.2">
      <c r="E113" s="151"/>
      <c r="F113" s="151"/>
      <c r="G113" s="151"/>
      <c r="H113" s="151"/>
      <c r="I113" s="151"/>
    </row>
    <row r="114" spans="5:9" x14ac:dyDescent="0.2">
      <c r="E114" s="151"/>
      <c r="F114" s="151"/>
      <c r="G114" s="151"/>
      <c r="H114" s="151"/>
      <c r="I114" s="151"/>
    </row>
    <row r="115" spans="5:9" x14ac:dyDescent="0.2">
      <c r="E115" s="151"/>
      <c r="F115" s="151"/>
      <c r="G115" s="151"/>
      <c r="H115" s="151"/>
      <c r="I115" s="151"/>
    </row>
    <row r="116" spans="5:9" x14ac:dyDescent="0.2">
      <c r="E116" s="151"/>
      <c r="F116" s="151"/>
      <c r="G116" s="151"/>
      <c r="H116" s="151"/>
      <c r="I116" s="151"/>
    </row>
    <row r="117" spans="5:9" x14ac:dyDescent="0.2">
      <c r="E117" s="151"/>
      <c r="F117" s="151"/>
      <c r="G117" s="151"/>
      <c r="H117" s="151"/>
      <c r="I117" s="151"/>
    </row>
    <row r="118" spans="5:9" x14ac:dyDescent="0.2">
      <c r="E118" s="151"/>
      <c r="F118" s="151"/>
      <c r="G118" s="151"/>
      <c r="H118" s="151"/>
      <c r="I118" s="151"/>
    </row>
    <row r="119" spans="5:9" x14ac:dyDescent="0.2">
      <c r="E119" s="151"/>
      <c r="F119" s="151"/>
      <c r="G119" s="151"/>
      <c r="H119" s="151"/>
      <c r="I119" s="151"/>
    </row>
    <row r="120" spans="5:9" x14ac:dyDescent="0.2">
      <c r="E120" s="151"/>
      <c r="F120" s="151"/>
      <c r="G120" s="151"/>
      <c r="H120" s="151"/>
      <c r="I120" s="151"/>
    </row>
    <row r="121" spans="5:9" x14ac:dyDescent="0.2">
      <c r="E121" s="151"/>
      <c r="F121" s="151"/>
      <c r="G121" s="151"/>
      <c r="H121" s="151"/>
      <c r="I121" s="151"/>
    </row>
    <row r="122" spans="5:9" x14ac:dyDescent="0.2">
      <c r="E122" s="151"/>
      <c r="F122" s="151"/>
      <c r="G122" s="151"/>
      <c r="H122" s="151"/>
      <c r="I122" s="151"/>
    </row>
    <row r="123" spans="5:9" x14ac:dyDescent="0.2">
      <c r="E123" s="151"/>
      <c r="F123" s="151"/>
      <c r="G123" s="151"/>
      <c r="H123" s="151"/>
      <c r="I123" s="151"/>
    </row>
    <row r="124" spans="5:9" x14ac:dyDescent="0.2">
      <c r="E124" s="151"/>
      <c r="F124" s="151"/>
      <c r="G124" s="151"/>
      <c r="H124" s="151"/>
      <c r="I124" s="151"/>
    </row>
    <row r="125" spans="5:9" x14ac:dyDescent="0.2">
      <c r="E125" s="151"/>
      <c r="F125" s="151"/>
      <c r="G125" s="151"/>
      <c r="H125" s="151"/>
      <c r="I125" s="151"/>
    </row>
    <row r="126" spans="5:9" x14ac:dyDescent="0.2">
      <c r="E126" s="151"/>
      <c r="F126" s="151"/>
      <c r="G126" s="151"/>
      <c r="H126" s="151"/>
      <c r="I126" s="151"/>
    </row>
    <row r="127" spans="5:9" x14ac:dyDescent="0.2">
      <c r="E127" s="151"/>
      <c r="F127" s="151"/>
      <c r="G127" s="151"/>
      <c r="H127" s="151"/>
      <c r="I127" s="151"/>
    </row>
    <row r="128" spans="5:9" x14ac:dyDescent="0.2">
      <c r="E128" s="151"/>
      <c r="F128" s="151"/>
      <c r="G128" s="151"/>
      <c r="H128" s="151"/>
      <c r="I128" s="151"/>
    </row>
    <row r="129" spans="5:9" x14ac:dyDescent="0.2">
      <c r="E129" s="151"/>
      <c r="F129" s="151"/>
      <c r="G129" s="151"/>
      <c r="H129" s="151"/>
      <c r="I129" s="151"/>
    </row>
    <row r="130" spans="5:9" x14ac:dyDescent="0.2">
      <c r="E130" s="151"/>
      <c r="F130" s="151"/>
      <c r="G130" s="151"/>
      <c r="H130" s="151"/>
      <c r="I130" s="151"/>
    </row>
  </sheetData>
  <customSheetViews>
    <customSheetView guid="{AB48C5D7-99F4-4378-A0F9-05018B348977}" showPageBreaks="1" topLeftCell="A19">
      <selection activeCell="B39" sqref="B39"/>
      <pageMargins left="0.75" right="0.75" top="1" bottom="1" header="0.5" footer="0.5"/>
      <pageSetup scale="79" firstPageNumber="106" orientation="portrait" useFirstPageNumber="1" r:id="rId1"/>
      <headerFooter alignWithMargins="0"/>
    </customSheetView>
  </customSheetViews>
  <mergeCells count="2">
    <mergeCell ref="A3:I3"/>
    <mergeCell ref="A47:I47"/>
  </mergeCells>
  <phoneticPr fontId="9" type="noConversion"/>
  <printOptions horizontalCentered="1"/>
  <pageMargins left="0.7" right="0.7" top="0.75" bottom="0.75" header="0.3" footer="0.3"/>
  <pageSetup firstPageNumber="106" fitToWidth="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N106"/>
  <sheetViews>
    <sheetView topLeftCell="A85" workbookViewId="0">
      <selection activeCell="B15" sqref="B15"/>
    </sheetView>
  </sheetViews>
  <sheetFormatPr defaultColWidth="9.140625" defaultRowHeight="12.75" x14ac:dyDescent="0.2"/>
  <cols>
    <col min="1" max="1" width="34" customWidth="1"/>
    <col min="2" max="2" width="15.7109375" customWidth="1"/>
    <col min="3" max="3" width="1.28515625" customWidth="1"/>
    <col min="4" max="4" width="15.7109375" customWidth="1"/>
    <col min="5" max="5" width="1.28515625" customWidth="1"/>
    <col min="6" max="6" width="15.7109375" customWidth="1"/>
    <col min="7" max="7" width="1.28515625" customWidth="1"/>
    <col min="8" max="8" width="15.28515625" customWidth="1"/>
    <col min="9" max="9" width="1.28515625" customWidth="1"/>
    <col min="10" max="10" width="15.7109375" customWidth="1"/>
    <col min="11" max="11" width="13.28515625" bestFit="1" customWidth="1"/>
    <col min="12" max="12" width="12.140625" bestFit="1" customWidth="1"/>
    <col min="13" max="13" width="12.28515625" customWidth="1"/>
  </cols>
  <sheetData>
    <row r="1" spans="1:13" x14ac:dyDescent="0.2">
      <c r="A1" s="777" t="s">
        <v>0</v>
      </c>
      <c r="B1" s="777"/>
      <c r="C1" s="777"/>
      <c r="D1" s="777"/>
      <c r="E1" s="777"/>
      <c r="F1" s="777"/>
      <c r="G1" s="777"/>
      <c r="H1" s="777"/>
      <c r="I1" s="777"/>
      <c r="J1" s="777"/>
    </row>
    <row r="2" spans="1:13" x14ac:dyDescent="0.2">
      <c r="A2" s="777" t="s">
        <v>14</v>
      </c>
      <c r="B2" s="777"/>
      <c r="C2" s="777"/>
      <c r="D2" s="777"/>
      <c r="E2" s="777"/>
      <c r="F2" s="777"/>
      <c r="G2" s="777"/>
      <c r="H2" s="777"/>
      <c r="I2" s="777"/>
      <c r="J2" s="777"/>
    </row>
    <row r="3" spans="1:13" x14ac:dyDescent="0.2">
      <c r="A3" s="777" t="s">
        <v>15</v>
      </c>
      <c r="B3" s="777"/>
      <c r="C3" s="777"/>
      <c r="D3" s="777"/>
      <c r="E3" s="777"/>
      <c r="F3" s="777"/>
      <c r="G3" s="777"/>
      <c r="H3" s="777"/>
      <c r="I3" s="777"/>
      <c r="J3" s="777"/>
    </row>
    <row r="4" spans="1:13" s="19" customFormat="1" x14ac:dyDescent="0.2">
      <c r="A4" s="787">
        <v>45838</v>
      </c>
      <c r="B4" s="788"/>
      <c r="C4" s="788"/>
      <c r="D4" s="788"/>
      <c r="E4" s="788"/>
      <c r="F4" s="788"/>
      <c r="G4" s="788"/>
      <c r="H4" s="788"/>
      <c r="I4" s="788"/>
      <c r="J4" s="788"/>
    </row>
    <row r="5" spans="1:13" s="19" customFormat="1" x14ac:dyDescent="0.2">
      <c r="A5" s="592"/>
      <c r="B5" s="543"/>
      <c r="C5" s="543"/>
      <c r="D5" s="543"/>
      <c r="E5" s="543"/>
      <c r="F5" s="543"/>
      <c r="G5" s="543"/>
      <c r="H5" s="543"/>
      <c r="I5" s="543"/>
      <c r="J5" s="55" t="s">
        <v>23</v>
      </c>
    </row>
    <row r="6" spans="1:13" ht="13.5" thickBot="1" x14ac:dyDescent="0.25">
      <c r="A6" s="621"/>
      <c r="B6" s="622"/>
      <c r="C6" s="622"/>
      <c r="D6" s="622"/>
      <c r="E6" s="622"/>
      <c r="F6" s="622"/>
      <c r="G6" s="622"/>
      <c r="H6" s="622"/>
      <c r="I6" s="622"/>
      <c r="J6" s="622"/>
    </row>
    <row r="7" spans="1:13" x14ac:dyDescent="0.2">
      <c r="B7" s="558"/>
      <c r="C7" s="558"/>
      <c r="D7" s="58" t="s">
        <v>467</v>
      </c>
      <c r="E7" s="58"/>
      <c r="F7" s="558"/>
      <c r="H7" s="228"/>
      <c r="I7" s="228"/>
    </row>
    <row r="8" spans="1:13" ht="38.25" x14ac:dyDescent="0.2">
      <c r="B8" s="54" t="s">
        <v>16</v>
      </c>
      <c r="C8" s="594"/>
      <c r="D8" s="54" t="s">
        <v>120</v>
      </c>
      <c r="E8" s="594"/>
      <c r="F8" s="54" t="s">
        <v>80</v>
      </c>
      <c r="G8" s="594"/>
      <c r="H8" s="54" t="s">
        <v>493</v>
      </c>
      <c r="I8" s="594"/>
      <c r="J8" s="54" t="s">
        <v>17</v>
      </c>
      <c r="M8" s="31"/>
    </row>
    <row r="9" spans="1:13" x14ac:dyDescent="0.2">
      <c r="A9" s="101" t="s">
        <v>2</v>
      </c>
    </row>
    <row r="10" spans="1:13" x14ac:dyDescent="0.2">
      <c r="A10" t="s">
        <v>3</v>
      </c>
      <c r="B10" s="433">
        <v>552318</v>
      </c>
      <c r="C10" s="433"/>
      <c r="D10" s="419">
        <v>8000</v>
      </c>
      <c r="E10" s="419"/>
      <c r="F10" s="419">
        <v>23400</v>
      </c>
      <c r="G10" s="419"/>
      <c r="H10" s="419">
        <v>25251</v>
      </c>
      <c r="I10" s="419"/>
      <c r="J10" s="419">
        <f t="shared" ref="J10:J21" si="0">SUM(B10:H10)</f>
        <v>608969</v>
      </c>
      <c r="K10" s="232"/>
      <c r="L10" s="232"/>
    </row>
    <row r="11" spans="1:13" x14ac:dyDescent="0.2">
      <c r="A11" t="s">
        <v>545</v>
      </c>
      <c r="B11" s="439">
        <f>30453+4084+23459</f>
        <v>57996</v>
      </c>
      <c r="C11" s="439"/>
      <c r="D11" s="421">
        <v>0</v>
      </c>
      <c r="E11" s="421"/>
      <c r="F11" s="421">
        <v>0</v>
      </c>
      <c r="G11" s="421"/>
      <c r="H11" s="421">
        <v>0</v>
      </c>
      <c r="I11" s="421"/>
      <c r="J11" s="421">
        <f t="shared" si="0"/>
        <v>57996</v>
      </c>
      <c r="K11" s="232"/>
    </row>
    <row r="12" spans="1:13" x14ac:dyDescent="0.2">
      <c r="A12" t="s">
        <v>116</v>
      </c>
      <c r="B12" s="420"/>
      <c r="C12" s="420"/>
      <c r="D12" s="420"/>
      <c r="E12" s="420"/>
      <c r="F12" s="420"/>
      <c r="G12" s="420"/>
      <c r="H12" s="420"/>
      <c r="I12" s="420"/>
      <c r="J12" s="420"/>
    </row>
    <row r="13" spans="1:13" x14ac:dyDescent="0.2">
      <c r="A13" s="33" t="s">
        <v>63</v>
      </c>
      <c r="B13" s="773">
        <v>62235</v>
      </c>
      <c r="C13" s="420"/>
      <c r="D13" s="420">
        <v>0</v>
      </c>
      <c r="E13" s="420"/>
      <c r="F13" s="420">
        <v>0</v>
      </c>
      <c r="G13" s="420"/>
      <c r="H13" s="420">
        <v>0</v>
      </c>
      <c r="I13" s="420"/>
      <c r="J13" s="420">
        <f>SUM(B13:H13)</f>
        <v>62235</v>
      </c>
    </row>
    <row r="14" spans="1:13" x14ac:dyDescent="0.2">
      <c r="A14" s="33" t="s">
        <v>117</v>
      </c>
      <c r="B14" s="773">
        <v>1874</v>
      </c>
      <c r="C14" s="420"/>
      <c r="D14" s="420">
        <v>4415</v>
      </c>
      <c r="E14" s="420"/>
      <c r="F14" s="420">
        <v>0</v>
      </c>
      <c r="G14" s="420"/>
      <c r="H14" s="420">
        <v>4670</v>
      </c>
      <c r="I14" s="420"/>
      <c r="J14" s="420">
        <f>SUM(B14:H14)</f>
        <v>10959</v>
      </c>
    </row>
    <row r="15" spans="1:13" x14ac:dyDescent="0.2">
      <c r="A15" s="33" t="s">
        <v>496</v>
      </c>
      <c r="B15" s="510">
        <v>127</v>
      </c>
      <c r="C15" s="510"/>
      <c r="D15" s="420">
        <v>0</v>
      </c>
      <c r="E15" s="420"/>
      <c r="F15" s="420">
        <v>0</v>
      </c>
      <c r="G15" s="420"/>
      <c r="H15" s="420">
        <v>0</v>
      </c>
      <c r="I15" s="420"/>
      <c r="J15" s="420">
        <f>SUM(B15:H15)</f>
        <v>127</v>
      </c>
    </row>
    <row r="16" spans="1:13" x14ac:dyDescent="0.2">
      <c r="A16" t="s">
        <v>163</v>
      </c>
      <c r="B16" s="421">
        <f>82300</f>
        <v>82300</v>
      </c>
      <c r="C16" s="421"/>
      <c r="D16" s="420">
        <v>10000</v>
      </c>
      <c r="E16" s="420"/>
      <c r="F16" s="420">
        <v>0</v>
      </c>
      <c r="G16" s="420"/>
      <c r="H16" s="420">
        <v>5000</v>
      </c>
      <c r="I16" s="420"/>
      <c r="J16" s="420">
        <f t="shared" si="0"/>
        <v>97300</v>
      </c>
    </row>
    <row r="17" spans="1:13" x14ac:dyDescent="0.2">
      <c r="A17" t="s">
        <v>443</v>
      </c>
      <c r="B17" s="421">
        <v>3000</v>
      </c>
      <c r="C17" s="421"/>
      <c r="D17" s="421">
        <v>0</v>
      </c>
      <c r="E17" s="421"/>
      <c r="F17" s="421">
        <v>0</v>
      </c>
      <c r="G17" s="421"/>
      <c r="H17" s="421">
        <v>0</v>
      </c>
      <c r="I17" s="421"/>
      <c r="J17" s="421">
        <f t="shared" si="0"/>
        <v>3000</v>
      </c>
    </row>
    <row r="18" spans="1:13" x14ac:dyDescent="0.2">
      <c r="A18" t="s">
        <v>646</v>
      </c>
      <c r="B18" s="421">
        <v>27000</v>
      </c>
      <c r="C18" s="421"/>
      <c r="D18" s="421">
        <v>0</v>
      </c>
      <c r="E18" s="421"/>
      <c r="F18" s="421">
        <v>0</v>
      </c>
      <c r="G18" s="421"/>
      <c r="H18" s="421">
        <v>0</v>
      </c>
      <c r="I18" s="421"/>
      <c r="J18" s="421">
        <f t="shared" si="0"/>
        <v>27000</v>
      </c>
    </row>
    <row r="19" spans="1:13" x14ac:dyDescent="0.2">
      <c r="A19" t="s">
        <v>118</v>
      </c>
      <c r="B19" s="420">
        <v>3700</v>
      </c>
      <c r="C19" s="420"/>
      <c r="D19" s="420">
        <v>0</v>
      </c>
      <c r="E19" s="420"/>
      <c r="F19" s="420">
        <v>0</v>
      </c>
      <c r="G19" s="420"/>
      <c r="H19" s="420">
        <v>0</v>
      </c>
      <c r="I19" s="420"/>
      <c r="J19" s="420">
        <f t="shared" si="0"/>
        <v>3700</v>
      </c>
    </row>
    <row r="20" spans="1:13" x14ac:dyDescent="0.2">
      <c r="A20" t="s">
        <v>737</v>
      </c>
      <c r="B20" s="510">
        <f>53190-127</f>
        <v>53063</v>
      </c>
      <c r="C20" s="510"/>
      <c r="D20" s="420">
        <v>0</v>
      </c>
      <c r="E20" s="420"/>
      <c r="F20" s="420">
        <v>0</v>
      </c>
      <c r="G20" s="420"/>
      <c r="H20" s="420">
        <v>0</v>
      </c>
      <c r="I20" s="420"/>
      <c r="J20" s="420">
        <f t="shared" si="0"/>
        <v>53063</v>
      </c>
    </row>
    <row r="21" spans="1:13" x14ac:dyDescent="0.2">
      <c r="A21" t="s">
        <v>4</v>
      </c>
      <c r="B21" s="425">
        <v>1245</v>
      </c>
      <c r="C21" s="422"/>
      <c r="D21" s="425">
        <v>0</v>
      </c>
      <c r="E21" s="422"/>
      <c r="F21" s="425">
        <v>0</v>
      </c>
      <c r="G21" s="422"/>
      <c r="H21" s="425">
        <v>0</v>
      </c>
      <c r="I21" s="422"/>
      <c r="J21" s="425">
        <f t="shared" si="0"/>
        <v>1245</v>
      </c>
    </row>
    <row r="22" spans="1:13" ht="13.5" thickBot="1" x14ac:dyDescent="0.25">
      <c r="A22" s="4" t="s">
        <v>5</v>
      </c>
      <c r="B22" s="440">
        <f>SUM(B10:B21)</f>
        <v>844858</v>
      </c>
      <c r="C22" s="600"/>
      <c r="D22" s="440">
        <f>SUM(D10:D21)</f>
        <v>22415</v>
      </c>
      <c r="E22" s="600"/>
      <c r="F22" s="440">
        <f>SUM(F10:F21)</f>
        <v>23400</v>
      </c>
      <c r="G22" s="600"/>
      <c r="H22" s="440">
        <f>SUM(H10:H21)</f>
        <v>34921</v>
      </c>
      <c r="I22" s="600"/>
      <c r="J22" s="440">
        <f>SUM(J10:J21)</f>
        <v>925594</v>
      </c>
      <c r="M22" s="31"/>
    </row>
    <row r="23" spans="1:13" ht="13.5" thickTop="1" x14ac:dyDescent="0.2"/>
    <row r="24" spans="1:13" x14ac:dyDescent="0.2">
      <c r="A24" s="101" t="s">
        <v>6</v>
      </c>
      <c r="L24" s="232"/>
      <c r="M24" s="30"/>
    </row>
    <row r="25" spans="1:13" ht="25.5" x14ac:dyDescent="0.2">
      <c r="A25" s="251" t="s">
        <v>121</v>
      </c>
      <c r="B25" s="513">
        <f>103874+136</f>
        <v>104010</v>
      </c>
      <c r="C25" s="603"/>
      <c r="D25" s="430">
        <v>17000</v>
      </c>
      <c r="E25" s="597"/>
      <c r="F25" s="420">
        <v>0</v>
      </c>
      <c r="G25" s="422"/>
      <c r="H25" s="430">
        <v>5000</v>
      </c>
      <c r="I25" s="597"/>
      <c r="J25" s="430">
        <f>SUM(B25:H25)</f>
        <v>126010</v>
      </c>
    </row>
    <row r="26" spans="1:13" x14ac:dyDescent="0.2">
      <c r="A26" s="33" t="s">
        <v>19</v>
      </c>
      <c r="B26" s="420">
        <v>2200</v>
      </c>
      <c r="C26" s="422"/>
      <c r="D26" s="420">
        <v>0</v>
      </c>
      <c r="E26" s="422"/>
      <c r="F26" s="420">
        <v>0</v>
      </c>
      <c r="G26" s="422"/>
      <c r="H26" s="420">
        <v>0</v>
      </c>
      <c r="I26" s="422"/>
      <c r="J26" s="420">
        <f>SUM(B26:H26)</f>
        <v>2200</v>
      </c>
      <c r="M26" s="30"/>
    </row>
    <row r="27" spans="1:13" x14ac:dyDescent="0.2">
      <c r="A27" s="33" t="s">
        <v>456</v>
      </c>
      <c r="B27" s="420">
        <v>6055</v>
      </c>
      <c r="C27" s="422"/>
      <c r="D27" s="420">
        <v>0</v>
      </c>
      <c r="E27" s="422"/>
      <c r="F27" s="420">
        <v>0</v>
      </c>
      <c r="G27" s="422"/>
      <c r="H27" s="420">
        <v>570</v>
      </c>
      <c r="I27" s="422"/>
      <c r="J27" s="420">
        <f>SUM(B27:H27)</f>
        <v>6625</v>
      </c>
    </row>
    <row r="28" spans="1:13" x14ac:dyDescent="0.2">
      <c r="A28" s="4" t="s">
        <v>7</v>
      </c>
      <c r="B28" s="424">
        <f>SUM(B25:B27)</f>
        <v>112265</v>
      </c>
      <c r="C28" s="422"/>
      <c r="D28" s="424">
        <f>SUM(D25:D27)</f>
        <v>17000</v>
      </c>
      <c r="E28" s="422"/>
      <c r="F28" s="424">
        <f>SUM(F25:F27)</f>
        <v>0</v>
      </c>
      <c r="G28" s="422"/>
      <c r="H28" s="424">
        <f>SUM(H25:H27)</f>
        <v>5570</v>
      </c>
      <c r="I28" s="422"/>
      <c r="J28" s="424">
        <f>SUM(J25:J27)</f>
        <v>134835</v>
      </c>
    </row>
    <row r="29" spans="1:13" x14ac:dyDescent="0.2">
      <c r="A29" s="4"/>
      <c r="B29" s="422"/>
      <c r="C29" s="422"/>
      <c r="D29" s="422"/>
      <c r="E29" s="422"/>
      <c r="F29" s="422"/>
      <c r="G29" s="422"/>
      <c r="H29" s="422"/>
      <c r="I29" s="422"/>
      <c r="J29" s="422"/>
    </row>
    <row r="30" spans="1:13" s="293" customFormat="1" x14ac:dyDescent="0.2">
      <c r="A30" s="101" t="s">
        <v>594</v>
      </c>
      <c r="B30" s="423"/>
      <c r="C30" s="423"/>
      <c r="D30" s="423"/>
      <c r="E30" s="423"/>
      <c r="F30" s="423"/>
      <c r="G30" s="423"/>
      <c r="H30" s="423"/>
      <c r="I30" s="423"/>
      <c r="J30" s="423"/>
    </row>
    <row r="31" spans="1:13" s="293" customFormat="1" x14ac:dyDescent="0.2">
      <c r="A31" s="310" t="s">
        <v>624</v>
      </c>
      <c r="B31" s="423">
        <v>57180</v>
      </c>
      <c r="C31" s="423"/>
      <c r="D31" s="423">
        <v>0</v>
      </c>
      <c r="E31" s="423"/>
      <c r="F31" s="423">
        <v>0</v>
      </c>
      <c r="G31" s="423"/>
      <c r="H31" s="423">
        <v>0</v>
      </c>
      <c r="I31" s="423"/>
      <c r="J31" s="421">
        <f>SUM(B31:H31)</f>
        <v>57180</v>
      </c>
    </row>
    <row r="32" spans="1:13" s="293" customFormat="1" x14ac:dyDescent="0.2">
      <c r="A32" s="310" t="s">
        <v>742</v>
      </c>
      <c r="B32" s="423">
        <v>53002</v>
      </c>
      <c r="C32" s="423"/>
      <c r="D32" s="423">
        <v>0</v>
      </c>
      <c r="E32" s="423"/>
      <c r="F32" s="423">
        <v>0</v>
      </c>
      <c r="G32" s="423"/>
      <c r="H32" s="423">
        <v>0</v>
      </c>
      <c r="I32" s="423"/>
      <c r="J32" s="421">
        <f>SUM(B32:H32)</f>
        <v>53002</v>
      </c>
    </row>
    <row r="33" spans="1:14" s="293" customFormat="1" x14ac:dyDescent="0.2">
      <c r="A33" s="310" t="s">
        <v>602</v>
      </c>
      <c r="B33" s="423">
        <v>15502</v>
      </c>
      <c r="C33" s="423"/>
      <c r="D33" s="423">
        <v>0</v>
      </c>
      <c r="E33" s="423"/>
      <c r="F33" s="423">
        <v>0</v>
      </c>
      <c r="G33" s="423"/>
      <c r="H33" s="423">
        <v>0</v>
      </c>
      <c r="I33" s="423"/>
      <c r="J33" s="421">
        <f>SUM(B33:H33)</f>
        <v>15502</v>
      </c>
    </row>
    <row r="34" spans="1:14" s="293" customFormat="1" x14ac:dyDescent="0.2">
      <c r="A34" s="548" t="s">
        <v>564</v>
      </c>
      <c r="B34" s="509">
        <v>106458</v>
      </c>
      <c r="C34" s="602"/>
      <c r="D34" s="423"/>
      <c r="E34" s="423"/>
      <c r="F34" s="423"/>
      <c r="G34" s="423"/>
      <c r="H34" s="423"/>
      <c r="I34" s="423"/>
      <c r="J34" s="421">
        <f>SUM(B34:H34)</f>
        <v>106458</v>
      </c>
    </row>
    <row r="35" spans="1:14" s="293" customFormat="1" x14ac:dyDescent="0.2">
      <c r="A35" s="310" t="s">
        <v>595</v>
      </c>
      <c r="B35" s="750">
        <f>SUM(B31:B34)</f>
        <v>232142</v>
      </c>
      <c r="C35" s="423"/>
      <c r="D35" s="429">
        <f>SUM(D31:D33)</f>
        <v>0</v>
      </c>
      <c r="E35" s="423"/>
      <c r="F35" s="429">
        <f>SUM(F31:F33)</f>
        <v>0</v>
      </c>
      <c r="G35" s="423"/>
      <c r="H35" s="429">
        <f>SUM(H31:H33)</f>
        <v>0</v>
      </c>
      <c r="I35" s="423"/>
      <c r="J35" s="429">
        <f>SUM(B35:H35)</f>
        <v>232142</v>
      </c>
      <c r="L35" s="370"/>
    </row>
    <row r="36" spans="1:14" x14ac:dyDescent="0.2">
      <c r="A36" s="4"/>
      <c r="B36" s="422"/>
      <c r="C36" s="422"/>
      <c r="D36" s="422"/>
      <c r="E36" s="422"/>
      <c r="F36" s="422"/>
      <c r="G36" s="422"/>
      <c r="H36" s="422"/>
      <c r="I36" s="422"/>
      <c r="J36" s="422"/>
    </row>
    <row r="37" spans="1:14" x14ac:dyDescent="0.2">
      <c r="A37" s="101" t="s">
        <v>612</v>
      </c>
      <c r="L37" s="31"/>
    </row>
    <row r="38" spans="1:14" x14ac:dyDescent="0.2">
      <c r="A38" t="s">
        <v>560</v>
      </c>
    </row>
    <row r="39" spans="1:14" x14ac:dyDescent="0.2">
      <c r="A39" s="4" t="s">
        <v>4</v>
      </c>
      <c r="B39" s="421">
        <v>1245</v>
      </c>
      <c r="C39" s="421"/>
      <c r="D39" s="421">
        <v>0</v>
      </c>
      <c r="E39" s="421"/>
      <c r="F39" s="421">
        <v>0</v>
      </c>
      <c r="G39" s="421"/>
      <c r="H39" s="421">
        <v>0</v>
      </c>
      <c r="I39" s="421"/>
      <c r="J39" s="421">
        <f t="shared" ref="J39:J51" si="1">SUM(B39:H39)</f>
        <v>1245</v>
      </c>
    </row>
    <row r="40" spans="1:14" x14ac:dyDescent="0.2">
      <c r="A40" s="4" t="s">
        <v>742</v>
      </c>
      <c r="B40" s="421">
        <v>61</v>
      </c>
      <c r="C40" s="421"/>
      <c r="D40" s="421">
        <v>0</v>
      </c>
      <c r="E40" s="421"/>
      <c r="F40" s="421">
        <v>0</v>
      </c>
      <c r="G40" s="421"/>
      <c r="H40" s="421">
        <v>0</v>
      </c>
      <c r="I40" s="421"/>
      <c r="J40" s="421">
        <f t="shared" si="1"/>
        <v>61</v>
      </c>
    </row>
    <row r="41" spans="1:14" x14ac:dyDescent="0.2">
      <c r="A41" s="4" t="s">
        <v>494</v>
      </c>
      <c r="B41" s="421">
        <v>0</v>
      </c>
      <c r="C41" s="421"/>
      <c r="D41" s="421">
        <v>0</v>
      </c>
      <c r="E41" s="421"/>
      <c r="F41" s="421">
        <v>0</v>
      </c>
      <c r="G41" s="421"/>
      <c r="H41" s="421">
        <v>25056</v>
      </c>
      <c r="I41" s="421"/>
      <c r="J41" s="421">
        <f t="shared" si="1"/>
        <v>25056</v>
      </c>
    </row>
    <row r="42" spans="1:14" x14ac:dyDescent="0.2">
      <c r="A42" t="s">
        <v>562</v>
      </c>
      <c r="B42" s="421"/>
      <c r="C42" s="421"/>
      <c r="D42" s="421"/>
      <c r="E42" s="421"/>
      <c r="F42" s="421"/>
      <c r="G42" s="421"/>
      <c r="H42" s="421"/>
      <c r="I42" s="421"/>
      <c r="J42" s="421"/>
      <c r="L42" s="468"/>
    </row>
    <row r="43" spans="1:14" x14ac:dyDescent="0.2">
      <c r="A43" s="4" t="s">
        <v>574</v>
      </c>
      <c r="B43" s="421">
        <v>133379</v>
      </c>
      <c r="C43" s="421"/>
      <c r="D43" s="421">
        <v>0</v>
      </c>
      <c r="E43" s="421"/>
      <c r="F43" s="421">
        <v>0</v>
      </c>
      <c r="G43" s="421"/>
      <c r="H43" s="421">
        <v>0</v>
      </c>
      <c r="I43" s="421"/>
      <c r="J43" s="421">
        <f t="shared" si="1"/>
        <v>133379</v>
      </c>
    </row>
    <row r="44" spans="1:14" x14ac:dyDescent="0.2">
      <c r="A44" s="4" t="s">
        <v>563</v>
      </c>
      <c r="B44" s="421">
        <v>4084</v>
      </c>
      <c r="C44" s="421"/>
      <c r="D44" s="421">
        <v>0</v>
      </c>
      <c r="E44" s="421"/>
      <c r="F44" s="421">
        <v>0</v>
      </c>
      <c r="G44" s="421"/>
      <c r="H44" s="421">
        <v>0</v>
      </c>
      <c r="I44" s="421"/>
      <c r="J44" s="421">
        <f t="shared" si="1"/>
        <v>4084</v>
      </c>
    </row>
    <row r="45" spans="1:14" x14ac:dyDescent="0.2">
      <c r="A45" s="1" t="s">
        <v>564</v>
      </c>
      <c r="B45" s="421">
        <v>0</v>
      </c>
      <c r="C45" s="421"/>
      <c r="D45" s="421">
        <v>5415</v>
      </c>
      <c r="E45" s="421"/>
      <c r="F45" s="421">
        <v>0</v>
      </c>
      <c r="G45" s="421"/>
      <c r="H45" s="421">
        <v>0</v>
      </c>
      <c r="I45" s="421"/>
      <c r="J45" s="421">
        <f t="shared" si="1"/>
        <v>5415</v>
      </c>
      <c r="L45" s="421"/>
    </row>
    <row r="46" spans="1:14" x14ac:dyDescent="0.2">
      <c r="A46" s="298" t="s">
        <v>567</v>
      </c>
      <c r="B46" s="421">
        <f>30453+23459</f>
        <v>53912</v>
      </c>
      <c r="C46" s="421"/>
      <c r="D46" s="421">
        <v>0</v>
      </c>
      <c r="E46" s="421"/>
      <c r="F46" s="421">
        <v>0</v>
      </c>
      <c r="G46" s="421"/>
      <c r="H46" s="421">
        <v>0</v>
      </c>
      <c r="I46" s="421"/>
      <c r="J46" s="421">
        <f>SUM(B46:H46)</f>
        <v>53912</v>
      </c>
      <c r="K46" s="460"/>
      <c r="L46" s="459"/>
    </row>
    <row r="47" spans="1:14" x14ac:dyDescent="0.2">
      <c r="A47" s="298" t="s">
        <v>733</v>
      </c>
      <c r="B47" s="421">
        <v>0</v>
      </c>
      <c r="C47" s="421"/>
      <c r="D47" s="421">
        <v>0</v>
      </c>
      <c r="E47" s="421"/>
      <c r="F47" s="421">
        <v>0</v>
      </c>
      <c r="G47" s="421"/>
      <c r="H47" s="421">
        <v>4295</v>
      </c>
      <c r="I47" s="421"/>
      <c r="J47" s="421">
        <f>SUM(B47:H47)</f>
        <v>4295</v>
      </c>
      <c r="K47" s="460"/>
      <c r="L47" s="459"/>
    </row>
    <row r="48" spans="1:14" x14ac:dyDescent="0.2">
      <c r="A48" s="44" t="s">
        <v>561</v>
      </c>
      <c r="B48" s="421"/>
      <c r="C48" s="421"/>
      <c r="D48" s="421"/>
      <c r="E48" s="421"/>
      <c r="F48" s="421"/>
      <c r="G48" s="421"/>
      <c r="H48" s="421"/>
      <c r="I48" s="421"/>
      <c r="J48" s="421"/>
      <c r="L48" s="30"/>
      <c r="N48" s="30"/>
    </row>
    <row r="49" spans="1:12" ht="15.75" customHeight="1" x14ac:dyDescent="0.2">
      <c r="A49" s="33" t="s">
        <v>65</v>
      </c>
      <c r="B49" s="421">
        <v>0</v>
      </c>
      <c r="C49" s="421"/>
      <c r="D49" s="421">
        <v>0</v>
      </c>
      <c r="E49" s="421"/>
      <c r="F49" s="421">
        <v>23400</v>
      </c>
      <c r="G49" s="421"/>
      <c r="H49" s="421">
        <v>0</v>
      </c>
      <c r="I49" s="421"/>
      <c r="J49" s="421">
        <f t="shared" si="1"/>
        <v>23400</v>
      </c>
    </row>
    <row r="50" spans="1:12" x14ac:dyDescent="0.2">
      <c r="A50" s="288" t="s">
        <v>571</v>
      </c>
      <c r="B50" s="421">
        <v>76541</v>
      </c>
      <c r="C50" s="421"/>
      <c r="D50" s="421">
        <v>0</v>
      </c>
      <c r="E50" s="421"/>
      <c r="F50" s="421">
        <v>0</v>
      </c>
      <c r="G50" s="421"/>
      <c r="H50" s="421">
        <v>0</v>
      </c>
      <c r="I50" s="421"/>
      <c r="J50" s="421">
        <f t="shared" si="1"/>
        <v>76541</v>
      </c>
    </row>
    <row r="51" spans="1:12" x14ac:dyDescent="0.2">
      <c r="A51" s="19" t="s">
        <v>565</v>
      </c>
      <c r="B51" s="743">
        <f>B22-B28-B35-SUM(B39:B50)</f>
        <v>231229</v>
      </c>
      <c r="C51" s="423"/>
      <c r="D51" s="421">
        <v>0</v>
      </c>
      <c r="E51" s="423"/>
      <c r="F51" s="421">
        <v>0</v>
      </c>
      <c r="G51" s="423"/>
      <c r="H51" s="421">
        <v>0</v>
      </c>
      <c r="I51" s="423"/>
      <c r="J51" s="421">
        <f t="shared" si="1"/>
        <v>231229</v>
      </c>
      <c r="K51" s="460"/>
    </row>
    <row r="52" spans="1:12" x14ac:dyDescent="0.2">
      <c r="A52" s="32" t="s">
        <v>20</v>
      </c>
      <c r="B52" s="750">
        <f>SUM(B39:B51)</f>
        <v>500451</v>
      </c>
      <c r="C52" s="423"/>
      <c r="D52" s="429">
        <f>SUM(D39:D51)</f>
        <v>5415</v>
      </c>
      <c r="E52" s="423"/>
      <c r="F52" s="429">
        <f>SUM(F39:F51)</f>
        <v>23400</v>
      </c>
      <c r="G52" s="423"/>
      <c r="H52" s="429">
        <f>SUM(H39:H51)</f>
        <v>29351</v>
      </c>
      <c r="I52" s="423"/>
      <c r="J52" s="438">
        <f>SUM(J39:J51)</f>
        <v>558617</v>
      </c>
      <c r="L52" s="31"/>
    </row>
    <row r="53" spans="1:12" s="293" customFormat="1" ht="26.25" thickBot="1" x14ac:dyDescent="0.25">
      <c r="A53" s="230" t="s">
        <v>603</v>
      </c>
      <c r="B53" s="432">
        <f>+B28+B52+B35</f>
        <v>844858</v>
      </c>
      <c r="C53" s="444"/>
      <c r="D53" s="432">
        <f>+D28+D52</f>
        <v>22415</v>
      </c>
      <c r="E53" s="444"/>
      <c r="F53" s="432">
        <f>+F28+F52</f>
        <v>23400</v>
      </c>
      <c r="G53" s="444"/>
      <c r="H53" s="441">
        <f>+H28+H52</f>
        <v>34921</v>
      </c>
      <c r="I53" s="444"/>
      <c r="J53" s="442"/>
      <c r="L53" s="294"/>
    </row>
    <row r="54" spans="1:12" ht="13.5" thickTop="1" x14ac:dyDescent="0.2">
      <c r="B54" s="443"/>
      <c r="C54" s="443"/>
      <c r="D54" s="443"/>
      <c r="E54" s="443"/>
      <c r="F54" s="443"/>
      <c r="G54" s="443"/>
      <c r="H54" s="443"/>
      <c r="I54" s="443"/>
    </row>
    <row r="55" spans="1:12" x14ac:dyDescent="0.2">
      <c r="B55" s="443"/>
      <c r="C55" s="443"/>
      <c r="D55" s="443"/>
      <c r="E55" s="443"/>
      <c r="F55" s="443"/>
      <c r="G55" s="443"/>
      <c r="H55" s="443"/>
      <c r="I55" s="443"/>
      <c r="J55" s="604" t="s">
        <v>471</v>
      </c>
    </row>
    <row r="56" spans="1:12" x14ac:dyDescent="0.2">
      <c r="B56" s="443"/>
      <c r="C56" s="443"/>
      <c r="D56" s="443"/>
      <c r="E56" s="443"/>
      <c r="F56" s="443"/>
      <c r="G56" s="443"/>
      <c r="H56" s="443"/>
      <c r="I56" s="443"/>
      <c r="J56" s="443"/>
      <c r="L56" s="31"/>
    </row>
    <row r="57" spans="1:12" x14ac:dyDescent="0.2">
      <c r="B57" s="443"/>
      <c r="C57" s="443"/>
      <c r="D57" s="443"/>
      <c r="E57" s="443"/>
      <c r="F57" s="443"/>
      <c r="G57" s="443"/>
      <c r="H57" s="443"/>
      <c r="I57" s="443"/>
      <c r="J57" s="443"/>
    </row>
    <row r="58" spans="1:12" x14ac:dyDescent="0.2">
      <c r="B58" s="443"/>
      <c r="C58" s="443"/>
      <c r="D58" s="443"/>
      <c r="E58" s="443"/>
      <c r="F58" s="443"/>
      <c r="G58" s="443"/>
      <c r="H58" s="443"/>
      <c r="I58" s="443"/>
      <c r="J58" s="443"/>
    </row>
    <row r="59" spans="1:12" x14ac:dyDescent="0.2">
      <c r="B59" s="443"/>
      <c r="C59" s="443"/>
      <c r="D59" s="443"/>
      <c r="E59" s="443"/>
      <c r="F59" s="443"/>
      <c r="G59" s="443"/>
      <c r="H59" s="443"/>
      <c r="I59" s="443"/>
      <c r="J59" s="443"/>
    </row>
    <row r="60" spans="1:12" x14ac:dyDescent="0.2">
      <c r="B60" s="443"/>
      <c r="C60" s="443"/>
      <c r="D60" s="443"/>
      <c r="E60" s="443"/>
      <c r="F60" s="443"/>
      <c r="G60" s="443"/>
      <c r="H60" s="443"/>
      <c r="I60" s="443"/>
      <c r="J60" s="443"/>
    </row>
    <row r="61" spans="1:12" x14ac:dyDescent="0.2">
      <c r="B61" s="443"/>
      <c r="C61" s="443"/>
      <c r="D61" s="444"/>
      <c r="E61" s="444"/>
      <c r="F61" s="443"/>
      <c r="G61" s="443"/>
      <c r="H61" s="443"/>
      <c r="I61" s="443"/>
      <c r="J61" s="232"/>
    </row>
    <row r="62" spans="1:12" x14ac:dyDescent="0.2">
      <c r="B62" t="s">
        <v>172</v>
      </c>
      <c r="D62" s="228"/>
      <c r="E62" s="228"/>
    </row>
    <row r="63" spans="1:12" x14ac:dyDescent="0.2">
      <c r="D63" s="228" t="s">
        <v>0</v>
      </c>
      <c r="E63" s="228"/>
      <c r="J63" s="582"/>
    </row>
    <row r="64" spans="1:12" ht="15" customHeight="1" x14ac:dyDescent="0.2">
      <c r="B64" s="44" t="s">
        <v>172</v>
      </c>
      <c r="C64" s="44"/>
      <c r="D64" s="228" t="s">
        <v>14</v>
      </c>
      <c r="E64" s="228"/>
      <c r="F64" s="44"/>
      <c r="G64" s="44"/>
      <c r="H64" s="44"/>
      <c r="I64" s="44"/>
    </row>
    <row r="65" spans="1:10" ht="12.75" customHeight="1" x14ac:dyDescent="0.2">
      <c r="B65" s="44"/>
      <c r="C65" s="44"/>
      <c r="D65" s="228" t="s">
        <v>15</v>
      </c>
      <c r="E65" s="228"/>
      <c r="F65" s="44"/>
      <c r="G65" s="44"/>
      <c r="H65" s="44"/>
      <c r="I65" s="44"/>
      <c r="J65" s="445"/>
    </row>
    <row r="66" spans="1:10" ht="12.75" customHeight="1" x14ac:dyDescent="0.2">
      <c r="B66" s="44"/>
      <c r="C66" s="44"/>
      <c r="D66" s="543">
        <f>A4</f>
        <v>45838</v>
      </c>
      <c r="E66" s="543"/>
      <c r="F66" s="44"/>
      <c r="G66" s="44"/>
      <c r="H66" s="44"/>
      <c r="I66" s="44"/>
      <c r="J66" s="445"/>
    </row>
    <row r="67" spans="1:10" ht="12.75" customHeight="1" x14ac:dyDescent="0.2">
      <c r="B67" s="44"/>
      <c r="C67" s="44"/>
      <c r="D67" s="543"/>
      <c r="E67" s="543"/>
      <c r="F67" s="44"/>
      <c r="G67" s="44"/>
      <c r="H67" s="44"/>
      <c r="I67" s="44"/>
      <c r="J67" s="101" t="s">
        <v>23</v>
      </c>
    </row>
    <row r="68" spans="1:10" ht="12.75" customHeight="1" x14ac:dyDescent="0.2">
      <c r="B68" s="44"/>
      <c r="C68" s="44"/>
      <c r="D68" s="543"/>
      <c r="E68" s="543"/>
      <c r="F68" s="44"/>
      <c r="G68" s="44"/>
      <c r="H68" s="44"/>
      <c r="I68" s="44"/>
      <c r="J68" s="101"/>
    </row>
    <row r="69" spans="1:10" ht="12.75" customHeight="1" x14ac:dyDescent="0.2">
      <c r="B69" s="44"/>
      <c r="C69" s="44"/>
      <c r="D69" s="44"/>
      <c r="E69" s="44"/>
      <c r="F69" s="44"/>
      <c r="G69" s="44"/>
      <c r="H69" s="44"/>
      <c r="I69" s="44"/>
      <c r="J69" s="445"/>
    </row>
    <row r="70" spans="1:10" x14ac:dyDescent="0.2">
      <c r="A70" s="786" t="s">
        <v>613</v>
      </c>
      <c r="B70" s="786"/>
      <c r="C70" s="786"/>
      <c r="D70" s="786"/>
      <c r="E70" s="786"/>
      <c r="F70" s="786"/>
      <c r="G70" s="786"/>
      <c r="H70" s="786"/>
      <c r="I70" s="241"/>
    </row>
    <row r="71" spans="1:10" ht="13.5" customHeight="1" x14ac:dyDescent="0.2">
      <c r="A71" s="782" t="s">
        <v>787</v>
      </c>
      <c r="B71" s="783"/>
      <c r="C71" s="783"/>
      <c r="D71" s="783"/>
      <c r="E71" s="783"/>
      <c r="F71" s="783"/>
      <c r="G71" s="230"/>
      <c r="I71" s="303"/>
      <c r="J71" s="465">
        <f>J52</f>
        <v>558617</v>
      </c>
    </row>
    <row r="72" spans="1:10" ht="25.5" customHeight="1" x14ac:dyDescent="0.2">
      <c r="A72" s="782" t="s">
        <v>22</v>
      </c>
      <c r="B72" s="784"/>
      <c r="C72" s="784"/>
      <c r="D72" s="784"/>
      <c r="E72" s="784"/>
      <c r="F72" s="784"/>
      <c r="G72" s="231"/>
      <c r="I72" s="251"/>
      <c r="J72" s="420"/>
    </row>
    <row r="73" spans="1:10" ht="12.75" customHeight="1" x14ac:dyDescent="0.2">
      <c r="A73" s="785" t="s">
        <v>520</v>
      </c>
      <c r="B73" s="785"/>
      <c r="C73" s="785"/>
      <c r="D73" s="785"/>
      <c r="E73" s="785"/>
      <c r="F73" s="785"/>
      <c r="G73" s="542"/>
      <c r="H73" s="518">
        <f>7817894</f>
        <v>7817894</v>
      </c>
      <c r="I73" s="518"/>
      <c r="J73" s="420"/>
    </row>
    <row r="74" spans="1:10" ht="12.75" customHeight="1" x14ac:dyDescent="0.2">
      <c r="A74" s="785" t="s">
        <v>519</v>
      </c>
      <c r="B74" s="785"/>
      <c r="C74" s="785"/>
      <c r="D74" s="785"/>
      <c r="E74" s="785"/>
      <c r="F74" s="785"/>
      <c r="G74" s="1"/>
      <c r="H74" s="238">
        <v>-3463814</v>
      </c>
      <c r="I74" s="238"/>
      <c r="J74" s="420"/>
    </row>
    <row r="75" spans="1:10" ht="25.5" customHeight="1" x14ac:dyDescent="0.2">
      <c r="A75" s="789" t="s">
        <v>636</v>
      </c>
      <c r="B75" s="789"/>
      <c r="C75" s="789"/>
      <c r="D75" s="789"/>
      <c r="E75" s="789"/>
      <c r="F75" s="789"/>
      <c r="G75" s="542"/>
      <c r="H75" s="239">
        <v>-24670</v>
      </c>
      <c r="I75" s="238"/>
      <c r="J75" s="420"/>
    </row>
    <row r="76" spans="1:10" ht="12.75" customHeight="1" x14ac:dyDescent="0.2">
      <c r="B76" s="542"/>
      <c r="C76" s="542"/>
      <c r="D76" s="542"/>
      <c r="E76" s="542"/>
      <c r="F76" s="542"/>
      <c r="G76" s="542"/>
      <c r="H76" s="238"/>
      <c r="I76" s="238"/>
      <c r="J76" s="420">
        <f>SUM(H73:H75)</f>
        <v>4329410</v>
      </c>
    </row>
    <row r="77" spans="1:10" ht="12.75" customHeight="1" x14ac:dyDescent="0.2">
      <c r="G77" s="231"/>
      <c r="I77" s="251"/>
      <c r="J77" s="420"/>
    </row>
    <row r="78" spans="1:10" x14ac:dyDescent="0.2">
      <c r="A78" s="784" t="s">
        <v>746</v>
      </c>
      <c r="B78" s="784"/>
      <c r="C78" s="784"/>
      <c r="D78" s="784"/>
      <c r="E78" s="784"/>
      <c r="F78" s="784"/>
      <c r="G78" s="231"/>
      <c r="I78" s="251"/>
      <c r="J78" s="420"/>
    </row>
    <row r="79" spans="1:10" ht="12.75" customHeight="1" x14ac:dyDescent="0.2">
      <c r="A79" s="1" t="s">
        <v>743</v>
      </c>
      <c r="C79" s="231"/>
      <c r="D79" s="231"/>
      <c r="E79" s="231"/>
      <c r="F79" s="231"/>
      <c r="G79" s="542"/>
      <c r="H79" s="518">
        <v>168135</v>
      </c>
      <c r="I79" s="518"/>
      <c r="J79" s="420"/>
    </row>
    <row r="80" spans="1:10" ht="12.75" customHeight="1" x14ac:dyDescent="0.2">
      <c r="A80" s="1" t="s">
        <v>738</v>
      </c>
      <c r="C80" s="231"/>
      <c r="D80" s="231"/>
      <c r="E80" s="542"/>
      <c r="F80" s="1"/>
      <c r="G80" s="1"/>
      <c r="H80" s="239">
        <v>-58624</v>
      </c>
      <c r="I80" s="238"/>
      <c r="J80" s="510"/>
    </row>
    <row r="81" spans="1:14" ht="12.75" customHeight="1" x14ac:dyDescent="0.2">
      <c r="A81" s="1"/>
      <c r="C81" s="231"/>
      <c r="D81" s="231"/>
      <c r="E81" s="542"/>
      <c r="F81" s="1"/>
      <c r="G81" s="1"/>
      <c r="H81" s="238"/>
      <c r="I81" s="238"/>
      <c r="J81" s="510">
        <f>SUM(H79:H80)</f>
        <v>109511</v>
      </c>
    </row>
    <row r="82" spans="1:14" x14ac:dyDescent="0.2">
      <c r="A82" s="790" t="s">
        <v>666</v>
      </c>
      <c r="B82" s="790"/>
      <c r="C82" s="790"/>
      <c r="D82" s="790"/>
      <c r="E82" s="790"/>
      <c r="F82" s="790"/>
      <c r="G82" s="231"/>
      <c r="H82" s="238"/>
      <c r="I82" s="238"/>
      <c r="J82" s="421">
        <f>366897-6914</f>
        <v>359983</v>
      </c>
      <c r="K82" s="417"/>
      <c r="M82" s="30"/>
      <c r="N82" s="30"/>
    </row>
    <row r="83" spans="1:14" x14ac:dyDescent="0.2">
      <c r="A83" s="790" t="s">
        <v>697</v>
      </c>
      <c r="B83" s="790"/>
      <c r="C83" s="790"/>
      <c r="D83" s="790"/>
      <c r="E83" s="790"/>
      <c r="F83" s="790"/>
      <c r="G83" s="231"/>
      <c r="H83" s="238"/>
      <c r="I83" s="238"/>
      <c r="J83" s="421">
        <f>'1-GWNetPos'!B36-776</f>
        <v>38330.99</v>
      </c>
      <c r="M83" s="30"/>
      <c r="N83" s="30"/>
    </row>
    <row r="84" spans="1:14" ht="25.5" customHeight="1" x14ac:dyDescent="0.2">
      <c r="A84" s="783" t="s">
        <v>637</v>
      </c>
      <c r="B84" s="783"/>
      <c r="C84" s="783"/>
      <c r="D84" s="783"/>
      <c r="E84" s="783"/>
      <c r="F84" s="783"/>
      <c r="G84" s="231"/>
      <c r="H84" s="231"/>
      <c r="I84" s="251"/>
      <c r="J84" s="421">
        <f>12949-800+800+69-69</f>
        <v>12949</v>
      </c>
    </row>
    <row r="85" spans="1:14" ht="38.25" customHeight="1" x14ac:dyDescent="0.2">
      <c r="A85" s="789" t="s">
        <v>627</v>
      </c>
      <c r="B85" s="789"/>
      <c r="C85" s="789"/>
      <c r="D85" s="789"/>
      <c r="E85" s="789"/>
      <c r="F85" s="789"/>
      <c r="G85" s="251"/>
      <c r="H85" s="608">
        <v>32704</v>
      </c>
      <c r="I85" s="238"/>
      <c r="J85" s="420"/>
    </row>
    <row r="86" spans="1:14" ht="25.5" customHeight="1" x14ac:dyDescent="0.2">
      <c r="A86" s="785" t="s">
        <v>531</v>
      </c>
      <c r="B86" s="785"/>
      <c r="C86" s="785"/>
      <c r="D86" s="785"/>
      <c r="E86" s="785"/>
      <c r="F86" s="785"/>
      <c r="G86" s="231"/>
      <c r="H86" s="239">
        <v>-300</v>
      </c>
      <c r="I86" s="238"/>
      <c r="J86" s="420"/>
    </row>
    <row r="87" spans="1:14" x14ac:dyDescent="0.2">
      <c r="A87" s="241"/>
      <c r="B87" s="241"/>
      <c r="C87" s="241"/>
      <c r="D87" s="241"/>
      <c r="E87" s="241"/>
      <c r="F87" s="241"/>
      <c r="G87" s="231"/>
      <c r="H87" s="238"/>
      <c r="I87" s="238"/>
      <c r="J87" s="420">
        <f>SUM(H85:H86)</f>
        <v>32404</v>
      </c>
    </row>
    <row r="88" spans="1:14" x14ac:dyDescent="0.2">
      <c r="A88" s="783" t="s">
        <v>638</v>
      </c>
      <c r="B88" s="783"/>
      <c r="C88" s="783"/>
      <c r="D88" s="783"/>
      <c r="E88" s="783"/>
      <c r="F88" s="783"/>
      <c r="G88" s="251"/>
      <c r="H88" s="33"/>
      <c r="I88" s="33"/>
      <c r="J88" s="420">
        <f>63235-6055</f>
        <v>57180</v>
      </c>
    </row>
    <row r="89" spans="1:14" ht="25.5" customHeight="1" x14ac:dyDescent="0.2">
      <c r="A89" s="784" t="s">
        <v>575</v>
      </c>
      <c r="B89" s="784"/>
      <c r="C89" s="784"/>
      <c r="D89" s="784"/>
      <c r="E89" s="784"/>
      <c r="F89" s="784"/>
      <c r="G89" s="231"/>
      <c r="H89" s="231"/>
      <c r="I89" s="251"/>
    </row>
    <row r="90" spans="1:14" ht="25.5" customHeight="1" x14ac:dyDescent="0.2">
      <c r="A90" s="789" t="s">
        <v>614</v>
      </c>
      <c r="B90" s="789"/>
      <c r="C90" s="789"/>
      <c r="D90" s="789"/>
      <c r="E90" s="789"/>
      <c r="F90" s="789"/>
      <c r="G90" s="241"/>
      <c r="H90" s="608">
        <f>-542161+2400</f>
        <v>-539761</v>
      </c>
      <c r="I90" s="238"/>
    </row>
    <row r="91" spans="1:14" x14ac:dyDescent="0.2">
      <c r="A91" s="607" t="s">
        <v>657</v>
      </c>
      <c r="C91" s="311"/>
      <c r="D91" s="542"/>
      <c r="E91" s="542"/>
      <c r="F91" s="241"/>
      <c r="G91" s="241"/>
      <c r="H91" s="238">
        <f>-'1-GWNetPos'!F52*0.605+7923</f>
        <v>-388210.43</v>
      </c>
      <c r="I91" s="238"/>
    </row>
    <row r="92" spans="1:14" x14ac:dyDescent="0.2">
      <c r="A92" s="310" t="s">
        <v>671</v>
      </c>
      <c r="C92" s="311"/>
      <c r="D92" s="542"/>
      <c r="E92" s="542"/>
      <c r="F92" s="241"/>
      <c r="G92" s="241"/>
      <c r="H92" s="238">
        <f>-'1-GWNetPos'!B53</f>
        <v>-219382</v>
      </c>
      <c r="I92" s="238"/>
    </row>
    <row r="93" spans="1:14" x14ac:dyDescent="0.2">
      <c r="A93" s="310" t="s">
        <v>711</v>
      </c>
      <c r="C93" s="311"/>
      <c r="D93" s="542"/>
      <c r="E93" s="542"/>
      <c r="F93" s="241"/>
      <c r="G93" s="241"/>
      <c r="H93" s="239">
        <f>-'1-GWNetPos'!B54+14368</f>
        <v>-710011.20499999996</v>
      </c>
      <c r="I93" s="238"/>
      <c r="J93" s="422"/>
    </row>
    <row r="94" spans="1:14" x14ac:dyDescent="0.2">
      <c r="A94" s="310"/>
      <c r="C94" s="311"/>
      <c r="D94" s="542"/>
      <c r="E94" s="542"/>
      <c r="F94" s="241"/>
      <c r="G94" s="241"/>
      <c r="H94" s="238"/>
      <c r="I94" s="238"/>
      <c r="J94" s="422">
        <f>SUM(H90:H93)</f>
        <v>-1857364.6349999998</v>
      </c>
    </row>
    <row r="95" spans="1:14" x14ac:dyDescent="0.2">
      <c r="A95" s="783" t="s">
        <v>667</v>
      </c>
      <c r="B95" s="783"/>
      <c r="C95" s="783"/>
      <c r="D95" s="783"/>
      <c r="E95" s="783"/>
      <c r="F95" s="783"/>
      <c r="G95" s="231"/>
      <c r="I95" s="231"/>
      <c r="J95" s="423">
        <f>-'1-GWNetPos'!B62+166</f>
        <v>-12289.339999999993</v>
      </c>
      <c r="L95" s="402"/>
    </row>
    <row r="96" spans="1:14" x14ac:dyDescent="0.2">
      <c r="A96" s="783" t="s">
        <v>698</v>
      </c>
      <c r="B96" s="783"/>
      <c r="C96" s="783"/>
      <c r="D96" s="783"/>
      <c r="E96" s="783"/>
      <c r="F96" s="783"/>
      <c r="G96" s="231"/>
      <c r="I96" s="231"/>
      <c r="J96" s="609">
        <f>-'1-GWNetPos'!B63+73</f>
        <v>-3595.1149999999998</v>
      </c>
      <c r="L96" s="402"/>
      <c r="M96" s="610"/>
    </row>
    <row r="97" spans="1:13" ht="25.5" customHeight="1" x14ac:dyDescent="0.2">
      <c r="A97" s="782" t="s">
        <v>788</v>
      </c>
      <c r="B97" s="784"/>
      <c r="C97" s="784"/>
      <c r="D97" s="784"/>
      <c r="E97" s="784"/>
      <c r="F97" s="784"/>
      <c r="G97" s="231"/>
      <c r="I97" s="251"/>
      <c r="J97" s="435">
        <v>-2489</v>
      </c>
    </row>
    <row r="98" spans="1:13" ht="12.75" customHeight="1" thickBot="1" x14ac:dyDescent="0.25">
      <c r="B98" s="611" t="s">
        <v>615</v>
      </c>
      <c r="C98" s="287"/>
      <c r="D98" s="33"/>
      <c r="E98" s="33"/>
      <c r="J98" s="446">
        <f>SUM(J70:J97)</f>
        <v>3622646.9000000004</v>
      </c>
      <c r="K98" s="232"/>
      <c r="L98" s="232">
        <f>J98-'1-GWNetPos'!B76</f>
        <v>6.5000000409781933E-2</v>
      </c>
      <c r="M98" s="232"/>
    </row>
    <row r="99" spans="1:13" ht="12.75" customHeight="1" thickTop="1" x14ac:dyDescent="0.2">
      <c r="B99" s="611"/>
      <c r="C99" s="287"/>
      <c r="D99" s="33"/>
      <c r="E99" s="33"/>
      <c r="J99" s="443"/>
      <c r="K99" s="232"/>
      <c r="L99" s="232"/>
      <c r="M99" s="232"/>
    </row>
    <row r="100" spans="1:13" ht="13.5" thickBot="1" x14ac:dyDescent="0.25">
      <c r="K100" s="401"/>
      <c r="M100" s="232"/>
    </row>
    <row r="101" spans="1:13" x14ac:dyDescent="0.2">
      <c r="A101" s="791" t="s">
        <v>654</v>
      </c>
      <c r="B101" s="792"/>
      <c r="C101" s="792"/>
      <c r="D101" s="792"/>
      <c r="E101" s="792"/>
      <c r="F101" s="792"/>
      <c r="G101" s="792"/>
      <c r="H101" s="792"/>
      <c r="I101" s="792"/>
      <c r="J101" s="793"/>
      <c r="K101" s="401"/>
    </row>
    <row r="102" spans="1:13" x14ac:dyDescent="0.2">
      <c r="A102" s="794"/>
      <c r="B102" s="795"/>
      <c r="C102" s="795"/>
      <c r="D102" s="795"/>
      <c r="E102" s="795"/>
      <c r="F102" s="795"/>
      <c r="G102" s="795"/>
      <c r="H102" s="795"/>
      <c r="I102" s="795"/>
      <c r="J102" s="796"/>
    </row>
    <row r="103" spans="1:13" ht="13.5" thickBot="1" x14ac:dyDescent="0.25">
      <c r="A103" s="797"/>
      <c r="B103" s="798"/>
      <c r="C103" s="798"/>
      <c r="D103" s="798"/>
      <c r="E103" s="798"/>
      <c r="F103" s="798"/>
      <c r="G103" s="798"/>
      <c r="H103" s="798"/>
      <c r="I103" s="798"/>
      <c r="J103" s="799"/>
    </row>
    <row r="104" spans="1:13" x14ac:dyDescent="0.2">
      <c r="A104" s="231"/>
      <c r="B104" s="231"/>
      <c r="C104" s="231"/>
      <c r="D104" s="231"/>
      <c r="E104" s="231"/>
      <c r="F104" s="231"/>
      <c r="G104" s="231"/>
      <c r="H104" s="231"/>
      <c r="I104" s="231"/>
      <c r="J104" s="231"/>
    </row>
    <row r="105" spans="1:13" x14ac:dyDescent="0.2">
      <c r="A105" t="s">
        <v>8</v>
      </c>
      <c r="J105" s="232"/>
      <c r="K105" s="401"/>
    </row>
    <row r="106" spans="1:13" x14ac:dyDescent="0.2">
      <c r="J106" s="447"/>
    </row>
  </sheetData>
  <mergeCells count="23">
    <mergeCell ref="A84:F84"/>
    <mergeCell ref="A85:F85"/>
    <mergeCell ref="A101:J103"/>
    <mergeCell ref="A96:F96"/>
    <mergeCell ref="A97:F97"/>
    <mergeCell ref="A86:F86"/>
    <mergeCell ref="A88:F88"/>
    <mergeCell ref="A89:F89"/>
    <mergeCell ref="A90:F90"/>
    <mergeCell ref="A95:F95"/>
    <mergeCell ref="A74:F74"/>
    <mergeCell ref="A75:F75"/>
    <mergeCell ref="A78:F78"/>
    <mergeCell ref="A82:F82"/>
    <mergeCell ref="A83:F83"/>
    <mergeCell ref="A71:F71"/>
    <mergeCell ref="A72:F72"/>
    <mergeCell ref="A73:F73"/>
    <mergeCell ref="A70:H70"/>
    <mergeCell ref="A1:J1"/>
    <mergeCell ref="A2:J2"/>
    <mergeCell ref="A3:J3"/>
    <mergeCell ref="A4:J4"/>
  </mergeCells>
  <printOptions horizontalCentered="1"/>
  <pageMargins left="0.7" right="0.7" top="0.75" bottom="0.75" header="0.3" footer="0.3"/>
  <pageSetup scale="77" fitToHeight="0" orientation="portrait" r:id="rId1"/>
  <rowBreaks count="2" manualBreakCount="2">
    <brk id="61" max="5" man="1"/>
    <brk id="105" max="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FF00"/>
    <pageSetUpPr fitToPage="1"/>
  </sheetPr>
  <dimension ref="A1:X45"/>
  <sheetViews>
    <sheetView topLeftCell="A24" workbookViewId="0">
      <selection activeCell="A41" sqref="A41:L41"/>
    </sheetView>
  </sheetViews>
  <sheetFormatPr defaultColWidth="9.140625" defaultRowHeight="12.75" x14ac:dyDescent="0.2"/>
  <cols>
    <col min="1" max="2" width="2.42578125" style="273" customWidth="1"/>
    <col min="3" max="3" width="26.5703125" style="273" customWidth="1"/>
    <col min="4" max="4" width="13.140625" style="273" customWidth="1"/>
    <col min="5" max="5" width="1.7109375" style="273" customWidth="1"/>
    <col min="6" max="6" width="4.140625" style="273" customWidth="1"/>
    <col min="7" max="7" width="1.7109375" style="273" customWidth="1"/>
    <col min="8" max="8" width="10" style="273" customWidth="1"/>
    <col min="9" max="9" width="2.7109375" style="273" customWidth="1"/>
    <col min="10" max="10" width="11.140625" style="273" customWidth="1"/>
    <col min="11" max="11" width="1.7109375" style="273" customWidth="1"/>
    <col min="12" max="12" width="9.28515625" style="273" customWidth="1"/>
    <col min="13" max="14" width="10" style="273" bestFit="1" customWidth="1"/>
    <col min="15" max="15" width="9.140625" style="273"/>
    <col min="16" max="16" width="15.42578125" style="273" bestFit="1" customWidth="1"/>
    <col min="17" max="17" width="15" style="273" bestFit="1" customWidth="1"/>
    <col min="18" max="18" width="11.42578125" style="273" bestFit="1" customWidth="1"/>
    <col min="19" max="16384" width="9.140625" style="273"/>
  </cols>
  <sheetData>
    <row r="1" spans="1:18" s="281" customFormat="1" x14ac:dyDescent="0.2">
      <c r="A1" s="912" t="s">
        <v>136</v>
      </c>
      <c r="B1" s="912"/>
      <c r="C1" s="912"/>
      <c r="D1" s="912"/>
      <c r="E1" s="912"/>
      <c r="F1" s="912"/>
      <c r="G1" s="912"/>
      <c r="H1" s="912"/>
      <c r="I1" s="912"/>
      <c r="J1" s="912"/>
      <c r="K1" s="912"/>
      <c r="L1" s="912"/>
    </row>
    <row r="2" spans="1:18" s="281" customFormat="1" x14ac:dyDescent="0.2">
      <c r="A2" s="912" t="s">
        <v>359</v>
      </c>
      <c r="B2" s="912"/>
      <c r="C2" s="912"/>
      <c r="D2" s="912"/>
      <c r="E2" s="912"/>
      <c r="F2" s="912"/>
      <c r="G2" s="912"/>
      <c r="H2" s="912"/>
      <c r="I2" s="912"/>
      <c r="J2" s="912"/>
      <c r="K2" s="912"/>
      <c r="L2" s="912"/>
    </row>
    <row r="3" spans="1:18" s="281" customFormat="1" x14ac:dyDescent="0.2">
      <c r="A3" s="912" t="s">
        <v>360</v>
      </c>
      <c r="B3" s="912"/>
      <c r="C3" s="912"/>
      <c r="D3" s="912"/>
      <c r="E3" s="912"/>
      <c r="F3" s="912"/>
      <c r="G3" s="912"/>
      <c r="H3" s="912"/>
      <c r="I3" s="912"/>
      <c r="J3" s="912"/>
      <c r="K3" s="912"/>
      <c r="L3" s="912"/>
    </row>
    <row r="4" spans="1:18" s="281" customFormat="1" x14ac:dyDescent="0.2">
      <c r="A4" s="913">
        <v>45838</v>
      </c>
      <c r="B4" s="913"/>
      <c r="C4" s="913"/>
      <c r="D4" s="913"/>
      <c r="E4" s="913"/>
      <c r="F4" s="913"/>
      <c r="G4" s="913"/>
      <c r="H4" s="913"/>
      <c r="I4" s="913"/>
      <c r="J4" s="913"/>
      <c r="K4" s="913"/>
      <c r="L4" s="913"/>
    </row>
    <row r="5" spans="1:18" s="281" customFormat="1" x14ac:dyDescent="0.2">
      <c r="A5" s="596"/>
      <c r="B5" s="596"/>
      <c r="C5" s="596"/>
      <c r="D5" s="596"/>
      <c r="E5" s="596"/>
      <c r="F5" s="596"/>
      <c r="G5" s="596"/>
      <c r="H5" s="596"/>
      <c r="I5" s="596"/>
      <c r="J5" s="596"/>
      <c r="K5" s="596"/>
      <c r="L5" s="596"/>
    </row>
    <row r="6" spans="1:18" s="281" customFormat="1" x14ac:dyDescent="0.2">
      <c r="A6" s="596"/>
      <c r="B6" s="596"/>
      <c r="C6" s="596"/>
      <c r="D6" s="596"/>
      <c r="E6" s="596"/>
      <c r="F6" s="596"/>
      <c r="G6" s="596"/>
      <c r="H6" s="596"/>
      <c r="I6" s="596"/>
      <c r="J6" s="596"/>
      <c r="K6" s="596"/>
      <c r="L6" s="596"/>
    </row>
    <row r="7" spans="1:18" ht="13.5" thickBot="1" x14ac:dyDescent="0.25">
      <c r="A7" s="115"/>
      <c r="B7" s="115"/>
      <c r="C7" s="115"/>
      <c r="D7" s="115"/>
      <c r="E7" s="115"/>
      <c r="F7" s="115"/>
      <c r="G7" s="115"/>
      <c r="H7" s="115"/>
      <c r="I7" s="116"/>
      <c r="J7" s="116"/>
      <c r="K7" s="116"/>
      <c r="L7" s="116"/>
    </row>
    <row r="8" spans="1:18" x14ac:dyDescent="0.2">
      <c r="A8" s="34"/>
      <c r="B8" s="34"/>
      <c r="C8" s="34"/>
      <c r="D8" s="34"/>
      <c r="E8" s="34"/>
      <c r="F8" s="34"/>
      <c r="G8" s="34"/>
      <c r="H8" s="34"/>
      <c r="I8" s="34"/>
      <c r="J8" s="914" t="s">
        <v>361</v>
      </c>
      <c r="K8" s="914"/>
      <c r="L8" s="914"/>
    </row>
    <row r="9" spans="1:18" x14ac:dyDescent="0.2">
      <c r="A9" s="34"/>
      <c r="B9" s="34"/>
      <c r="C9" s="36"/>
      <c r="D9" s="34"/>
      <c r="E9" s="34"/>
      <c r="F9" s="34"/>
      <c r="G9" s="34"/>
      <c r="H9" s="34"/>
      <c r="I9" s="34"/>
      <c r="J9" s="117" t="s">
        <v>362</v>
      </c>
      <c r="K9" s="34"/>
      <c r="L9" s="34"/>
    </row>
    <row r="10" spans="1:18" x14ac:dyDescent="0.2">
      <c r="A10" s="34"/>
      <c r="B10" s="34"/>
      <c r="C10" s="34"/>
      <c r="D10" s="34"/>
      <c r="E10" s="34"/>
      <c r="F10" s="34"/>
      <c r="G10" s="34"/>
      <c r="H10" s="34"/>
      <c r="I10" s="34"/>
      <c r="J10" s="117" t="s">
        <v>363</v>
      </c>
      <c r="K10" s="34"/>
      <c r="L10" s="34"/>
    </row>
    <row r="11" spans="1:18" x14ac:dyDescent="0.2">
      <c r="A11" s="34"/>
      <c r="B11" s="34"/>
      <c r="C11" s="34"/>
      <c r="D11" s="915" t="s">
        <v>364</v>
      </c>
      <c r="E11" s="915"/>
      <c r="F11" s="915"/>
      <c r="G11" s="915"/>
      <c r="H11" s="915"/>
      <c r="I11" s="34"/>
      <c r="J11" s="117" t="s">
        <v>365</v>
      </c>
      <c r="K11" s="34"/>
      <c r="L11" s="34" t="s">
        <v>365</v>
      </c>
    </row>
    <row r="12" spans="1:18" x14ac:dyDescent="0.2">
      <c r="A12" s="34"/>
      <c r="B12" s="34"/>
      <c r="C12" s="34"/>
      <c r="D12" s="117" t="s">
        <v>362</v>
      </c>
      <c r="E12" s="34"/>
      <c r="F12" s="34"/>
      <c r="G12" s="34"/>
      <c r="H12" s="117" t="s">
        <v>1</v>
      </c>
      <c r="I12" s="34"/>
      <c r="J12" s="117" t="s">
        <v>366</v>
      </c>
      <c r="K12" s="34"/>
      <c r="L12" s="117" t="s">
        <v>366</v>
      </c>
    </row>
    <row r="13" spans="1:18" x14ac:dyDescent="0.2">
      <c r="A13" s="34"/>
      <c r="B13" s="34"/>
      <c r="C13" s="34"/>
      <c r="D13" s="118" t="s">
        <v>151</v>
      </c>
      <c r="E13" s="34"/>
      <c r="F13" s="118" t="s">
        <v>367</v>
      </c>
      <c r="G13" s="34"/>
      <c r="H13" s="118" t="s">
        <v>368</v>
      </c>
      <c r="I13" s="34"/>
      <c r="J13" s="547" t="s">
        <v>369</v>
      </c>
      <c r="K13" s="34"/>
      <c r="L13" s="547" t="s">
        <v>369</v>
      </c>
      <c r="P13" s="373"/>
    </row>
    <row r="14" spans="1:18" x14ac:dyDescent="0.2">
      <c r="A14" s="35" t="s">
        <v>370</v>
      </c>
      <c r="B14" s="35"/>
      <c r="C14" s="34"/>
      <c r="D14" s="34"/>
      <c r="E14" s="34"/>
      <c r="F14" s="34"/>
      <c r="G14" s="34"/>
      <c r="H14" s="34"/>
      <c r="I14" s="34"/>
      <c r="J14" s="34"/>
      <c r="K14" s="34"/>
      <c r="L14" s="34"/>
      <c r="P14" s="373"/>
      <c r="Q14" s="373"/>
    </row>
    <row r="15" spans="1:18" x14ac:dyDescent="0.2">
      <c r="A15" s="34"/>
      <c r="B15" s="35" t="s">
        <v>625</v>
      </c>
      <c r="C15" s="34"/>
      <c r="D15" s="36">
        <f>161311321</f>
        <v>161311321</v>
      </c>
      <c r="E15" s="34"/>
      <c r="F15" s="117" t="s">
        <v>371</v>
      </c>
      <c r="G15" s="34"/>
      <c r="H15" s="36">
        <f>D15*F15/100</f>
        <v>967867.92599999998</v>
      </c>
      <c r="I15" s="34"/>
      <c r="J15" s="36">
        <f>H15*0.964376</f>
        <v>933388.59900417598</v>
      </c>
      <c r="K15" s="34"/>
      <c r="L15" s="36">
        <f>H15-J15</f>
        <v>34479.326995823998</v>
      </c>
      <c r="P15" s="373"/>
      <c r="R15" s="374"/>
    </row>
    <row r="16" spans="1:18" x14ac:dyDescent="0.2">
      <c r="A16" s="34"/>
      <c r="B16" s="34"/>
      <c r="C16" s="34"/>
      <c r="D16" s="34"/>
      <c r="E16" s="34"/>
      <c r="F16" s="34"/>
      <c r="G16" s="34"/>
      <c r="H16" s="34"/>
      <c r="I16" s="34"/>
      <c r="J16" s="34"/>
      <c r="K16" s="34"/>
      <c r="L16" s="34"/>
    </row>
    <row r="17" spans="1:18" x14ac:dyDescent="0.2">
      <c r="A17" s="35" t="s">
        <v>665</v>
      </c>
      <c r="B17" s="34"/>
      <c r="C17" s="34"/>
      <c r="D17" s="119">
        <v>367800</v>
      </c>
      <c r="E17" s="34"/>
      <c r="F17" s="117" t="s">
        <v>371</v>
      </c>
      <c r="G17" s="34"/>
      <c r="H17" s="119">
        <f>2207+5637+1612</f>
        <v>9456</v>
      </c>
      <c r="I17" s="34"/>
      <c r="J17" s="359">
        <f>2142+5637+1612</f>
        <v>9391</v>
      </c>
      <c r="K17" s="34"/>
      <c r="L17" s="376">
        <v>65</v>
      </c>
      <c r="R17" s="375"/>
    </row>
    <row r="18" spans="1:18" x14ac:dyDescent="0.2">
      <c r="A18" s="34"/>
      <c r="B18" s="34"/>
      <c r="C18" s="34"/>
      <c r="D18" s="119"/>
      <c r="E18" s="34"/>
      <c r="F18" s="34"/>
      <c r="G18" s="119"/>
      <c r="H18" s="34"/>
      <c r="I18" s="34"/>
      <c r="J18" s="34"/>
      <c r="K18" s="34"/>
      <c r="L18" s="34"/>
      <c r="Q18" s="479"/>
    </row>
    <row r="19" spans="1:18" x14ac:dyDescent="0.2">
      <c r="A19" s="35" t="s">
        <v>659</v>
      </c>
      <c r="B19" s="34"/>
      <c r="C19" s="34"/>
      <c r="D19" s="120">
        <v>-240200</v>
      </c>
      <c r="E19" s="34"/>
      <c r="F19" s="117" t="s">
        <v>371</v>
      </c>
      <c r="G19" s="119"/>
      <c r="H19" s="120">
        <v>-1441</v>
      </c>
      <c r="I19" s="34"/>
      <c r="J19" s="120">
        <v>-1441</v>
      </c>
      <c r="K19" s="34"/>
      <c r="L19" s="377">
        <v>0</v>
      </c>
    </row>
    <row r="20" spans="1:18" ht="13.5" thickBot="1" x14ac:dyDescent="0.25">
      <c r="A20" s="35" t="s">
        <v>372</v>
      </c>
      <c r="B20" s="34"/>
      <c r="C20" s="34"/>
      <c r="D20" s="720">
        <f>D15+D17+D19</f>
        <v>161438921</v>
      </c>
      <c r="E20" s="34"/>
      <c r="F20" s="34"/>
      <c r="G20" s="119"/>
      <c r="H20" s="34"/>
      <c r="I20" s="34"/>
      <c r="J20" s="34"/>
      <c r="K20" s="34"/>
      <c r="L20" s="34"/>
    </row>
    <row r="21" spans="1:18" ht="13.5" thickTop="1" x14ac:dyDescent="0.2">
      <c r="A21" s="34"/>
      <c r="B21" s="34"/>
      <c r="C21" s="34"/>
      <c r="D21" s="34"/>
      <c r="E21" s="34"/>
      <c r="F21" s="34"/>
      <c r="G21" s="34"/>
      <c r="H21" s="34"/>
      <c r="I21" s="34"/>
      <c r="J21" s="34"/>
      <c r="K21" s="34"/>
      <c r="L21" s="34"/>
    </row>
    <row r="22" spans="1:18" x14ac:dyDescent="0.2">
      <c r="A22" s="35" t="s">
        <v>373</v>
      </c>
      <c r="B22" s="34"/>
      <c r="C22" s="34"/>
      <c r="D22" s="119"/>
      <c r="E22" s="34"/>
      <c r="F22" s="34"/>
      <c r="G22" s="119"/>
      <c r="H22" s="119">
        <f>L22+J22</f>
        <v>975882.92599999998</v>
      </c>
      <c r="I22" s="35" t="s">
        <v>157</v>
      </c>
      <c r="J22" s="119">
        <f>SUM(J15:J19)</f>
        <v>941338.59900417598</v>
      </c>
      <c r="K22" s="34"/>
      <c r="L22" s="119">
        <f>L15+L17</f>
        <v>34544.326995823998</v>
      </c>
      <c r="P22" s="378"/>
    </row>
    <row r="23" spans="1:18" x14ac:dyDescent="0.2">
      <c r="A23" s="35"/>
      <c r="B23" s="34"/>
      <c r="C23" s="34"/>
      <c r="D23" s="119"/>
      <c r="E23" s="34"/>
      <c r="F23" s="34"/>
      <c r="G23" s="119"/>
      <c r="H23" s="119"/>
      <c r="I23" s="35"/>
      <c r="J23" s="34"/>
      <c r="K23" s="34"/>
      <c r="L23" s="34"/>
      <c r="P23" s="378"/>
    </row>
    <row r="24" spans="1:18" ht="12.75" customHeight="1" x14ac:dyDescent="0.2">
      <c r="A24" s="721" t="s">
        <v>852</v>
      </c>
      <c r="B24" s="722"/>
      <c r="C24" s="722"/>
      <c r="D24" s="119"/>
      <c r="E24" s="34"/>
      <c r="F24" s="34"/>
      <c r="G24" s="119"/>
      <c r="H24" s="120">
        <f>L24+J24</f>
        <v>24975</v>
      </c>
      <c r="I24" s="35" t="s">
        <v>161</v>
      </c>
      <c r="J24" s="363">
        <v>24975</v>
      </c>
      <c r="K24" s="359"/>
      <c r="L24" s="363">
        <v>0</v>
      </c>
      <c r="N24" s="279"/>
      <c r="P24" s="379"/>
    </row>
    <row r="25" spans="1:18" x14ac:dyDescent="0.2">
      <c r="A25" s="470"/>
      <c r="B25" s="470"/>
      <c r="C25" s="470"/>
      <c r="D25" s="119"/>
      <c r="E25" s="34"/>
      <c r="F25" s="34"/>
      <c r="G25" s="119"/>
      <c r="H25" s="119"/>
      <c r="I25" s="34"/>
      <c r="J25" s="34"/>
      <c r="K25" s="34"/>
      <c r="L25" s="34"/>
    </row>
    <row r="26" spans="1:18" ht="13.5" thickBot="1" x14ac:dyDescent="0.25">
      <c r="A26" s="35" t="s">
        <v>374</v>
      </c>
      <c r="B26" s="34"/>
      <c r="C26" s="34"/>
      <c r="D26" s="119"/>
      <c r="E26" s="34"/>
      <c r="F26" s="34"/>
      <c r="G26" s="119"/>
      <c r="H26" s="121">
        <f>L26+J26</f>
        <v>950907.92599999998</v>
      </c>
      <c r="I26" s="35" t="s">
        <v>158</v>
      </c>
      <c r="J26" s="121">
        <f>+J22-J24</f>
        <v>916363.59900417598</v>
      </c>
      <c r="K26" s="34"/>
      <c r="L26" s="121">
        <f>SUM(L22:L24)</f>
        <v>34544.326995823998</v>
      </c>
      <c r="N26" s="374"/>
    </row>
    <row r="27" spans="1:18" ht="13.5" thickTop="1" x14ac:dyDescent="0.2">
      <c r="A27" s="34"/>
      <c r="B27" s="34"/>
      <c r="C27" s="34"/>
      <c r="D27" s="119"/>
      <c r="E27" s="34"/>
      <c r="F27" s="34"/>
      <c r="G27" s="119"/>
      <c r="H27" s="119"/>
      <c r="I27" s="34"/>
      <c r="J27" s="34"/>
      <c r="K27" s="34"/>
      <c r="L27" s="34"/>
      <c r="N27" s="373"/>
    </row>
    <row r="28" spans="1:18" ht="13.5" thickBot="1" x14ac:dyDescent="0.25">
      <c r="A28" s="35" t="s">
        <v>375</v>
      </c>
      <c r="B28" s="34"/>
      <c r="C28" s="34"/>
      <c r="D28" s="119"/>
      <c r="E28" s="34"/>
      <c r="F28" s="34"/>
      <c r="G28" s="119"/>
      <c r="H28" s="122">
        <f>H26/H22</f>
        <v>0.97440779079682349</v>
      </c>
      <c r="I28" s="34"/>
      <c r="J28" s="122">
        <f>J26/J22</f>
        <v>0.97346863283156504</v>
      </c>
      <c r="K28" s="34"/>
      <c r="L28" s="122">
        <f>L26/L22</f>
        <v>1</v>
      </c>
      <c r="N28" s="373"/>
    </row>
    <row r="29" spans="1:18" ht="13.5" thickTop="1" x14ac:dyDescent="0.2">
      <c r="A29" s="35"/>
      <c r="B29" s="34"/>
      <c r="C29" s="34"/>
      <c r="D29" s="119"/>
      <c r="E29" s="34"/>
      <c r="F29" s="34"/>
      <c r="G29" s="119"/>
      <c r="H29" s="723"/>
      <c r="I29" s="34"/>
      <c r="J29" s="723"/>
      <c r="K29" s="34"/>
      <c r="L29" s="723"/>
      <c r="N29" s="373"/>
    </row>
    <row r="30" spans="1:18" ht="13.5" thickBot="1" x14ac:dyDescent="0.25">
      <c r="A30" s="34"/>
      <c r="B30" s="34"/>
      <c r="C30" s="34"/>
      <c r="D30" s="34"/>
      <c r="E30" s="34"/>
      <c r="F30" s="34"/>
      <c r="G30" s="34"/>
      <c r="H30" s="34"/>
      <c r="I30" s="34"/>
      <c r="J30" s="34"/>
      <c r="K30" s="34"/>
      <c r="L30" s="34"/>
      <c r="N30" s="373"/>
    </row>
    <row r="31" spans="1:18" ht="26.25" customHeight="1" thickBot="1" x14ac:dyDescent="0.25">
      <c r="A31" s="916" t="s">
        <v>854</v>
      </c>
      <c r="B31" s="917"/>
      <c r="C31" s="917"/>
      <c r="D31" s="917"/>
      <c r="E31" s="917"/>
      <c r="F31" s="917"/>
      <c r="G31" s="917"/>
      <c r="H31" s="917"/>
      <c r="I31" s="917"/>
      <c r="J31" s="917"/>
      <c r="K31" s="917"/>
      <c r="L31" s="918"/>
      <c r="N31" s="373"/>
    </row>
    <row r="32" spans="1:18" ht="13.5" thickBot="1" x14ac:dyDescent="0.25">
      <c r="A32" s="34"/>
      <c r="B32" s="34"/>
      <c r="C32" s="537"/>
      <c r="D32" s="537"/>
      <c r="E32" s="537"/>
      <c r="F32" s="537"/>
      <c r="G32" s="537"/>
      <c r="H32" s="537"/>
      <c r="I32" s="537"/>
      <c r="J32" s="537"/>
      <c r="K32" s="537"/>
      <c r="L32" s="537"/>
      <c r="N32" s="373"/>
    </row>
    <row r="33" spans="1:24" ht="38.25" customHeight="1" thickBot="1" x14ac:dyDescent="0.25">
      <c r="A33" s="919" t="s">
        <v>855</v>
      </c>
      <c r="B33" s="920"/>
      <c r="C33" s="920"/>
      <c r="D33" s="920"/>
      <c r="E33" s="920"/>
      <c r="F33" s="920"/>
      <c r="G33" s="920"/>
      <c r="H33" s="920"/>
      <c r="I33" s="920"/>
      <c r="J33" s="920"/>
      <c r="K33" s="920"/>
      <c r="L33" s="921"/>
      <c r="N33" s="373"/>
      <c r="O33" s="378"/>
      <c r="P33" s="379"/>
      <c r="R33" s="378"/>
    </row>
    <row r="34" spans="1:24" ht="13.5" thickBot="1" x14ac:dyDescent="0.25">
      <c r="A34" s="408"/>
      <c r="B34" s="408"/>
      <c r="C34" s="408"/>
      <c r="D34" s="408"/>
      <c r="E34" s="408"/>
      <c r="F34" s="408"/>
      <c r="G34" s="408"/>
      <c r="H34" s="408"/>
      <c r="I34" s="408"/>
      <c r="J34" s="408"/>
      <c r="K34" s="408"/>
      <c r="L34" s="508"/>
      <c r="M34" s="409"/>
      <c r="N34" s="409"/>
      <c r="O34" s="409"/>
      <c r="P34" s="409"/>
      <c r="Q34" s="409"/>
      <c r="R34" s="409"/>
      <c r="S34" s="409"/>
      <c r="T34" s="409"/>
      <c r="U34" s="409"/>
      <c r="V34" s="409"/>
      <c r="W34" s="409"/>
      <c r="X34" s="409"/>
    </row>
    <row r="35" spans="1:24" ht="39" customHeight="1" thickBot="1" x14ac:dyDescent="0.25">
      <c r="A35" s="922" t="s">
        <v>856</v>
      </c>
      <c r="B35" s="923"/>
      <c r="C35" s="923"/>
      <c r="D35" s="923"/>
      <c r="E35" s="923"/>
      <c r="F35" s="923"/>
      <c r="G35" s="923"/>
      <c r="H35" s="923"/>
      <c r="I35" s="923"/>
      <c r="J35" s="923"/>
      <c r="K35" s="923"/>
      <c r="L35" s="924"/>
      <c r="M35" s="409"/>
      <c r="N35" s="409"/>
      <c r="O35" s="409"/>
      <c r="P35" s="409"/>
      <c r="Q35" s="409"/>
      <c r="R35" s="409"/>
      <c r="S35" s="409"/>
      <c r="T35" s="409"/>
      <c r="U35" s="409"/>
      <c r="V35" s="409"/>
      <c r="W35" s="409"/>
      <c r="X35" s="409"/>
    </row>
    <row r="36" spans="1:24" ht="13.5" thickBot="1" x14ac:dyDescent="0.25">
      <c r="A36" s="408"/>
      <c r="B36" s="408"/>
      <c r="C36" s="537"/>
      <c r="D36" s="537"/>
      <c r="E36" s="537"/>
      <c r="F36" s="537"/>
      <c r="G36" s="537"/>
      <c r="H36" s="537"/>
      <c r="I36" s="537"/>
      <c r="J36" s="537"/>
      <c r="K36" s="537"/>
      <c r="L36" s="537"/>
      <c r="M36" s="409"/>
      <c r="N36" s="409"/>
      <c r="O36" s="409"/>
      <c r="P36" s="409"/>
      <c r="Q36" s="409"/>
      <c r="R36" s="409"/>
      <c r="S36" s="409"/>
      <c r="T36" s="409"/>
      <c r="U36" s="409"/>
      <c r="V36" s="409"/>
      <c r="W36" s="409"/>
      <c r="X36" s="409"/>
    </row>
    <row r="37" spans="1:24" ht="38.25" customHeight="1" x14ac:dyDescent="0.25">
      <c r="A37" s="925" t="s">
        <v>773</v>
      </c>
      <c r="B37" s="926"/>
      <c r="C37" s="926"/>
      <c r="D37" s="926"/>
      <c r="E37" s="926"/>
      <c r="F37" s="926"/>
      <c r="G37" s="926"/>
      <c r="H37" s="926"/>
      <c r="I37" s="926"/>
      <c r="J37" s="926"/>
      <c r="K37" s="926"/>
      <c r="L37" s="927"/>
      <c r="M37" s="124"/>
      <c r="N37" s="124"/>
      <c r="O37" s="124"/>
      <c r="P37" s="124"/>
      <c r="Q37" s="124"/>
      <c r="R37" s="124"/>
      <c r="S37" s="124"/>
      <c r="T37" s="124"/>
      <c r="U37" s="124"/>
      <c r="V37" s="124"/>
      <c r="W37" s="124"/>
      <c r="X37" s="124"/>
    </row>
    <row r="38" spans="1:24" ht="12.75" customHeight="1" x14ac:dyDescent="0.25">
      <c r="A38" s="729"/>
      <c r="B38" s="730"/>
      <c r="C38" s="728"/>
      <c r="D38" s="728"/>
      <c r="E38" s="728"/>
      <c r="F38" s="728"/>
      <c r="G38" s="728"/>
      <c r="H38" s="728"/>
      <c r="I38" s="728"/>
      <c r="J38" s="728"/>
      <c r="K38" s="728"/>
      <c r="L38" s="731"/>
      <c r="M38" s="124"/>
      <c r="N38" s="124"/>
      <c r="O38" s="124"/>
      <c r="P38" s="124"/>
      <c r="Q38" s="124"/>
      <c r="R38" s="124"/>
      <c r="S38" s="124"/>
      <c r="T38" s="124"/>
      <c r="U38" s="124"/>
      <c r="V38" s="124"/>
      <c r="W38" s="124"/>
      <c r="X38" s="124"/>
    </row>
    <row r="39" spans="1:24" ht="26.25" customHeight="1" x14ac:dyDescent="0.25">
      <c r="A39" s="906" t="s">
        <v>719</v>
      </c>
      <c r="B39" s="907"/>
      <c r="C39" s="907"/>
      <c r="D39" s="907"/>
      <c r="E39" s="907"/>
      <c r="F39" s="907"/>
      <c r="G39" s="907"/>
      <c r="H39" s="907"/>
      <c r="I39" s="907"/>
      <c r="J39" s="907"/>
      <c r="K39" s="907"/>
      <c r="L39" s="908"/>
      <c r="M39" s="124"/>
      <c r="N39" s="124"/>
      <c r="O39" s="124"/>
      <c r="P39" s="124"/>
      <c r="Q39" s="124"/>
      <c r="R39" s="124"/>
      <c r="S39" s="124"/>
      <c r="T39" s="124"/>
      <c r="U39" s="124"/>
      <c r="V39" s="124"/>
      <c r="W39" s="124"/>
      <c r="X39" s="124"/>
    </row>
    <row r="40" spans="1:24" ht="12.75" customHeight="1" x14ac:dyDescent="0.2">
      <c r="A40" s="732"/>
      <c r="C40" s="728"/>
      <c r="D40" s="728"/>
      <c r="E40" s="728"/>
      <c r="F40" s="728"/>
      <c r="G40" s="728"/>
      <c r="H40" s="728"/>
      <c r="I40" s="728"/>
      <c r="J40" s="728"/>
      <c r="K40" s="728"/>
      <c r="L40" s="731"/>
    </row>
    <row r="41" spans="1:24" ht="64.5" customHeight="1" thickBot="1" x14ac:dyDescent="0.25">
      <c r="A41" s="909" t="s">
        <v>658</v>
      </c>
      <c r="B41" s="910"/>
      <c r="C41" s="910"/>
      <c r="D41" s="910"/>
      <c r="E41" s="910"/>
      <c r="F41" s="910"/>
      <c r="G41" s="910"/>
      <c r="H41" s="910"/>
      <c r="I41" s="910"/>
      <c r="J41" s="910"/>
      <c r="K41" s="910"/>
      <c r="L41" s="911"/>
    </row>
    <row r="42" spans="1:24" ht="12.75" customHeight="1" x14ac:dyDescent="0.2">
      <c r="C42" s="728"/>
      <c r="D42" s="728"/>
      <c r="E42" s="728"/>
      <c r="F42" s="728"/>
      <c r="G42" s="728"/>
      <c r="H42" s="728"/>
      <c r="I42" s="728"/>
      <c r="J42" s="728"/>
      <c r="K42" s="728"/>
      <c r="L42" s="728"/>
    </row>
    <row r="43" spans="1:24" ht="12.75" customHeight="1" x14ac:dyDescent="0.2">
      <c r="C43" s="728"/>
      <c r="D43" s="728"/>
      <c r="E43" s="728"/>
      <c r="F43" s="728"/>
      <c r="G43" s="728"/>
      <c r="H43" s="728"/>
      <c r="I43" s="728"/>
      <c r="J43" s="728"/>
      <c r="K43" s="728"/>
      <c r="L43" s="728"/>
    </row>
    <row r="44" spans="1:24" ht="12.75" customHeight="1" x14ac:dyDescent="0.2">
      <c r="C44" s="728"/>
      <c r="D44" s="728"/>
      <c r="E44" s="728"/>
      <c r="F44" s="728"/>
      <c r="G44" s="728"/>
      <c r="H44" s="728"/>
      <c r="I44" s="728"/>
      <c r="J44" s="728"/>
      <c r="K44" s="728"/>
      <c r="L44" s="728"/>
    </row>
    <row r="45" spans="1:24" ht="12.75" customHeight="1" x14ac:dyDescent="0.2">
      <c r="C45" s="728"/>
      <c r="D45" s="728"/>
      <c r="E45" s="728"/>
      <c r="F45" s="728"/>
      <c r="G45" s="728"/>
      <c r="H45" s="728"/>
      <c r="I45" s="728"/>
      <c r="J45" s="728"/>
      <c r="K45" s="728"/>
      <c r="L45" s="728"/>
    </row>
  </sheetData>
  <mergeCells count="12">
    <mergeCell ref="A39:L39"/>
    <mergeCell ref="A41:L41"/>
    <mergeCell ref="A1:L1"/>
    <mergeCell ref="A2:L2"/>
    <mergeCell ref="A3:L3"/>
    <mergeCell ref="A4:L4"/>
    <mergeCell ref="J8:L8"/>
    <mergeCell ref="D11:H11"/>
    <mergeCell ref="A31:L31"/>
    <mergeCell ref="A33:L33"/>
    <mergeCell ref="A35:L35"/>
    <mergeCell ref="A37:L37"/>
  </mergeCells>
  <printOptions horizontalCentered="1"/>
  <pageMargins left="0.7" right="0.7" top="0.75" bottom="0.75" header="0.3" footer="0.3"/>
  <pageSetup firstPageNumber="111"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FF00"/>
    <pageSetUpPr fitToPage="1"/>
  </sheetPr>
  <dimension ref="A1:O48"/>
  <sheetViews>
    <sheetView topLeftCell="A18" workbookViewId="0">
      <selection activeCell="B5" sqref="B5"/>
    </sheetView>
  </sheetViews>
  <sheetFormatPr defaultColWidth="9.140625" defaultRowHeight="12.75" x14ac:dyDescent="0.2"/>
  <cols>
    <col min="1" max="1" width="9.140625" style="273"/>
    <col min="2" max="2" width="9.85546875" style="273" customWidth="1"/>
    <col min="3" max="3" width="1.7109375" style="273" customWidth="1"/>
    <col min="4" max="4" width="12.42578125" style="273" customWidth="1"/>
    <col min="5" max="5" width="1.7109375" style="273" customWidth="1"/>
    <col min="6" max="6" width="12.42578125" style="273" customWidth="1"/>
    <col min="7" max="7" width="2.85546875" style="273" customWidth="1"/>
    <col min="8" max="8" width="12.42578125" style="273" customWidth="1"/>
    <col min="9" max="9" width="3.140625" style="273" customWidth="1"/>
    <col min="10" max="10" width="12.42578125" style="273" customWidth="1"/>
    <col min="11" max="11" width="3.140625" style="273" customWidth="1"/>
    <col min="12" max="16384" width="9.140625" style="273"/>
  </cols>
  <sheetData>
    <row r="1" spans="1:13" s="281" customFormat="1" x14ac:dyDescent="0.2">
      <c r="B1" s="125" t="s">
        <v>136</v>
      </c>
      <c r="C1" s="125"/>
      <c r="D1" s="125"/>
      <c r="E1" s="125"/>
      <c r="F1" s="125"/>
      <c r="G1" s="125"/>
      <c r="H1" s="125"/>
      <c r="I1" s="125"/>
      <c r="J1" s="125"/>
      <c r="K1" s="126"/>
    </row>
    <row r="2" spans="1:13" s="281" customFormat="1" x14ac:dyDescent="0.2">
      <c r="B2" s="125" t="s">
        <v>340</v>
      </c>
      <c r="C2" s="125"/>
      <c r="D2" s="125"/>
      <c r="E2" s="125"/>
      <c r="F2" s="125"/>
      <c r="G2" s="125"/>
      <c r="H2" s="125"/>
      <c r="I2" s="125"/>
      <c r="J2" s="125"/>
      <c r="K2" s="126"/>
    </row>
    <row r="3" spans="1:13" s="281" customFormat="1" x14ac:dyDescent="0.2">
      <c r="B3" s="714" t="s">
        <v>783</v>
      </c>
      <c r="C3" s="715"/>
      <c r="D3" s="715"/>
      <c r="E3" s="715"/>
      <c r="F3" s="715"/>
      <c r="G3" s="715"/>
      <c r="H3" s="715"/>
      <c r="I3" s="715"/>
      <c r="J3" s="715"/>
      <c r="K3" s="126"/>
    </row>
    <row r="4" spans="1:13" s="281" customFormat="1" x14ac:dyDescent="0.2">
      <c r="B4" s="300"/>
      <c r="C4" s="125"/>
      <c r="D4" s="125"/>
      <c r="E4" s="125"/>
      <c r="F4" s="125"/>
      <c r="G4" s="125"/>
      <c r="H4" s="125"/>
      <c r="I4" s="125"/>
      <c r="J4" s="125"/>
      <c r="K4" s="126"/>
    </row>
    <row r="5" spans="1:13" s="281" customFormat="1" x14ac:dyDescent="0.2">
      <c r="B5" s="300"/>
      <c r="C5" s="125"/>
      <c r="D5" s="125"/>
      <c r="E5" s="125"/>
      <c r="F5" s="125"/>
      <c r="G5" s="125"/>
      <c r="H5" s="125"/>
      <c r="I5" s="125"/>
      <c r="J5" s="125"/>
      <c r="K5" s="126"/>
    </row>
    <row r="6" spans="1:13" ht="13.5" thickBot="1" x14ac:dyDescent="0.25">
      <c r="A6" s="733"/>
      <c r="B6" s="127"/>
      <c r="C6" s="127"/>
      <c r="D6" s="127"/>
      <c r="E6" s="127"/>
      <c r="F6" s="127"/>
      <c r="G6" s="127"/>
      <c r="H6" s="127"/>
      <c r="I6" s="127"/>
      <c r="J6" s="127"/>
      <c r="K6" s="104"/>
    </row>
    <row r="7" spans="1:13" x14ac:dyDescent="0.2">
      <c r="B7" s="104"/>
      <c r="C7" s="104"/>
      <c r="D7" s="105" t="s">
        <v>341</v>
      </c>
      <c r="E7" s="105"/>
      <c r="F7" s="104"/>
      <c r="G7" s="104"/>
      <c r="H7" s="104"/>
      <c r="I7" s="104"/>
      <c r="J7" s="105" t="s">
        <v>341</v>
      </c>
      <c r="K7" s="104"/>
    </row>
    <row r="8" spans="1:13" x14ac:dyDescent="0.2">
      <c r="B8" s="104"/>
      <c r="C8" s="104"/>
      <c r="D8" s="105" t="s">
        <v>850</v>
      </c>
      <c r="E8" s="105"/>
      <c r="F8" s="104"/>
      <c r="G8" s="104"/>
      <c r="H8" s="105" t="s">
        <v>343</v>
      </c>
      <c r="I8" s="104"/>
      <c r="J8" s="105" t="s">
        <v>851</v>
      </c>
      <c r="K8" s="104"/>
    </row>
    <row r="9" spans="1:13" x14ac:dyDescent="0.2">
      <c r="A9" s="763" t="s">
        <v>849</v>
      </c>
      <c r="B9" s="763" t="s">
        <v>344</v>
      </c>
      <c r="C9" s="104"/>
      <c r="D9" s="299" t="s">
        <v>342</v>
      </c>
      <c r="E9" s="105"/>
      <c r="F9" s="128" t="s">
        <v>345</v>
      </c>
      <c r="G9" s="104"/>
      <c r="H9" s="128" t="s">
        <v>346</v>
      </c>
      <c r="I9" s="104"/>
      <c r="J9" s="299" t="s">
        <v>342</v>
      </c>
      <c r="K9" s="104"/>
    </row>
    <row r="10" spans="1:13" x14ac:dyDescent="0.2">
      <c r="B10" s="104"/>
      <c r="C10" s="104"/>
      <c r="D10" s="104"/>
      <c r="E10" s="105"/>
      <c r="F10" s="104"/>
      <c r="G10" s="104"/>
      <c r="H10" s="104"/>
      <c r="I10" s="104"/>
      <c r="J10" s="104"/>
      <c r="K10" s="104"/>
    </row>
    <row r="11" spans="1:13" x14ac:dyDescent="0.2">
      <c r="A11" s="273">
        <v>2024</v>
      </c>
      <c r="B11" s="372">
        <v>2025</v>
      </c>
      <c r="C11" s="104"/>
      <c r="D11" s="716">
        <v>0</v>
      </c>
      <c r="E11" s="129"/>
      <c r="F11" s="717">
        <f>AnalysisTaxLevy!H22</f>
        <v>975882.92599999998</v>
      </c>
      <c r="G11" s="131" t="s">
        <v>157</v>
      </c>
      <c r="H11" s="717">
        <f>AnalysisTaxLevy!H26</f>
        <v>950907.92599999998</v>
      </c>
      <c r="I11" s="131" t="s">
        <v>158</v>
      </c>
      <c r="J11" s="717">
        <f>-AnalysisTaxLevy!H24</f>
        <v>-24975</v>
      </c>
      <c r="K11" s="29" t="s">
        <v>161</v>
      </c>
      <c r="M11" s="373"/>
    </row>
    <row r="12" spans="1:13" x14ac:dyDescent="0.2">
      <c r="A12" s="273">
        <v>2023</v>
      </c>
      <c r="B12" s="372">
        <v>2024</v>
      </c>
      <c r="C12" s="104"/>
      <c r="D12" s="106">
        <f>24912+2000</f>
        <v>26912</v>
      </c>
      <c r="E12" s="129"/>
      <c r="F12" s="130" t="s">
        <v>347</v>
      </c>
      <c r="G12" s="106"/>
      <c r="H12" s="106">
        <v>12632</v>
      </c>
      <c r="I12" s="106"/>
      <c r="J12" s="106">
        <f t="shared" ref="J12:J20" si="0">D12-H12</f>
        <v>14280</v>
      </c>
      <c r="K12" s="104"/>
    </row>
    <row r="13" spans="1:13" x14ac:dyDescent="0.2">
      <c r="A13" s="273">
        <v>2022</v>
      </c>
      <c r="B13" s="372">
        <v>2023</v>
      </c>
      <c r="C13" s="104"/>
      <c r="D13" s="106">
        <f>17713+1117</f>
        <v>18830</v>
      </c>
      <c r="E13" s="129"/>
      <c r="F13" s="130" t="s">
        <v>347</v>
      </c>
      <c r="G13" s="106"/>
      <c r="H13" s="106">
        <v>7697</v>
      </c>
      <c r="I13" s="106"/>
      <c r="J13" s="106">
        <f t="shared" si="0"/>
        <v>11133</v>
      </c>
      <c r="K13" s="104"/>
    </row>
    <row r="14" spans="1:13" x14ac:dyDescent="0.2">
      <c r="A14" s="273">
        <v>2021</v>
      </c>
      <c r="B14" s="372">
        <v>2022</v>
      </c>
      <c r="C14" s="104"/>
      <c r="D14" s="106">
        <f>8777+3107</f>
        <v>11884</v>
      </c>
      <c r="E14" s="129"/>
      <c r="F14" s="130" t="s">
        <v>347</v>
      </c>
      <c r="G14" s="106"/>
      <c r="H14" s="106">
        <f>2965+2000</f>
        <v>4965</v>
      </c>
      <c r="I14" s="106"/>
      <c r="J14" s="106">
        <f t="shared" si="0"/>
        <v>6919</v>
      </c>
      <c r="K14" s="104"/>
    </row>
    <row r="15" spans="1:13" x14ac:dyDescent="0.2">
      <c r="A15" s="273">
        <v>2020</v>
      </c>
      <c r="B15" s="372">
        <v>2021</v>
      </c>
      <c r="C15" s="104"/>
      <c r="D15" s="106">
        <f>6818+3239</f>
        <v>10057</v>
      </c>
      <c r="E15" s="129"/>
      <c r="F15" s="130" t="s">
        <v>347</v>
      </c>
      <c r="G15" s="106"/>
      <c r="H15" s="106">
        <f>1612+1243</f>
        <v>2855</v>
      </c>
      <c r="I15" s="106"/>
      <c r="J15" s="106">
        <f t="shared" si="0"/>
        <v>7202</v>
      </c>
      <c r="K15" s="104"/>
    </row>
    <row r="16" spans="1:13" x14ac:dyDescent="0.2">
      <c r="A16" s="273">
        <v>2019</v>
      </c>
      <c r="B16" s="372">
        <v>2020</v>
      </c>
      <c r="C16" s="104"/>
      <c r="D16" s="106">
        <f>6189+2867</f>
        <v>9056</v>
      </c>
      <c r="E16" s="129"/>
      <c r="F16" s="130" t="s">
        <v>347</v>
      </c>
      <c r="G16" s="106"/>
      <c r="H16" s="106">
        <v>1223</v>
      </c>
      <c r="I16" s="106"/>
      <c r="J16" s="106">
        <f t="shared" si="0"/>
        <v>7833</v>
      </c>
      <c r="K16" s="104"/>
    </row>
    <row r="17" spans="1:15" x14ac:dyDescent="0.2">
      <c r="A17" s="273">
        <v>2018</v>
      </c>
      <c r="B17" s="372">
        <v>2019</v>
      </c>
      <c r="C17" s="104"/>
      <c r="D17" s="106">
        <f>5704+691</f>
        <v>6395</v>
      </c>
      <c r="E17" s="129"/>
      <c r="F17" s="130" t="s">
        <v>347</v>
      </c>
      <c r="G17" s="106"/>
      <c r="H17" s="106">
        <v>871</v>
      </c>
      <c r="I17" s="106"/>
      <c r="J17" s="106">
        <f t="shared" si="0"/>
        <v>5524</v>
      </c>
      <c r="K17" s="104"/>
    </row>
    <row r="18" spans="1:15" x14ac:dyDescent="0.2">
      <c r="A18" s="273">
        <v>2017</v>
      </c>
      <c r="B18" s="372">
        <v>2018</v>
      </c>
      <c r="C18" s="104"/>
      <c r="D18" s="106">
        <v>3502</v>
      </c>
      <c r="E18" s="129"/>
      <c r="F18" s="130" t="s">
        <v>347</v>
      </c>
      <c r="G18" s="106"/>
      <c r="H18" s="106">
        <v>521</v>
      </c>
      <c r="I18" s="106"/>
      <c r="J18" s="106">
        <f t="shared" si="0"/>
        <v>2981</v>
      </c>
      <c r="K18" s="104"/>
    </row>
    <row r="19" spans="1:15" x14ac:dyDescent="0.2">
      <c r="A19" s="273">
        <v>2016</v>
      </c>
      <c r="B19" s="372">
        <v>2017</v>
      </c>
      <c r="C19" s="104"/>
      <c r="D19" s="106">
        <v>1470</v>
      </c>
      <c r="E19" s="129"/>
      <c r="F19" s="130" t="s">
        <v>347</v>
      </c>
      <c r="G19" s="106"/>
      <c r="H19" s="106">
        <v>75</v>
      </c>
      <c r="I19" s="106"/>
      <c r="J19" s="106">
        <f t="shared" si="0"/>
        <v>1395</v>
      </c>
      <c r="K19" s="104"/>
      <c r="O19" s="373"/>
    </row>
    <row r="20" spans="1:15" x14ac:dyDescent="0.2">
      <c r="A20" s="273">
        <v>2015</v>
      </c>
      <c r="B20" s="372">
        <v>2016</v>
      </c>
      <c r="C20" s="104"/>
      <c r="D20" s="106">
        <v>50</v>
      </c>
      <c r="E20" s="129"/>
      <c r="F20" s="130">
        <v>0</v>
      </c>
      <c r="G20" s="106"/>
      <c r="H20" s="106">
        <v>25</v>
      </c>
      <c r="I20" s="106"/>
      <c r="J20" s="106">
        <f t="shared" si="0"/>
        <v>25</v>
      </c>
      <c r="K20" s="104"/>
      <c r="O20" s="373"/>
    </row>
    <row r="21" spans="1:15" x14ac:dyDescent="0.2">
      <c r="A21" s="273">
        <v>2014</v>
      </c>
      <c r="B21" s="372">
        <v>2015</v>
      </c>
      <c r="C21" s="104"/>
      <c r="D21" s="132">
        <v>3651</v>
      </c>
      <c r="E21" s="129"/>
      <c r="F21" s="133" t="s">
        <v>347</v>
      </c>
      <c r="G21" s="106"/>
      <c r="H21" s="132">
        <v>3651</v>
      </c>
      <c r="I21" s="106"/>
      <c r="J21" s="132">
        <v>0</v>
      </c>
      <c r="K21" s="104"/>
    </row>
    <row r="22" spans="1:15" ht="13.5" thickBot="1" x14ac:dyDescent="0.25">
      <c r="B22" s="104"/>
      <c r="C22" s="104"/>
      <c r="D22" s="718">
        <f>SUM(D11:D21)</f>
        <v>91807</v>
      </c>
      <c r="E22" s="129"/>
      <c r="F22" s="720">
        <f>SUM(F11:F21)</f>
        <v>975882.92599999998</v>
      </c>
      <c r="G22" s="106"/>
      <c r="H22" s="720">
        <f>SUM(H11:H21)</f>
        <v>985422.92599999998</v>
      </c>
      <c r="I22" s="131" t="s">
        <v>348</v>
      </c>
      <c r="J22" s="132">
        <f>SUM(J11:J21)</f>
        <v>32317</v>
      </c>
      <c r="K22" s="104"/>
      <c r="L22" s="373"/>
    </row>
    <row r="23" spans="1:15" ht="13.5" thickTop="1" x14ac:dyDescent="0.2">
      <c r="B23" s="104"/>
      <c r="C23" s="104"/>
      <c r="D23" s="106"/>
      <c r="E23" s="129"/>
      <c r="F23" s="106"/>
      <c r="G23" s="106"/>
      <c r="H23" s="106"/>
      <c r="I23" s="131"/>
      <c r="J23" s="106"/>
      <c r="K23" s="104"/>
    </row>
    <row r="24" spans="1:15" x14ac:dyDescent="0.2">
      <c r="B24" s="104"/>
      <c r="C24" s="104"/>
      <c r="D24" s="29" t="s">
        <v>349</v>
      </c>
      <c r="E24" s="129"/>
      <c r="F24" s="106"/>
      <c r="G24" s="106"/>
      <c r="H24" s="106"/>
      <c r="I24" s="106"/>
      <c r="J24" s="104"/>
      <c r="K24" s="104"/>
      <c r="N24" s="373"/>
    </row>
    <row r="25" spans="1:15" x14ac:dyDescent="0.2">
      <c r="B25" s="104"/>
      <c r="C25" s="104"/>
      <c r="D25" s="29" t="s">
        <v>350</v>
      </c>
      <c r="E25" s="105"/>
      <c r="F25" s="104"/>
      <c r="G25" s="104"/>
      <c r="H25" s="104"/>
      <c r="I25" s="104"/>
      <c r="J25" s="132">
        <f>23032-3000</f>
        <v>20032</v>
      </c>
      <c r="K25" s="104"/>
    </row>
    <row r="26" spans="1:15" x14ac:dyDescent="0.2">
      <c r="B26" s="104"/>
      <c r="C26" s="104"/>
      <c r="D26" s="104"/>
      <c r="E26" s="105"/>
      <c r="F26" s="104"/>
      <c r="G26" s="104"/>
      <c r="H26" s="104"/>
      <c r="I26" s="104"/>
      <c r="J26" s="104"/>
      <c r="K26" s="104"/>
    </row>
    <row r="27" spans="1:15" ht="13.5" thickBot="1" x14ac:dyDescent="0.25">
      <c r="B27" s="104"/>
      <c r="C27" s="104"/>
      <c r="D27" s="131" t="s">
        <v>351</v>
      </c>
      <c r="E27" s="129"/>
      <c r="F27" s="104"/>
      <c r="G27" s="106"/>
      <c r="H27" s="106"/>
      <c r="I27" s="106"/>
      <c r="J27" s="720">
        <f>J22-J25</f>
        <v>12285</v>
      </c>
      <c r="K27" s="104"/>
    </row>
    <row r="28" spans="1:15" ht="13.5" thickTop="1" x14ac:dyDescent="0.2">
      <c r="B28" s="104"/>
      <c r="C28" s="104"/>
      <c r="D28" s="106"/>
      <c r="E28" s="129"/>
      <c r="F28" s="106"/>
      <c r="G28" s="106"/>
      <c r="H28" s="106"/>
      <c r="I28" s="106"/>
      <c r="J28" s="106"/>
      <c r="K28" s="106"/>
      <c r="N28" s="373"/>
    </row>
    <row r="29" spans="1:15" x14ac:dyDescent="0.2">
      <c r="B29" s="104"/>
      <c r="C29" s="104"/>
      <c r="D29" s="134" t="s">
        <v>626</v>
      </c>
      <c r="E29" s="129"/>
      <c r="F29" s="106"/>
      <c r="G29" s="106"/>
      <c r="H29" s="106"/>
      <c r="I29" s="106"/>
      <c r="J29" s="106"/>
      <c r="K29" s="106"/>
    </row>
    <row r="30" spans="1:15" x14ac:dyDescent="0.2">
      <c r="B30" s="104"/>
      <c r="C30" s="104"/>
      <c r="D30" s="29" t="s">
        <v>352</v>
      </c>
      <c r="E30" s="129"/>
      <c r="F30" s="106"/>
      <c r="G30" s="106"/>
      <c r="H30" s="106"/>
      <c r="I30" s="106"/>
      <c r="J30" s="717">
        <v>969504</v>
      </c>
      <c r="K30" s="104"/>
    </row>
    <row r="31" spans="1:15" ht="39" customHeight="1" x14ac:dyDescent="0.2">
      <c r="B31" s="104"/>
      <c r="C31" s="104"/>
      <c r="D31" s="928" t="s">
        <v>732</v>
      </c>
      <c r="E31" s="928"/>
      <c r="F31" s="928"/>
      <c r="G31" s="928"/>
      <c r="H31" s="106"/>
      <c r="I31" s="106"/>
      <c r="J31" s="106">
        <v>2510</v>
      </c>
      <c r="K31" s="104"/>
    </row>
    <row r="32" spans="1:15" x14ac:dyDescent="0.2">
      <c r="B32" s="104"/>
      <c r="C32" s="104"/>
      <c r="D32" s="29" t="s">
        <v>353</v>
      </c>
      <c r="E32" s="105"/>
      <c r="F32" s="104"/>
      <c r="G32" s="104"/>
      <c r="H32" s="104"/>
      <c r="I32" s="104"/>
      <c r="J32" s="104"/>
      <c r="K32" s="104"/>
    </row>
    <row r="33" spans="1:11" x14ac:dyDescent="0.2">
      <c r="B33" s="104"/>
      <c r="C33" s="104"/>
      <c r="D33" s="29" t="s">
        <v>354</v>
      </c>
      <c r="E33" s="105"/>
      <c r="F33" s="104"/>
      <c r="G33" s="104"/>
      <c r="H33" s="104"/>
      <c r="I33" s="104"/>
      <c r="J33" s="106">
        <v>-1097</v>
      </c>
      <c r="K33" s="104"/>
    </row>
    <row r="34" spans="1:11" x14ac:dyDescent="0.2">
      <c r="B34" s="104"/>
      <c r="C34" s="104"/>
      <c r="D34" s="29" t="s">
        <v>355</v>
      </c>
      <c r="E34" s="105"/>
      <c r="F34" s="104"/>
      <c r="G34" s="104"/>
      <c r="H34" s="104"/>
      <c r="I34" s="104"/>
      <c r="J34" s="106">
        <v>10855</v>
      </c>
      <c r="K34" s="104"/>
    </row>
    <row r="35" spans="1:11" x14ac:dyDescent="0.2">
      <c r="B35" s="104"/>
      <c r="C35" s="104"/>
      <c r="D35" s="29" t="s">
        <v>356</v>
      </c>
      <c r="E35" s="129"/>
      <c r="F35" s="106"/>
      <c r="G35" s="106"/>
      <c r="H35" s="106"/>
      <c r="I35" s="106"/>
      <c r="J35" s="132">
        <v>3651</v>
      </c>
      <c r="K35" s="104"/>
    </row>
    <row r="36" spans="1:11" x14ac:dyDescent="0.2">
      <c r="B36" s="104"/>
      <c r="C36" s="104"/>
      <c r="D36" s="29" t="s">
        <v>357</v>
      </c>
      <c r="E36" s="129"/>
      <c r="F36" s="106"/>
      <c r="G36" s="106"/>
      <c r="H36" s="106"/>
      <c r="I36" s="106"/>
      <c r="J36" s="132">
        <f>SUM(J33:J35)</f>
        <v>13409</v>
      </c>
      <c r="K36" s="104"/>
    </row>
    <row r="37" spans="1:11" ht="13.5" thickBot="1" x14ac:dyDescent="0.25">
      <c r="B37" s="104"/>
      <c r="C37" s="104"/>
      <c r="D37" s="29" t="s">
        <v>358</v>
      </c>
      <c r="E37" s="129"/>
      <c r="F37" s="106"/>
      <c r="G37" s="106"/>
      <c r="H37" s="106"/>
      <c r="I37" s="106"/>
      <c r="J37" s="720">
        <f>SUM(J30:J31)+J36</f>
        <v>985423</v>
      </c>
      <c r="K37" s="29" t="s">
        <v>348</v>
      </c>
    </row>
    <row r="38" spans="1:11" ht="13.5" thickTop="1" x14ac:dyDescent="0.2">
      <c r="B38" s="104"/>
      <c r="C38" s="104"/>
      <c r="D38" s="29"/>
      <c r="E38" s="129"/>
      <c r="F38" s="106"/>
      <c r="G38" s="106"/>
      <c r="H38" s="106"/>
      <c r="I38" s="106"/>
      <c r="J38" s="719"/>
      <c r="K38" s="29"/>
    </row>
    <row r="39" spans="1:11" x14ac:dyDescent="0.2">
      <c r="B39" s="104"/>
      <c r="C39" s="104"/>
      <c r="D39" s="29"/>
      <c r="E39" s="129"/>
      <c r="F39" s="106"/>
      <c r="G39" s="106"/>
      <c r="H39" s="106"/>
      <c r="I39" s="106"/>
      <c r="J39" s="719"/>
      <c r="K39" s="29"/>
    </row>
    <row r="40" spans="1:11" ht="13.5" thickBot="1" x14ac:dyDescent="0.25">
      <c r="B40" s="104"/>
      <c r="C40" s="104"/>
      <c r="D40" s="29"/>
      <c r="E40" s="129"/>
      <c r="F40" s="106"/>
      <c r="G40" s="106"/>
      <c r="H40" s="106"/>
      <c r="I40" s="106"/>
      <c r="J40" s="106"/>
      <c r="K40" s="29"/>
    </row>
    <row r="41" spans="1:11" ht="39.75" customHeight="1" x14ac:dyDescent="0.2">
      <c r="A41" s="929" t="s">
        <v>648</v>
      </c>
      <c r="B41" s="930"/>
      <c r="C41" s="930"/>
      <c r="D41" s="930"/>
      <c r="E41" s="930"/>
      <c r="F41" s="930"/>
      <c r="G41" s="930"/>
      <c r="H41" s="930"/>
      <c r="I41" s="930"/>
      <c r="J41" s="930"/>
      <c r="K41" s="931"/>
    </row>
    <row r="42" spans="1:11" x14ac:dyDescent="0.2">
      <c r="A42" s="732"/>
      <c r="K42" s="735"/>
    </row>
    <row r="43" spans="1:11" ht="40.5" customHeight="1" thickBot="1" x14ac:dyDescent="0.25">
      <c r="A43" s="932" t="s">
        <v>722</v>
      </c>
      <c r="B43" s="933"/>
      <c r="C43" s="933"/>
      <c r="D43" s="933"/>
      <c r="E43" s="933"/>
      <c r="F43" s="933"/>
      <c r="G43" s="933"/>
      <c r="H43" s="933"/>
      <c r="I43" s="933"/>
      <c r="J43" s="933"/>
      <c r="K43" s="934"/>
    </row>
    <row r="44" spans="1:11" x14ac:dyDescent="0.2">
      <c r="B44" s="734"/>
      <c r="C44" s="734"/>
      <c r="D44" s="734"/>
      <c r="E44" s="734"/>
      <c r="F44" s="734"/>
      <c r="G44" s="734"/>
      <c r="H44" s="734"/>
      <c r="I44" s="734"/>
      <c r="J44" s="734"/>
      <c r="K44" s="106"/>
    </row>
    <row r="45" spans="1:11" x14ac:dyDescent="0.2">
      <c r="B45"/>
      <c r="C45"/>
      <c r="D45"/>
      <c r="E45"/>
      <c r="F45"/>
      <c r="G45"/>
      <c r="H45"/>
      <c r="I45"/>
      <c r="J45"/>
      <c r="K45" s="104"/>
    </row>
    <row r="46" spans="1:11" x14ac:dyDescent="0.2">
      <c r="B46" s="104"/>
      <c r="C46" s="104"/>
      <c r="D46" s="104"/>
      <c r="E46" s="105"/>
      <c r="F46" s="104"/>
      <c r="G46" s="104"/>
      <c r="H46" s="104"/>
      <c r="I46" s="104"/>
      <c r="J46" s="104"/>
      <c r="K46" s="104"/>
    </row>
    <row r="47" spans="1:11" ht="13.5" x14ac:dyDescent="0.25">
      <c r="B47" s="135"/>
      <c r="C47" s="136"/>
      <c r="D47" s="137"/>
      <c r="E47" s="138"/>
      <c r="F47" s="137"/>
      <c r="G47" s="137"/>
      <c r="H47" s="137"/>
      <c r="I47" s="137"/>
      <c r="J47" s="137"/>
      <c r="K47" s="137"/>
    </row>
    <row r="48" spans="1:11" x14ac:dyDescent="0.2">
      <c r="B48" s="139"/>
      <c r="C48" s="139"/>
      <c r="D48" s="140"/>
      <c r="E48" s="141"/>
      <c r="F48" s="140"/>
      <c r="G48" s="140"/>
      <c r="H48" s="140"/>
      <c r="I48" s="140"/>
      <c r="J48" s="140"/>
      <c r="K48" s="140"/>
    </row>
  </sheetData>
  <mergeCells count="3">
    <mergeCell ref="D31:G31"/>
    <mergeCell ref="A41:K41"/>
    <mergeCell ref="A43:K43"/>
  </mergeCells>
  <printOptions horizontalCentered="1"/>
  <pageMargins left="0.7" right="0.7" top="0.75" bottom="0.75" header="0.3" footer="0.3"/>
  <pageSetup firstPageNumber="110"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FF00"/>
    <pageSetUpPr fitToPage="1"/>
  </sheetPr>
  <dimension ref="A1:L92"/>
  <sheetViews>
    <sheetView topLeftCell="A58" workbookViewId="0">
      <selection activeCell="A4" sqref="A4:F4"/>
    </sheetView>
  </sheetViews>
  <sheetFormatPr defaultColWidth="9.140625" defaultRowHeight="12.75" x14ac:dyDescent="0.2"/>
  <cols>
    <col min="1" max="1" width="38.42578125" customWidth="1"/>
    <col min="2" max="2" width="13.5703125" customWidth="1"/>
    <col min="3" max="3" width="1.28515625" customWidth="1"/>
    <col min="4" max="4" width="13.5703125" customWidth="1"/>
    <col min="5" max="5" width="1.28515625" customWidth="1"/>
    <col min="6" max="6" width="13.5703125" customWidth="1"/>
    <col min="8" max="8" width="11.42578125" bestFit="1" customWidth="1"/>
    <col min="9" max="9" width="9.5703125" bestFit="1" customWidth="1"/>
  </cols>
  <sheetData>
    <row r="1" spans="1:9" x14ac:dyDescent="0.2">
      <c r="A1" s="777" t="s">
        <v>0</v>
      </c>
      <c r="B1" s="777"/>
      <c r="C1" s="777"/>
      <c r="D1" s="777"/>
      <c r="E1" s="777"/>
      <c r="F1" s="777"/>
    </row>
    <row r="2" spans="1:9" s="19" customFormat="1" x14ac:dyDescent="0.2">
      <c r="A2" s="777" t="s">
        <v>601</v>
      </c>
      <c r="B2" s="777"/>
      <c r="C2" s="777"/>
      <c r="D2" s="777"/>
      <c r="E2" s="777"/>
      <c r="F2" s="777"/>
    </row>
    <row r="3" spans="1:9" x14ac:dyDescent="0.2">
      <c r="A3" s="777" t="s">
        <v>548</v>
      </c>
      <c r="B3" s="777"/>
      <c r="C3" s="777"/>
      <c r="D3" s="777"/>
      <c r="E3" s="777"/>
      <c r="F3" s="777"/>
    </row>
    <row r="4" spans="1:9" s="19" customFormat="1" x14ac:dyDescent="0.2">
      <c r="A4" s="913">
        <f>AnalysisTaxLevy!A4</f>
        <v>45838</v>
      </c>
      <c r="B4" s="913"/>
      <c r="C4" s="913"/>
      <c r="D4" s="913"/>
      <c r="E4" s="913"/>
      <c r="F4" s="913"/>
    </row>
    <row r="5" spans="1:9" ht="12" customHeight="1" thickBot="1" x14ac:dyDescent="0.25">
      <c r="A5" s="618"/>
      <c r="B5" s="618"/>
      <c r="C5" s="618"/>
      <c r="D5" s="618"/>
      <c r="E5" s="618"/>
      <c r="F5" s="618"/>
    </row>
    <row r="6" spans="1:9" x14ac:dyDescent="0.2">
      <c r="B6" s="54" t="s">
        <v>549</v>
      </c>
      <c r="C6" s="594"/>
      <c r="D6" s="54" t="s">
        <v>383</v>
      </c>
      <c r="E6" s="594"/>
      <c r="F6" s="54" t="s">
        <v>1</v>
      </c>
    </row>
    <row r="7" spans="1:9" x14ac:dyDescent="0.2">
      <c r="A7" s="229" t="s">
        <v>2</v>
      </c>
    </row>
    <row r="8" spans="1:9" x14ac:dyDescent="0.2">
      <c r="A8" s="231" t="s">
        <v>42</v>
      </c>
    </row>
    <row r="9" spans="1:9" x14ac:dyDescent="0.2">
      <c r="A9" s="241" t="s">
        <v>3</v>
      </c>
      <c r="B9" s="242">
        <f>0.51*'6-Net Pos-Prop'!D11</f>
        <v>69523.812000000005</v>
      </c>
      <c r="C9" s="248"/>
      <c r="D9" s="242">
        <f>0.49*'6-Net Pos-Prop'!D11</f>
        <v>66797.388000000006</v>
      </c>
      <c r="E9" s="248"/>
      <c r="F9" s="242">
        <f t="shared" ref="F9:F16" si="0">SUM(B9:D9)</f>
        <v>136321.20000000001</v>
      </c>
      <c r="H9" s="380"/>
      <c r="I9" s="380"/>
    </row>
    <row r="10" spans="1:9" x14ac:dyDescent="0.2">
      <c r="A10" s="241" t="s">
        <v>108</v>
      </c>
      <c r="B10" s="243">
        <v>49861</v>
      </c>
      <c r="C10" s="244"/>
      <c r="D10" s="243">
        <v>28475</v>
      </c>
      <c r="E10" s="244"/>
      <c r="F10" s="243">
        <f t="shared" si="0"/>
        <v>78336</v>
      </c>
    </row>
    <row r="11" spans="1:9" x14ac:dyDescent="0.2">
      <c r="A11" s="241" t="s">
        <v>109</v>
      </c>
      <c r="B11" s="243">
        <v>12635</v>
      </c>
      <c r="C11" s="244"/>
      <c r="D11" s="243">
        <v>8837</v>
      </c>
      <c r="E11" s="244"/>
      <c r="F11" s="243">
        <f t="shared" si="0"/>
        <v>21472</v>
      </c>
    </row>
    <row r="12" spans="1:9" x14ac:dyDescent="0.2">
      <c r="A12" s="538" t="s">
        <v>735</v>
      </c>
      <c r="B12" s="243">
        <v>13463</v>
      </c>
      <c r="C12" s="244"/>
      <c r="D12" s="243">
        <v>0</v>
      </c>
      <c r="E12" s="244"/>
      <c r="F12" s="243">
        <f t="shared" si="0"/>
        <v>13463</v>
      </c>
    </row>
    <row r="13" spans="1:9" x14ac:dyDescent="0.2">
      <c r="A13" s="538" t="s">
        <v>751</v>
      </c>
      <c r="B13" s="243">
        <v>868</v>
      </c>
      <c r="C13" s="244"/>
      <c r="D13" s="243">
        <v>0</v>
      </c>
      <c r="E13" s="244"/>
      <c r="F13" s="243">
        <f t="shared" si="0"/>
        <v>868</v>
      </c>
    </row>
    <row r="14" spans="1:9" x14ac:dyDescent="0.2">
      <c r="A14" s="241" t="s">
        <v>4</v>
      </c>
      <c r="B14" s="243">
        <v>63287</v>
      </c>
      <c r="C14" s="244"/>
      <c r="D14" s="243">
        <v>46994</v>
      </c>
      <c r="E14" s="244"/>
      <c r="F14" s="243">
        <f t="shared" si="0"/>
        <v>110281</v>
      </c>
    </row>
    <row r="15" spans="1:9" x14ac:dyDescent="0.2">
      <c r="A15" s="241" t="s">
        <v>110</v>
      </c>
      <c r="B15" s="244">
        <v>1986</v>
      </c>
      <c r="C15" s="244"/>
      <c r="D15" s="244">
        <v>579</v>
      </c>
      <c r="E15" s="244"/>
      <c r="F15" s="244">
        <f t="shared" si="0"/>
        <v>2565</v>
      </c>
    </row>
    <row r="16" spans="1:9" x14ac:dyDescent="0.2">
      <c r="A16" s="241" t="s">
        <v>545</v>
      </c>
      <c r="B16" s="246">
        <f>580345+8570</f>
        <v>588915</v>
      </c>
      <c r="C16" s="244"/>
      <c r="D16" s="246">
        <f>1077780+8360</f>
        <v>1086140</v>
      </c>
      <c r="E16" s="244"/>
      <c r="F16" s="246">
        <f t="shared" si="0"/>
        <v>1675055</v>
      </c>
    </row>
    <row r="17" spans="1:12" x14ac:dyDescent="0.2">
      <c r="A17" s="241" t="s">
        <v>43</v>
      </c>
      <c r="B17" s="245">
        <f>SUM(B9:B16)</f>
        <v>800538.81200000003</v>
      </c>
      <c r="C17" s="244"/>
      <c r="D17" s="245">
        <f>SUM(D9:D16)</f>
        <v>1237822.388</v>
      </c>
      <c r="E17" s="244"/>
      <c r="F17" s="245">
        <f>SUM(F9:F16)</f>
        <v>2038361.2</v>
      </c>
    </row>
    <row r="18" spans="1:12" ht="9" customHeight="1" x14ac:dyDescent="0.2">
      <c r="A18" s="231"/>
      <c r="B18" s="243"/>
      <c r="C18" s="244"/>
      <c r="D18" s="243"/>
      <c r="E18" s="244"/>
      <c r="F18" s="243"/>
      <c r="L18" s="507"/>
    </row>
    <row r="19" spans="1:12" x14ac:dyDescent="0.2">
      <c r="A19" s="231" t="s">
        <v>44</v>
      </c>
      <c r="B19" s="243"/>
      <c r="C19" s="244"/>
      <c r="D19" s="243"/>
      <c r="E19" s="244"/>
      <c r="F19" s="243"/>
    </row>
    <row r="20" spans="1:12" x14ac:dyDescent="0.2">
      <c r="A20" t="s">
        <v>735</v>
      </c>
      <c r="B20" s="243">
        <v>44269</v>
      </c>
      <c r="C20" s="244"/>
      <c r="D20" s="243">
        <v>0</v>
      </c>
      <c r="E20" s="244"/>
      <c r="F20" s="244">
        <f>+B20+D20</f>
        <v>44269</v>
      </c>
    </row>
    <row r="21" spans="1:12" x14ac:dyDescent="0.2">
      <c r="A21" s="241" t="s">
        <v>464</v>
      </c>
      <c r="B21" s="244"/>
      <c r="C21" s="244"/>
      <c r="D21" s="244"/>
      <c r="E21" s="244"/>
      <c r="F21" s="244"/>
    </row>
    <row r="22" spans="1:12" x14ac:dyDescent="0.2">
      <c r="A22" s="241" t="s">
        <v>541</v>
      </c>
      <c r="B22" s="244">
        <v>1899750</v>
      </c>
      <c r="C22" s="244"/>
      <c r="D22" s="244">
        <v>878799</v>
      </c>
      <c r="E22" s="244"/>
      <c r="F22" s="244">
        <f>+B22+D22</f>
        <v>2778549</v>
      </c>
    </row>
    <row r="23" spans="1:12" x14ac:dyDescent="0.2">
      <c r="A23" s="241" t="s">
        <v>437</v>
      </c>
      <c r="B23" s="244">
        <f>5239654</f>
        <v>5239654</v>
      </c>
      <c r="C23" s="244"/>
      <c r="D23" s="31">
        <v>4541802</v>
      </c>
      <c r="E23" s="31"/>
      <c r="F23" s="244">
        <f>+B23+D23</f>
        <v>9781456</v>
      </c>
    </row>
    <row r="24" spans="1:12" ht="25.5" x14ac:dyDescent="0.2">
      <c r="A24" s="303" t="s">
        <v>775</v>
      </c>
      <c r="B24" s="246">
        <v>28291</v>
      </c>
      <c r="C24" s="244"/>
      <c r="D24" s="5"/>
      <c r="E24" s="31"/>
      <c r="F24" s="244">
        <f>+B24+D24</f>
        <v>28291</v>
      </c>
    </row>
    <row r="25" spans="1:12" x14ac:dyDescent="0.2">
      <c r="A25" s="303" t="s">
        <v>776</v>
      </c>
      <c r="B25" s="246">
        <f>B22+B23+B24</f>
        <v>7167695</v>
      </c>
      <c r="C25" s="244"/>
      <c r="D25" s="246">
        <f>D22+D23+D24</f>
        <v>5420601</v>
      </c>
      <c r="E25" s="244"/>
      <c r="F25" s="246">
        <f>F22+F23+F24</f>
        <v>12588296</v>
      </c>
    </row>
    <row r="26" spans="1:12" x14ac:dyDescent="0.2">
      <c r="A26" s="241" t="s">
        <v>45</v>
      </c>
      <c r="B26" s="245">
        <f>+B25</f>
        <v>7167695</v>
      </c>
      <c r="C26" s="244"/>
      <c r="D26" s="245">
        <f>+D25</f>
        <v>5420601</v>
      </c>
      <c r="E26" s="244"/>
      <c r="F26" s="245">
        <f>F20++F25</f>
        <v>12632565</v>
      </c>
    </row>
    <row r="27" spans="1:12" x14ac:dyDescent="0.2">
      <c r="A27" s="241" t="s">
        <v>5</v>
      </c>
      <c r="B27" s="245">
        <f>+B26+B17</f>
        <v>7968233.8119999999</v>
      </c>
      <c r="C27" s="244"/>
      <c r="D27" s="245">
        <f>+D26+D17</f>
        <v>6658423.3880000003</v>
      </c>
      <c r="E27" s="244"/>
      <c r="F27" s="245">
        <f>+F26+F17</f>
        <v>14670926.199999999</v>
      </c>
    </row>
    <row r="28" spans="1:12" ht="9" customHeight="1" x14ac:dyDescent="0.2">
      <c r="A28" s="241"/>
      <c r="B28" s="244"/>
      <c r="C28" s="244"/>
      <c r="D28" s="244"/>
      <c r="E28" s="244"/>
      <c r="F28" s="244"/>
    </row>
    <row r="29" spans="1:12" x14ac:dyDescent="0.2">
      <c r="A29" s="229" t="s">
        <v>609</v>
      </c>
      <c r="B29" s="244"/>
      <c r="C29" s="244"/>
      <c r="D29" s="244"/>
      <c r="E29" s="244"/>
      <c r="F29" s="244"/>
    </row>
    <row r="30" spans="1:12" x14ac:dyDescent="0.2">
      <c r="A30" s="230" t="s">
        <v>649</v>
      </c>
      <c r="B30" s="244">
        <f>'6-Net Pos-Prop'!D33*0.51</f>
        <v>92110.541040000011</v>
      </c>
      <c r="C30" s="244"/>
      <c r="D30" s="244">
        <f>'6-Net Pos-Prop'!D33*0.49</f>
        <v>88498.362959999999</v>
      </c>
      <c r="E30" s="244"/>
      <c r="F30" s="244">
        <f>SUM(B30:D30)</f>
        <v>180608.90400000001</v>
      </c>
      <c r="H30" s="450"/>
    </row>
    <row r="31" spans="1:12" x14ac:dyDescent="0.2">
      <c r="A31" s="230" t="s">
        <v>696</v>
      </c>
      <c r="B31" s="312">
        <f>'6-Net Pos-Prop'!$D$34*0.51</f>
        <v>10411.344000000001</v>
      </c>
      <c r="C31" s="312"/>
      <c r="D31" s="312">
        <f>'6-Net Pos-Prop'!$D$34*0.49</f>
        <v>10003.056</v>
      </c>
      <c r="E31" s="312"/>
      <c r="F31" s="312">
        <f>SUM(B31:D31)</f>
        <v>20414.400000000001</v>
      </c>
      <c r="H31" s="450"/>
    </row>
    <row r="32" spans="1:12" x14ac:dyDescent="0.2">
      <c r="A32" s="231" t="s">
        <v>619</v>
      </c>
      <c r="B32" s="312">
        <f>157614*0.35</f>
        <v>55164.899999999994</v>
      </c>
      <c r="C32" s="312"/>
      <c r="D32" s="312">
        <f>157614-B32</f>
        <v>102449.1</v>
      </c>
      <c r="E32" s="312"/>
      <c r="F32" s="312">
        <f>SUM(B32:D32)</f>
        <v>157614</v>
      </c>
    </row>
    <row r="33" spans="1:6" x14ac:dyDescent="0.2">
      <c r="A33" s="241" t="s">
        <v>608</v>
      </c>
      <c r="B33" s="245">
        <f>SUM(B30:B32)</f>
        <v>157686.78503999999</v>
      </c>
      <c r="C33" s="244"/>
      <c r="D33" s="245">
        <f>SUM(D30:D32)</f>
        <v>200950.51896000002</v>
      </c>
      <c r="E33" s="244"/>
      <c r="F33" s="313">
        <f>SUM(B33:D33)</f>
        <v>358637.304</v>
      </c>
    </row>
    <row r="34" spans="1:6" ht="9" customHeight="1" x14ac:dyDescent="0.2">
      <c r="A34" s="230"/>
      <c r="B34" s="243"/>
      <c r="C34" s="244"/>
      <c r="D34" s="243"/>
      <c r="E34" s="244"/>
      <c r="F34" s="243"/>
    </row>
    <row r="35" spans="1:6" x14ac:dyDescent="0.2">
      <c r="A35" s="229" t="s">
        <v>6</v>
      </c>
      <c r="B35" s="243"/>
      <c r="C35" s="244"/>
      <c r="D35" s="243"/>
      <c r="E35" s="244"/>
      <c r="F35" s="243"/>
    </row>
    <row r="36" spans="1:6" x14ac:dyDescent="0.2">
      <c r="A36" s="231" t="s">
        <v>46</v>
      </c>
      <c r="B36" s="243"/>
      <c r="C36" s="243"/>
      <c r="D36" s="243"/>
      <c r="E36" s="244"/>
      <c r="F36" s="243"/>
    </row>
    <row r="37" spans="1:6" x14ac:dyDescent="0.2">
      <c r="A37" s="241" t="s">
        <v>121</v>
      </c>
      <c r="B37" s="243">
        <f>36125</f>
        <v>36125</v>
      </c>
      <c r="C37" s="243"/>
      <c r="D37" s="243">
        <v>25885</v>
      </c>
      <c r="E37" s="244"/>
      <c r="F37" s="243">
        <f t="shared" ref="F37:F44" si="1">SUM(B37:D37)</f>
        <v>62010</v>
      </c>
    </row>
    <row r="38" spans="1:6" x14ac:dyDescent="0.2">
      <c r="A38" s="230" t="s">
        <v>453</v>
      </c>
      <c r="B38" s="243">
        <v>528</v>
      </c>
      <c r="C38" s="243"/>
      <c r="D38" s="243">
        <v>0</v>
      </c>
      <c r="E38" s="244"/>
      <c r="F38" s="243">
        <f t="shared" si="1"/>
        <v>528</v>
      </c>
    </row>
    <row r="39" spans="1:6" x14ac:dyDescent="0.2">
      <c r="A39" s="241" t="s">
        <v>19</v>
      </c>
      <c r="B39" s="243">
        <f>'6-Net Pos-Prop'!D42*0.51</f>
        <v>1652.4</v>
      </c>
      <c r="C39" s="243"/>
      <c r="D39" s="243">
        <f>0.49*'6-Net Pos-Prop'!D42</f>
        <v>1587.6</v>
      </c>
      <c r="E39" s="243"/>
      <c r="F39" s="243">
        <f t="shared" si="1"/>
        <v>3240</v>
      </c>
    </row>
    <row r="40" spans="1:6" x14ac:dyDescent="0.2">
      <c r="A40" s="241" t="s">
        <v>113</v>
      </c>
      <c r="B40" s="539">
        <v>0</v>
      </c>
      <c r="C40" s="539"/>
      <c r="D40" s="244">
        <v>675000</v>
      </c>
      <c r="E40" s="244"/>
      <c r="F40" s="244">
        <f t="shared" ref="F40" si="2">SUM(B40:D40)</f>
        <v>675000</v>
      </c>
    </row>
    <row r="41" spans="1:6" x14ac:dyDescent="0.2">
      <c r="A41" s="241" t="s">
        <v>551</v>
      </c>
      <c r="B41" s="243">
        <v>4500</v>
      </c>
      <c r="C41" s="243"/>
      <c r="D41" s="243">
        <v>4500</v>
      </c>
      <c r="E41" s="243"/>
      <c r="F41" s="243">
        <f t="shared" si="1"/>
        <v>9000</v>
      </c>
    </row>
    <row r="42" spans="1:6" x14ac:dyDescent="0.2">
      <c r="A42" s="231" t="s">
        <v>750</v>
      </c>
      <c r="B42" s="243">
        <v>9423</v>
      </c>
      <c r="C42" s="243"/>
      <c r="D42" s="243">
        <v>0</v>
      </c>
      <c r="E42" s="243"/>
      <c r="F42" s="243">
        <f t="shared" si="1"/>
        <v>9423</v>
      </c>
    </row>
    <row r="43" spans="1:6" x14ac:dyDescent="0.2">
      <c r="A43" s="241" t="s">
        <v>532</v>
      </c>
      <c r="B43" s="243">
        <f>140350+48022*0.35</f>
        <v>157157.70000000001</v>
      </c>
      <c r="C43" s="243"/>
      <c r="D43" s="243">
        <f>260650+48022*0.65</f>
        <v>291864.3</v>
      </c>
      <c r="E43" s="243"/>
      <c r="F43" s="243">
        <f t="shared" si="1"/>
        <v>449022</v>
      </c>
    </row>
    <row r="44" spans="1:6" x14ac:dyDescent="0.2">
      <c r="A44" s="241" t="s">
        <v>112</v>
      </c>
      <c r="B44" s="243">
        <v>12019</v>
      </c>
      <c r="C44" s="243"/>
      <c r="D44" s="243">
        <v>22320</v>
      </c>
      <c r="E44" s="243"/>
      <c r="F44" s="243">
        <f t="shared" si="1"/>
        <v>34339</v>
      </c>
    </row>
    <row r="45" spans="1:6" x14ac:dyDescent="0.2">
      <c r="A45" s="241" t="s">
        <v>526</v>
      </c>
      <c r="B45" s="244"/>
      <c r="C45" s="244"/>
      <c r="D45" s="244"/>
      <c r="E45" s="244"/>
      <c r="F45" s="244"/>
    </row>
    <row r="46" spans="1:6" x14ac:dyDescent="0.2">
      <c r="A46" s="241" t="s">
        <v>18</v>
      </c>
      <c r="B46" s="244">
        <v>15557</v>
      </c>
      <c r="C46" s="244"/>
      <c r="D46" s="244">
        <v>100000</v>
      </c>
      <c r="E46" s="244"/>
      <c r="F46" s="244">
        <f>SUM(B46:D46)</f>
        <v>115557</v>
      </c>
    </row>
    <row r="47" spans="1:6" x14ac:dyDescent="0.2">
      <c r="A47" s="241" t="s">
        <v>767</v>
      </c>
      <c r="B47" s="243">
        <v>8570</v>
      </c>
      <c r="C47" s="244"/>
      <c r="D47" s="243">
        <v>8360</v>
      </c>
      <c r="E47" s="244"/>
      <c r="F47" s="243">
        <f>SUM(B47:D47)</f>
        <v>16930</v>
      </c>
    </row>
    <row r="48" spans="1:6" x14ac:dyDescent="0.2">
      <c r="A48" s="241" t="s">
        <v>48</v>
      </c>
      <c r="B48" s="245">
        <f>SUM(B37:B47)</f>
        <v>245532.1</v>
      </c>
      <c r="C48" s="244"/>
      <c r="D48" s="245">
        <f>SUM(D37:D47)</f>
        <v>1129516.8999999999</v>
      </c>
      <c r="E48" s="244"/>
      <c r="F48" s="245">
        <f>SUM(B48:D48)</f>
        <v>1375049</v>
      </c>
    </row>
    <row r="49" spans="1:11" ht="9" customHeight="1" x14ac:dyDescent="0.2">
      <c r="A49" s="241"/>
      <c r="B49" s="244"/>
      <c r="C49" s="244"/>
      <c r="D49" s="244"/>
      <c r="E49" s="244"/>
      <c r="F49" s="244"/>
    </row>
    <row r="50" spans="1:11" x14ac:dyDescent="0.2">
      <c r="A50" s="231" t="s">
        <v>49</v>
      </c>
      <c r="B50" s="244"/>
      <c r="C50" s="244"/>
      <c r="D50" s="244"/>
      <c r="E50" s="244"/>
      <c r="F50" s="244"/>
    </row>
    <row r="51" spans="1:11" x14ac:dyDescent="0.2">
      <c r="A51" s="241" t="s">
        <v>468</v>
      </c>
      <c r="B51" s="244"/>
      <c r="C51" s="244"/>
      <c r="D51" s="244"/>
      <c r="E51" s="244"/>
      <c r="F51" s="244"/>
    </row>
    <row r="52" spans="1:11" x14ac:dyDescent="0.2">
      <c r="A52" s="241" t="s">
        <v>645</v>
      </c>
      <c r="B52" s="244">
        <f>0.51*'6-Net Pos-Prop'!D54</f>
        <v>13770</v>
      </c>
      <c r="C52" s="244"/>
      <c r="D52" s="244">
        <f>0.49*'6-Net Pos-Prop'!D54</f>
        <v>13230</v>
      </c>
      <c r="E52" s="244"/>
      <c r="F52" s="244">
        <f>SUM(B52:D52)</f>
        <v>27000</v>
      </c>
    </row>
    <row r="53" spans="1:11" x14ac:dyDescent="0.2">
      <c r="A53" s="303" t="s">
        <v>695</v>
      </c>
      <c r="B53" s="244">
        <f>'6-Net Pos-Prop'!$D$58*0.51</f>
        <v>192960.12588000004</v>
      </c>
      <c r="C53" s="244"/>
      <c r="D53" s="244">
        <f>'6-Net Pos-Prop'!$D$58*0.49</f>
        <v>185393.06212000005</v>
      </c>
      <c r="E53" s="244"/>
      <c r="F53" s="244">
        <f>SUM(B53:D53)</f>
        <v>378353.18800000008</v>
      </c>
      <c r="I53" s="244"/>
      <c r="J53" s="244"/>
      <c r="K53" s="244"/>
    </row>
    <row r="54" spans="1:11" x14ac:dyDescent="0.2">
      <c r="A54" s="241" t="s">
        <v>47</v>
      </c>
      <c r="B54" s="243">
        <v>20950</v>
      </c>
      <c r="C54" s="244"/>
      <c r="D54" s="243">
        <v>20950</v>
      </c>
      <c r="E54" s="244"/>
      <c r="F54" s="244">
        <f t="shared" ref="F54:F70" si="3">SUM(B54:D54)</f>
        <v>41900</v>
      </c>
    </row>
    <row r="55" spans="1:11" x14ac:dyDescent="0.2">
      <c r="A55" s="231" t="s">
        <v>750</v>
      </c>
      <c r="B55" s="243">
        <v>19416</v>
      </c>
      <c r="C55" s="244"/>
      <c r="D55" s="243">
        <v>0</v>
      </c>
      <c r="E55" s="244"/>
      <c r="F55" s="244">
        <f t="shared" si="3"/>
        <v>19416</v>
      </c>
    </row>
    <row r="56" spans="1:11" x14ac:dyDescent="0.2">
      <c r="A56" s="303" t="s">
        <v>657</v>
      </c>
      <c r="B56" s="243">
        <f>'6-Net Pos-Prop'!$D$57*0.51</f>
        <v>105522.57204000001</v>
      </c>
      <c r="C56" s="244"/>
      <c r="D56" s="243">
        <f>'6-Net Pos-Prop'!$D$57*0.49</f>
        <v>101384.43196</v>
      </c>
      <c r="E56" s="244"/>
      <c r="F56" s="244">
        <f t="shared" si="3"/>
        <v>206907.00400000002</v>
      </c>
    </row>
    <row r="57" spans="1:11" ht="12.75" customHeight="1" x14ac:dyDescent="0.2">
      <c r="A57" s="241" t="s">
        <v>611</v>
      </c>
      <c r="B57" s="243">
        <f>840000+109592*0.35</f>
        <v>878357.2</v>
      </c>
      <c r="C57" s="244"/>
      <c r="D57" s="243">
        <f>1560000+109592*0.65</f>
        <v>1631234.8</v>
      </c>
      <c r="E57" s="244"/>
      <c r="F57" s="244">
        <f t="shared" si="3"/>
        <v>2509592</v>
      </c>
    </row>
    <row r="58" spans="1:11" x14ac:dyDescent="0.2">
      <c r="A58" s="241" t="s">
        <v>550</v>
      </c>
      <c r="B58" s="244">
        <v>305404</v>
      </c>
      <c r="C58" s="244"/>
      <c r="D58" s="244">
        <v>567180</v>
      </c>
      <c r="E58" s="244"/>
      <c r="F58" s="244">
        <f t="shared" si="3"/>
        <v>872584</v>
      </c>
    </row>
    <row r="59" spans="1:11" x14ac:dyDescent="0.2">
      <c r="A59" s="303" t="s">
        <v>7</v>
      </c>
      <c r="B59" s="245">
        <f>SUM(B48:B58)</f>
        <v>1781911.99792</v>
      </c>
      <c r="C59" s="244"/>
      <c r="D59" s="245">
        <f>SUM(D48:D58)</f>
        <v>3648889.1940799998</v>
      </c>
      <c r="E59" s="244"/>
      <c r="F59" s="245">
        <f>SUM(B59:D59)</f>
        <v>5430801.1919999998</v>
      </c>
    </row>
    <row r="60" spans="1:11" ht="9" customHeight="1" x14ac:dyDescent="0.2">
      <c r="A60" s="303"/>
      <c r="B60" s="244"/>
      <c r="C60" s="244"/>
      <c r="D60" s="244"/>
      <c r="E60" s="244"/>
      <c r="F60" s="244"/>
    </row>
    <row r="61" spans="1:11" x14ac:dyDescent="0.2">
      <c r="A61" s="416" t="s">
        <v>594</v>
      </c>
      <c r="B61" s="244"/>
      <c r="C61" s="244"/>
      <c r="D61" s="244"/>
      <c r="E61" s="244"/>
      <c r="F61" s="244"/>
    </row>
    <row r="62" spans="1:11" x14ac:dyDescent="0.2">
      <c r="A62" s="303" t="s">
        <v>635</v>
      </c>
      <c r="B62" s="244">
        <f>'6-Net Pos-Prop'!$D$65*0.51</f>
        <v>2209.3424399999981</v>
      </c>
      <c r="C62" s="244"/>
      <c r="D62" s="244">
        <f>'6-Net Pos-Prop'!$D$65*0.49</f>
        <v>2122.7015599999982</v>
      </c>
      <c r="E62" s="244"/>
      <c r="F62" s="244">
        <f>SUM(B62:D62)</f>
        <v>4332.0439999999962</v>
      </c>
    </row>
    <row r="63" spans="1:11" x14ac:dyDescent="0.2">
      <c r="A63" s="303" t="s">
        <v>696</v>
      </c>
      <c r="B63" s="244">
        <f>'6-Net Pos-Prop'!$D$66*0.51</f>
        <v>977.1130800000002</v>
      </c>
      <c r="C63" s="244"/>
      <c r="D63" s="244">
        <f>'6-Net Pos-Prop'!$D$66*0.49</f>
        <v>938.79492000000016</v>
      </c>
      <c r="E63" s="244"/>
      <c r="F63" s="244">
        <f>SUM(B63:D63)</f>
        <v>1915.9080000000004</v>
      </c>
    </row>
    <row r="64" spans="1:11" x14ac:dyDescent="0.2">
      <c r="A64" s="230" t="s">
        <v>742</v>
      </c>
      <c r="B64" s="244">
        <v>51321</v>
      </c>
      <c r="C64" s="244"/>
      <c r="D64" s="244">
        <v>0</v>
      </c>
      <c r="E64" s="244"/>
      <c r="F64" s="244">
        <f>SUM(B64:D64)</f>
        <v>51321</v>
      </c>
    </row>
    <row r="65" spans="1:9" x14ac:dyDescent="0.2">
      <c r="A65" s="230" t="s">
        <v>595</v>
      </c>
      <c r="B65" s="245">
        <f>SUM(B62:B64)</f>
        <v>54507.455519999996</v>
      </c>
      <c r="C65" s="244"/>
      <c r="D65" s="245">
        <f>SUM(D62:D64)</f>
        <v>3061.4964799999984</v>
      </c>
      <c r="E65" s="244"/>
      <c r="F65" s="245">
        <f>SUM(B65:D65)</f>
        <v>57568.951999999997</v>
      </c>
    </row>
    <row r="66" spans="1:9" ht="9" customHeight="1" x14ac:dyDescent="0.2">
      <c r="A66" s="303"/>
      <c r="B66" s="244"/>
      <c r="C66" s="244"/>
      <c r="D66" s="244"/>
      <c r="E66" s="244"/>
      <c r="F66" s="244"/>
    </row>
    <row r="67" spans="1:9" x14ac:dyDescent="0.2">
      <c r="A67" s="229" t="s">
        <v>596</v>
      </c>
      <c r="B67" s="244"/>
      <c r="C67" s="244"/>
      <c r="D67" s="263"/>
      <c r="E67" s="263"/>
      <c r="F67" s="244"/>
    </row>
    <row r="68" spans="1:9" x14ac:dyDescent="0.2">
      <c r="A68" s="230" t="s">
        <v>607</v>
      </c>
      <c r="B68" s="244">
        <f>6421976-78807-547</f>
        <v>6342622</v>
      </c>
      <c r="C68" s="244"/>
      <c r="D68" s="254">
        <f>3413231-78807</f>
        <v>3334424</v>
      </c>
      <c r="E68" s="254"/>
      <c r="F68" s="244">
        <f t="shared" si="3"/>
        <v>9677046</v>
      </c>
    </row>
    <row r="69" spans="1:9" x14ac:dyDescent="0.2">
      <c r="A69" s="230" t="s">
        <v>664</v>
      </c>
      <c r="B69" s="244">
        <f>'6-Net Pos-Prop'!$D$72*0.51</f>
        <v>55959.75</v>
      </c>
      <c r="C69" s="244"/>
      <c r="D69" s="244">
        <f>'6-Net Pos-Prop'!$D$72*0.49</f>
        <v>53765.25</v>
      </c>
      <c r="E69" s="244"/>
      <c r="F69" s="244">
        <f t="shared" si="3"/>
        <v>109725</v>
      </c>
    </row>
    <row r="70" spans="1:9" x14ac:dyDescent="0.2">
      <c r="A70" s="230" t="s">
        <v>51</v>
      </c>
      <c r="B70" s="244">
        <f>'6-Net Pos-Prop'!$D$73*0.51</f>
        <v>-125244.08640000031</v>
      </c>
      <c r="C70" s="244"/>
      <c r="D70" s="244">
        <f>'6-Net Pos-Prop'!$D$73*0.49</f>
        <v>-120332.55360000029</v>
      </c>
      <c r="E70" s="244"/>
      <c r="F70" s="244">
        <f t="shared" si="3"/>
        <v>-245576.6400000006</v>
      </c>
      <c r="H70" s="232"/>
      <c r="I70" s="232"/>
    </row>
    <row r="71" spans="1:9" ht="13.5" thickBot="1" x14ac:dyDescent="0.25">
      <c r="A71" s="230" t="s">
        <v>597</v>
      </c>
      <c r="B71" s="247">
        <f>SUM(B68:B70)</f>
        <v>6273337.6635999996</v>
      </c>
      <c r="C71" s="248"/>
      <c r="D71" s="247">
        <f>SUM(D68:D70)</f>
        <v>3267856.6963999998</v>
      </c>
      <c r="E71" s="248"/>
      <c r="F71" s="247">
        <f>SUM(F68:F70)-1</f>
        <v>9541193.3599999994</v>
      </c>
      <c r="H71" s="232"/>
    </row>
    <row r="72" spans="1:9" ht="9" customHeight="1" thickTop="1" thickBot="1" x14ac:dyDescent="0.25">
      <c r="A72" s="231"/>
      <c r="B72" s="248"/>
      <c r="C72" s="248"/>
      <c r="D72" s="248"/>
      <c r="E72" s="248"/>
      <c r="F72" s="248"/>
    </row>
    <row r="73" spans="1:9" ht="81.75" customHeight="1" thickBot="1" x14ac:dyDescent="0.25">
      <c r="A73" s="935" t="s">
        <v>857</v>
      </c>
      <c r="B73" s="936"/>
      <c r="C73" s="936"/>
      <c r="D73" s="936"/>
      <c r="E73" s="936"/>
      <c r="F73" s="937"/>
    </row>
    <row r="74" spans="1:9" x14ac:dyDescent="0.2">
      <c r="A74" s="736"/>
      <c r="B74" s="736"/>
      <c r="C74" s="736"/>
      <c r="D74" s="736"/>
      <c r="E74" s="736"/>
      <c r="F74" s="736"/>
    </row>
    <row r="75" spans="1:9" x14ac:dyDescent="0.2">
      <c r="A75" s="736"/>
      <c r="B75" s="736"/>
      <c r="C75" s="736"/>
      <c r="D75" s="736"/>
      <c r="E75" s="736"/>
      <c r="F75" s="736"/>
    </row>
    <row r="76" spans="1:9" x14ac:dyDescent="0.2">
      <c r="A76" s="736"/>
      <c r="B76" s="736"/>
      <c r="C76" s="736"/>
      <c r="D76" s="736"/>
      <c r="E76" s="736"/>
      <c r="F76" s="736"/>
    </row>
    <row r="77" spans="1:9" x14ac:dyDescent="0.2">
      <c r="A77" s="231"/>
      <c r="B77" s="248"/>
      <c r="C77" s="248"/>
      <c r="D77" s="248"/>
      <c r="E77" s="248"/>
      <c r="F77" s="248"/>
    </row>
    <row r="78" spans="1:9" x14ac:dyDescent="0.2">
      <c r="A78" s="231"/>
      <c r="B78" s="248"/>
      <c r="C78" s="248"/>
      <c r="D78" s="248"/>
      <c r="E78" s="248"/>
      <c r="F78" s="248"/>
    </row>
    <row r="79" spans="1:9" x14ac:dyDescent="0.2">
      <c r="A79" s="231"/>
      <c r="B79" s="248"/>
      <c r="C79" s="248"/>
      <c r="D79" s="248"/>
      <c r="E79" s="248"/>
      <c r="F79" s="248"/>
    </row>
    <row r="80" spans="1:9" x14ac:dyDescent="0.2">
      <c r="A80" s="231"/>
      <c r="F80" s="30"/>
    </row>
    <row r="84" spans="1:9" x14ac:dyDescent="0.2">
      <c r="A84" s="213"/>
    </row>
    <row r="92" spans="1:9" x14ac:dyDescent="0.2">
      <c r="I92" s="391"/>
    </row>
  </sheetData>
  <customSheetViews>
    <customSheetView guid="{AB48C5D7-99F4-4378-A0F9-05018B348977}">
      <selection activeCell="B39" sqref="B39"/>
      <pageMargins left="0.75" right="0.75" top="1" bottom="1" header="0.5" footer="0.5"/>
      <pageSetup scale="79" firstPageNumber="112" orientation="portrait" useFirstPageNumber="1" r:id="rId1"/>
      <headerFooter alignWithMargins="0"/>
    </customSheetView>
  </customSheetViews>
  <mergeCells count="5">
    <mergeCell ref="A1:F1"/>
    <mergeCell ref="A2:F2"/>
    <mergeCell ref="A4:F4"/>
    <mergeCell ref="A3:F3"/>
    <mergeCell ref="A73:F73"/>
  </mergeCells>
  <phoneticPr fontId="0" type="noConversion"/>
  <printOptions horizontalCentered="1"/>
  <pageMargins left="0.5" right="0.5" top="0.75" bottom="0.5" header="0.3" footer="0.3"/>
  <pageSetup scale="73" firstPageNumber="112" fitToWidth="0" orientation="portrait" r:id="rId2"/>
  <rowBreaks count="1" manualBreakCount="1">
    <brk id="76" max="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FF00"/>
    <pageSetUpPr fitToPage="1"/>
  </sheetPr>
  <dimension ref="A1:H50"/>
  <sheetViews>
    <sheetView topLeftCell="A18" workbookViewId="0">
      <selection activeCell="A36" sqref="A36"/>
    </sheetView>
  </sheetViews>
  <sheetFormatPr defaultColWidth="9.140625" defaultRowHeight="12.75" x14ac:dyDescent="0.2"/>
  <cols>
    <col min="1" max="1" width="30.7109375" customWidth="1"/>
    <col min="2" max="2" width="12.85546875" customWidth="1"/>
    <col min="3" max="3" width="1.28515625" customWidth="1"/>
    <col min="4" max="4" width="12.85546875" customWidth="1"/>
    <col min="5" max="5" width="1.28515625" customWidth="1"/>
    <col min="6" max="6" width="12.85546875" customWidth="1"/>
    <col min="7" max="7" width="14.42578125" customWidth="1"/>
    <col min="8" max="8" width="10.5703125" customWidth="1"/>
  </cols>
  <sheetData>
    <row r="1" spans="1:6" x14ac:dyDescent="0.2">
      <c r="A1" s="777" t="s">
        <v>0</v>
      </c>
      <c r="B1" s="777"/>
      <c r="C1" s="777"/>
      <c r="D1" s="777"/>
      <c r="E1" s="777"/>
      <c r="F1" s="777"/>
    </row>
    <row r="2" spans="1:6" s="19" customFormat="1" x14ac:dyDescent="0.2">
      <c r="A2" s="777" t="s">
        <v>622</v>
      </c>
      <c r="B2" s="777"/>
      <c r="C2" s="777"/>
      <c r="D2" s="777"/>
      <c r="E2" s="777"/>
      <c r="F2" s="777"/>
    </row>
    <row r="3" spans="1:6" x14ac:dyDescent="0.2">
      <c r="A3" s="777" t="s">
        <v>548</v>
      </c>
      <c r="B3" s="777"/>
      <c r="C3" s="777"/>
      <c r="D3" s="777"/>
      <c r="E3" s="777"/>
      <c r="F3" s="777"/>
    </row>
    <row r="4" spans="1:6" s="19" customFormat="1" x14ac:dyDescent="0.2">
      <c r="A4" s="777" t="str">
        <f>'5-GASB34GovtFundsBudget'!C4</f>
        <v>For the Year Ended June 30, 2025</v>
      </c>
      <c r="B4" s="777"/>
      <c r="C4" s="777"/>
      <c r="D4" s="777"/>
      <c r="E4" s="777"/>
      <c r="F4" s="777"/>
    </row>
    <row r="5" spans="1:6" s="19" customFormat="1" x14ac:dyDescent="0.2">
      <c r="A5" s="228"/>
      <c r="B5" s="228"/>
      <c r="C5" s="228"/>
      <c r="D5" s="228"/>
      <c r="E5" s="228"/>
      <c r="F5" s="228"/>
    </row>
    <row r="6" spans="1:6" ht="13.5" thickBot="1" x14ac:dyDescent="0.25">
      <c r="A6" s="618"/>
      <c r="B6" s="618"/>
      <c r="C6" s="618"/>
      <c r="D6" s="618"/>
      <c r="E6" s="618"/>
      <c r="F6" s="618"/>
    </row>
    <row r="7" spans="1:6" x14ac:dyDescent="0.2">
      <c r="B7" s="54" t="s">
        <v>549</v>
      </c>
      <c r="C7" s="594"/>
      <c r="D7" s="54" t="s">
        <v>383</v>
      </c>
      <c r="E7" s="594"/>
      <c r="F7" s="54" t="s">
        <v>1</v>
      </c>
    </row>
    <row r="8" spans="1:6" x14ac:dyDescent="0.2">
      <c r="A8" s="101" t="s">
        <v>53</v>
      </c>
    </row>
    <row r="9" spans="1:6" x14ac:dyDescent="0.2">
      <c r="A9" s="33" t="s">
        <v>28</v>
      </c>
      <c r="B9" s="248">
        <f>0.51*'7-Rev, Exp-Prop'!D10+119438</f>
        <v>900530.54</v>
      </c>
      <c r="C9" s="248"/>
      <c r="D9" s="248">
        <f>0.49*'7-Rev, Exp-Prop'!$D$10-119438</f>
        <v>631023.46</v>
      </c>
      <c r="E9" s="248"/>
      <c r="F9" s="248">
        <f>SUM(B9:D9)</f>
        <v>1531554</v>
      </c>
    </row>
    <row r="10" spans="1:6" x14ac:dyDescent="0.2">
      <c r="A10" s="33" t="s">
        <v>83</v>
      </c>
      <c r="B10" s="244">
        <v>7500</v>
      </c>
      <c r="C10" s="244"/>
      <c r="D10" s="244">
        <v>4600</v>
      </c>
      <c r="E10" s="244"/>
      <c r="F10" s="244">
        <f>SUM(B10:D10)</f>
        <v>12100</v>
      </c>
    </row>
    <row r="11" spans="1:6" x14ac:dyDescent="0.2">
      <c r="A11" s="33" t="s">
        <v>84</v>
      </c>
      <c r="B11" s="246">
        <v>330</v>
      </c>
      <c r="C11" s="244"/>
      <c r="D11" s="246">
        <v>300</v>
      </c>
      <c r="E11" s="244"/>
      <c r="F11" s="246">
        <f>SUM(B11:D11)</f>
        <v>630</v>
      </c>
    </row>
    <row r="12" spans="1:6" x14ac:dyDescent="0.2">
      <c r="A12" s="101" t="s">
        <v>54</v>
      </c>
      <c r="B12" s="245">
        <f>SUM(B9:B11)</f>
        <v>908360.54</v>
      </c>
      <c r="C12" s="244"/>
      <c r="D12" s="245">
        <f>SUM(D9:D11)</f>
        <v>635923.46</v>
      </c>
      <c r="E12" s="244"/>
      <c r="F12" s="245">
        <f>SUM(F9:F11)</f>
        <v>1544284</v>
      </c>
    </row>
    <row r="13" spans="1:6" x14ac:dyDescent="0.2">
      <c r="A13" s="33"/>
      <c r="B13" s="244"/>
      <c r="C13" s="244"/>
      <c r="D13" s="244"/>
      <c r="E13" s="244"/>
      <c r="F13" s="244"/>
    </row>
    <row r="14" spans="1:6" x14ac:dyDescent="0.2">
      <c r="A14" s="101" t="s">
        <v>55</v>
      </c>
      <c r="B14" s="243"/>
      <c r="C14" s="244"/>
      <c r="D14" s="243"/>
      <c r="E14" s="244"/>
      <c r="F14" s="243"/>
    </row>
    <row r="15" spans="1:6" x14ac:dyDescent="0.2">
      <c r="A15" s="33" t="s">
        <v>85</v>
      </c>
      <c r="B15" s="243">
        <f>0.51*'7-Rev, Exp-Prop'!D16</f>
        <v>182277.315</v>
      </c>
      <c r="C15" s="244"/>
      <c r="D15" s="243">
        <f>0.49*'7-Rev, Exp-Prop'!D16</f>
        <v>175129.185</v>
      </c>
      <c r="E15" s="244"/>
      <c r="F15" s="243">
        <f>SUM(B15:D15)</f>
        <v>357406.5</v>
      </c>
    </row>
    <row r="16" spans="1:6" x14ac:dyDescent="0.2">
      <c r="A16" s="33" t="s">
        <v>86</v>
      </c>
      <c r="B16" s="243">
        <f>0.51*'7-Rev, Exp-Prop'!D17</f>
        <v>41307.96</v>
      </c>
      <c r="C16" s="244"/>
      <c r="D16" s="243">
        <f>0.49*'7-Rev, Exp-Prop'!D17</f>
        <v>39688.04</v>
      </c>
      <c r="E16" s="244"/>
      <c r="F16" s="243">
        <f>SUM(B16:D16)</f>
        <v>80996</v>
      </c>
    </row>
    <row r="17" spans="1:6" x14ac:dyDescent="0.2">
      <c r="A17" s="33" t="s">
        <v>89</v>
      </c>
      <c r="B17" s="243">
        <f>56353+15678+74556+140000</f>
        <v>286587</v>
      </c>
      <c r="C17" s="244"/>
      <c r="D17" s="243">
        <v>0</v>
      </c>
      <c r="E17" s="244"/>
      <c r="F17" s="243">
        <f>SUM(B17:D17)</f>
        <v>286587</v>
      </c>
    </row>
    <row r="18" spans="1:6" x14ac:dyDescent="0.2">
      <c r="A18" s="33" t="s">
        <v>90</v>
      </c>
      <c r="B18" s="243">
        <v>0</v>
      </c>
      <c r="C18" s="244"/>
      <c r="D18" s="243">
        <f>129744+11165-74556+125000</f>
        <v>191353</v>
      </c>
      <c r="E18" s="244"/>
      <c r="F18" s="243">
        <f>SUM(B18:D18)</f>
        <v>191353</v>
      </c>
    </row>
    <row r="19" spans="1:6" x14ac:dyDescent="0.2">
      <c r="A19" s="33" t="s">
        <v>752</v>
      </c>
      <c r="B19" s="246">
        <f>190675+9431</f>
        <v>200106</v>
      </c>
      <c r="C19" s="244"/>
      <c r="D19" s="246">
        <v>60529</v>
      </c>
      <c r="E19" s="244"/>
      <c r="F19" s="246">
        <f>SUM(B19:D19)</f>
        <v>260635</v>
      </c>
    </row>
    <row r="20" spans="1:6" x14ac:dyDescent="0.2">
      <c r="A20" s="101" t="s">
        <v>483</v>
      </c>
      <c r="B20" s="245">
        <f>SUM(B15:B19)</f>
        <v>710278.27500000002</v>
      </c>
      <c r="C20" s="244"/>
      <c r="D20" s="245">
        <f>SUM(D15:D19)</f>
        <v>466699.22499999998</v>
      </c>
      <c r="E20" s="244"/>
      <c r="F20" s="245">
        <f>SUM(F15:F19)</f>
        <v>1176977.5</v>
      </c>
    </row>
    <row r="21" spans="1:6" x14ac:dyDescent="0.2">
      <c r="A21" s="101"/>
      <c r="B21" s="244"/>
      <c r="C21" s="244"/>
      <c r="D21" s="244"/>
      <c r="E21" s="244"/>
      <c r="F21" s="244"/>
    </row>
    <row r="22" spans="1:6" x14ac:dyDescent="0.2">
      <c r="A22" s="101" t="s">
        <v>57</v>
      </c>
      <c r="B22" s="246">
        <f>+B12-B20</f>
        <v>198082.26500000001</v>
      </c>
      <c r="C22" s="244"/>
      <c r="D22" s="246">
        <f>+D12-D20</f>
        <v>169224.23499999999</v>
      </c>
      <c r="E22" s="244"/>
      <c r="F22" s="246">
        <f>+F12-F20-1</f>
        <v>367305.5</v>
      </c>
    </row>
    <row r="23" spans="1:6" x14ac:dyDescent="0.2">
      <c r="B23" s="243"/>
      <c r="C23" s="244"/>
      <c r="D23" s="243"/>
      <c r="E23" s="244"/>
      <c r="F23" s="243"/>
    </row>
    <row r="24" spans="1:6" x14ac:dyDescent="0.2">
      <c r="A24" s="101" t="s">
        <v>58</v>
      </c>
      <c r="B24" s="243"/>
      <c r="C24" s="244"/>
      <c r="D24" s="243"/>
      <c r="E24" s="244"/>
      <c r="F24" s="243"/>
    </row>
    <row r="25" spans="1:6" x14ac:dyDescent="0.2">
      <c r="A25" s="251" t="s">
        <v>744</v>
      </c>
      <c r="B25" s="243">
        <v>12830</v>
      </c>
      <c r="C25" s="244"/>
      <c r="D25" s="243">
        <v>0</v>
      </c>
      <c r="E25" s="244"/>
      <c r="F25" s="243">
        <f>SUM(B25:D25)</f>
        <v>12830</v>
      </c>
    </row>
    <row r="26" spans="1:6" x14ac:dyDescent="0.2">
      <c r="A26" s="251" t="s">
        <v>29</v>
      </c>
      <c r="B26" s="243">
        <f>16935+868</f>
        <v>17803</v>
      </c>
      <c r="C26" s="244"/>
      <c r="D26" s="243">
        <v>21187</v>
      </c>
      <c r="E26" s="244"/>
      <c r="F26" s="243">
        <f>SUM(B26:D26)</f>
        <v>38990</v>
      </c>
    </row>
    <row r="27" spans="1:6" x14ac:dyDescent="0.2">
      <c r="A27" s="251" t="s">
        <v>35</v>
      </c>
      <c r="B27" s="243">
        <f>-20380-762+169</f>
        <v>-20973</v>
      </c>
      <c r="C27" s="244"/>
      <c r="D27" s="243">
        <v>-58006</v>
      </c>
      <c r="E27" s="244"/>
      <c r="F27" s="243">
        <f>SUM(B27:D27)</f>
        <v>-78979</v>
      </c>
    </row>
    <row r="28" spans="1:6" x14ac:dyDescent="0.2">
      <c r="A28" s="251" t="s">
        <v>91</v>
      </c>
      <c r="B28" s="243">
        <v>-2500</v>
      </c>
      <c r="C28" s="244"/>
      <c r="D28" s="243">
        <v>-7500</v>
      </c>
      <c r="E28" s="244"/>
      <c r="F28" s="243">
        <f>SUM(B28:D28)</f>
        <v>-10000</v>
      </c>
    </row>
    <row r="29" spans="1:6" ht="25.5" x14ac:dyDescent="0.2">
      <c r="A29" s="229" t="s">
        <v>59</v>
      </c>
      <c r="B29" s="245">
        <f>SUM(B25:B28)</f>
        <v>7160</v>
      </c>
      <c r="C29" s="244"/>
      <c r="D29" s="245">
        <f>SUM(D26:D28)</f>
        <v>-44319</v>
      </c>
      <c r="E29" s="244"/>
      <c r="F29" s="245">
        <f>SUM(F25:F28)</f>
        <v>-37159</v>
      </c>
    </row>
    <row r="30" spans="1:6" x14ac:dyDescent="0.2">
      <c r="A30" s="229"/>
      <c r="B30" s="244"/>
      <c r="C30" s="244"/>
      <c r="D30" s="244"/>
      <c r="E30" s="244"/>
      <c r="F30" s="244"/>
    </row>
    <row r="31" spans="1:6" ht="25.5" x14ac:dyDescent="0.2">
      <c r="A31" s="229" t="s">
        <v>60</v>
      </c>
      <c r="B31" s="243">
        <f>+B22+B29</f>
        <v>205242.26500000001</v>
      </c>
      <c r="C31" s="244"/>
      <c r="D31" s="243">
        <f>+D22+D29</f>
        <v>124905.23499999999</v>
      </c>
      <c r="E31" s="244"/>
      <c r="F31" s="243">
        <f>+F22+F29</f>
        <v>330146.5</v>
      </c>
    </row>
    <row r="32" spans="1:6" x14ac:dyDescent="0.2">
      <c r="A32" s="251" t="s">
        <v>61</v>
      </c>
      <c r="B32" s="243">
        <v>86394</v>
      </c>
      <c r="C32" s="244"/>
      <c r="D32" s="243">
        <v>41554</v>
      </c>
      <c r="E32" s="244"/>
      <c r="F32" s="243">
        <f>SUM(B32:D32)</f>
        <v>127948</v>
      </c>
    </row>
    <row r="33" spans="1:8" ht="25.5" x14ac:dyDescent="0.2">
      <c r="A33" s="251" t="s">
        <v>513</v>
      </c>
      <c r="B33" s="243">
        <v>0</v>
      </c>
      <c r="C33" s="244"/>
      <c r="D33" s="243">
        <v>1281046</v>
      </c>
      <c r="E33" s="244"/>
      <c r="F33" s="243">
        <f>SUM(B33:D33)</f>
        <v>1281046</v>
      </c>
    </row>
    <row r="34" spans="1:8" x14ac:dyDescent="0.2">
      <c r="A34" s="251" t="s">
        <v>460</v>
      </c>
      <c r="B34" s="243">
        <v>48700</v>
      </c>
      <c r="C34" s="244"/>
      <c r="D34" s="243">
        <v>48700</v>
      </c>
      <c r="E34" s="244"/>
      <c r="F34" s="243">
        <f>SUM(B34:D34)</f>
        <v>97400</v>
      </c>
    </row>
    <row r="35" spans="1:8" x14ac:dyDescent="0.2">
      <c r="A35" s="251" t="s">
        <v>461</v>
      </c>
      <c r="B35" s="246">
        <v>-2414</v>
      </c>
      <c r="C35" s="244"/>
      <c r="D35" s="246">
        <v>-2413</v>
      </c>
      <c r="E35" s="244"/>
      <c r="F35" s="246">
        <f>SUM(B35:D35)</f>
        <v>-4827</v>
      </c>
    </row>
    <row r="36" spans="1:8" x14ac:dyDescent="0.2">
      <c r="A36" s="229"/>
      <c r="B36" s="249"/>
      <c r="C36" s="244"/>
      <c r="D36" s="249"/>
      <c r="E36" s="244"/>
      <c r="F36" s="249"/>
    </row>
    <row r="37" spans="1:8" x14ac:dyDescent="0.2">
      <c r="A37" s="229" t="s">
        <v>600</v>
      </c>
      <c r="B37" s="243">
        <f>B31+B32+B33+B34+B35</f>
        <v>337922.26500000001</v>
      </c>
      <c r="C37" s="244"/>
      <c r="D37" s="243">
        <f>D31+D32+D33+D34+D35</f>
        <v>1493792.2349999999</v>
      </c>
      <c r="E37" s="244"/>
      <c r="F37" s="243">
        <f>F31+F32+F33+F34+F35</f>
        <v>1831713.5</v>
      </c>
    </row>
    <row r="38" spans="1:8" x14ac:dyDescent="0.2">
      <c r="A38" s="229"/>
      <c r="B38" s="243"/>
      <c r="C38" s="244"/>
      <c r="D38" s="243"/>
      <c r="E38" s="244"/>
      <c r="F38" s="243"/>
    </row>
    <row r="39" spans="1:8" x14ac:dyDescent="0.2">
      <c r="A39" s="744" t="s">
        <v>880</v>
      </c>
      <c r="B39" s="244">
        <f>(7709410*0.51)</f>
        <v>3931799.1</v>
      </c>
      <c r="C39" s="244"/>
      <c r="D39" s="244">
        <f>(7709410*0.49)+0.61</f>
        <v>3777611.51</v>
      </c>
      <c r="E39" s="244"/>
      <c r="F39" s="738">
        <v>7709399</v>
      </c>
      <c r="G39" s="30"/>
    </row>
    <row r="40" spans="1:8" ht="13.5" thickBot="1" x14ac:dyDescent="0.25">
      <c r="A40" s="764" t="s">
        <v>871</v>
      </c>
      <c r="B40" s="247">
        <f>SUM(B37+B39)</f>
        <v>4269721.3650000002</v>
      </c>
      <c r="C40" s="248"/>
      <c r="D40" s="247">
        <f>SUM(D37+D39)</f>
        <v>5271403.7449999992</v>
      </c>
      <c r="E40" s="248"/>
      <c r="F40" s="247">
        <f>SUM(F37+F39)+0.4</f>
        <v>9541112.9000000004</v>
      </c>
      <c r="G40" s="232"/>
      <c r="H40" s="232"/>
    </row>
    <row r="41" spans="1:8" ht="13.5" thickTop="1" x14ac:dyDescent="0.2">
      <c r="B41" s="232"/>
      <c r="C41" s="232"/>
      <c r="D41" s="232"/>
      <c r="E41" s="232"/>
      <c r="F41" s="232"/>
      <c r="G41" s="232"/>
    </row>
    <row r="42" spans="1:8" ht="13.5" thickBot="1" x14ac:dyDescent="0.25">
      <c r="G42" s="401"/>
    </row>
    <row r="43" spans="1:8" ht="91.5" customHeight="1" thickBot="1" x14ac:dyDescent="0.25">
      <c r="A43" s="817" t="s">
        <v>630</v>
      </c>
      <c r="B43" s="818"/>
      <c r="C43" s="818"/>
      <c r="D43" s="818"/>
      <c r="E43" s="818"/>
      <c r="F43" s="819"/>
    </row>
    <row r="44" spans="1:8" x14ac:dyDescent="0.2">
      <c r="A44" s="737"/>
      <c r="B44" s="737"/>
      <c r="C44" s="737"/>
      <c r="D44" s="737"/>
      <c r="E44" s="737"/>
      <c r="F44" s="737"/>
    </row>
    <row r="45" spans="1:8" x14ac:dyDescent="0.2">
      <c r="A45" s="737"/>
      <c r="B45" s="737"/>
      <c r="C45" s="737"/>
      <c r="D45" s="737"/>
      <c r="E45" s="737"/>
      <c r="F45" s="737"/>
    </row>
    <row r="46" spans="1:8" x14ac:dyDescent="0.2">
      <c r="A46" s="737"/>
      <c r="B46" s="737"/>
      <c r="C46" s="737"/>
      <c r="D46" s="737"/>
      <c r="E46" s="737"/>
      <c r="F46" s="737"/>
    </row>
    <row r="47" spans="1:8" ht="15.6" customHeight="1" x14ac:dyDescent="0.2">
      <c r="A47" s="737"/>
      <c r="B47" s="737"/>
      <c r="C47" s="737"/>
      <c r="D47" s="737"/>
      <c r="E47" s="737"/>
      <c r="F47" s="737"/>
    </row>
    <row r="50" spans="2:6" x14ac:dyDescent="0.2">
      <c r="B50" s="232"/>
      <c r="C50" s="232"/>
      <c r="D50" s="232"/>
      <c r="E50" s="232"/>
      <c r="F50" s="232">
        <f>F40-'USDA-WSF SNP'!F71</f>
        <v>-80.459999999031425</v>
      </c>
    </row>
  </sheetData>
  <customSheetViews>
    <customSheetView guid="{AB48C5D7-99F4-4378-A0F9-05018B348977}">
      <selection activeCell="B39" sqref="B39"/>
      <pageMargins left="0.75" right="0.75" top="1" bottom="1" header="0.5" footer="0.5"/>
      <pageSetup scale="79" firstPageNumber="113" orientation="portrait" useFirstPageNumber="1" r:id="rId1"/>
      <headerFooter alignWithMargins="0"/>
    </customSheetView>
  </customSheetViews>
  <mergeCells count="5">
    <mergeCell ref="A1:F1"/>
    <mergeCell ref="A2:F2"/>
    <mergeCell ref="A3:F3"/>
    <mergeCell ref="A4:F4"/>
    <mergeCell ref="A43:F43"/>
  </mergeCells>
  <phoneticPr fontId="0" type="noConversion"/>
  <printOptions horizontalCentered="1"/>
  <pageMargins left="0.7" right="0.7" top="0.75" bottom="0.75" header="0.3" footer="0.3"/>
  <pageSetup firstPageNumber="113" fitToWidth="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FF00"/>
    <pageSetUpPr fitToPage="1"/>
  </sheetPr>
  <dimension ref="A1:H80"/>
  <sheetViews>
    <sheetView topLeftCell="A50" workbookViewId="0">
      <selection activeCell="A38" sqref="A38"/>
    </sheetView>
  </sheetViews>
  <sheetFormatPr defaultColWidth="9.140625" defaultRowHeight="12.75" x14ac:dyDescent="0.2"/>
  <cols>
    <col min="1" max="1" width="49" customWidth="1"/>
    <col min="2" max="2" width="12.7109375" customWidth="1"/>
    <col min="3" max="3" width="1.7109375" customWidth="1"/>
    <col min="4" max="4" width="11.42578125" customWidth="1"/>
    <col min="5" max="5" width="1.7109375" customWidth="1"/>
    <col min="6" max="6" width="11.42578125" customWidth="1"/>
    <col min="7" max="7" width="11.28515625" customWidth="1"/>
  </cols>
  <sheetData>
    <row r="1" spans="1:6" x14ac:dyDescent="0.2">
      <c r="A1" s="57" t="s">
        <v>0</v>
      </c>
      <c r="B1" s="57"/>
      <c r="C1" s="57"/>
      <c r="D1" s="57"/>
      <c r="E1" s="57"/>
      <c r="F1" s="57"/>
    </row>
    <row r="2" spans="1:6" x14ac:dyDescent="0.2">
      <c r="A2" s="57" t="s">
        <v>553</v>
      </c>
      <c r="B2" s="57"/>
      <c r="C2" s="57"/>
      <c r="D2" s="57"/>
      <c r="E2" s="57"/>
      <c r="F2" s="57"/>
    </row>
    <row r="3" spans="1:6" x14ac:dyDescent="0.2">
      <c r="A3" s="57" t="s">
        <v>548</v>
      </c>
      <c r="B3" s="57"/>
      <c r="C3" s="57"/>
      <c r="D3" s="57"/>
      <c r="E3" s="57"/>
      <c r="F3" s="57"/>
    </row>
    <row r="4" spans="1:6" s="19" customFormat="1" x14ac:dyDescent="0.2">
      <c r="A4" s="57" t="str">
        <f>'5-GASB34GovtFundsBudget'!C4</f>
        <v>For the Year Ended June 30, 2025</v>
      </c>
      <c r="B4" s="57"/>
      <c r="C4" s="57"/>
      <c r="D4" s="57"/>
      <c r="E4" s="57"/>
      <c r="F4" s="57"/>
    </row>
    <row r="5" spans="1:6" s="19" customFormat="1" x14ac:dyDescent="0.2">
      <c r="A5" s="57"/>
      <c r="B5" s="57"/>
      <c r="C5" s="57"/>
      <c r="D5" s="57"/>
      <c r="E5" s="57"/>
      <c r="F5" s="57"/>
    </row>
    <row r="6" spans="1:6" s="19" customFormat="1" x14ac:dyDescent="0.2">
      <c r="A6" s="57"/>
      <c r="B6" s="57"/>
      <c r="C6" s="57"/>
      <c r="D6" s="57"/>
      <c r="E6" s="57"/>
      <c r="F6" s="57"/>
    </row>
    <row r="7" spans="1:6" ht="13.5" thickBot="1" x14ac:dyDescent="0.25">
      <c r="A7" s="625"/>
      <c r="B7" s="625"/>
      <c r="C7" s="625"/>
      <c r="D7" s="625"/>
      <c r="E7" s="625"/>
      <c r="F7" s="625"/>
    </row>
    <row r="8" spans="1:6" x14ac:dyDescent="0.2">
      <c r="A8" s="101"/>
      <c r="B8" s="56" t="s">
        <v>549</v>
      </c>
      <c r="C8" s="228"/>
      <c r="D8" s="56" t="s">
        <v>383</v>
      </c>
      <c r="E8" s="56"/>
      <c r="F8" s="56" t="s">
        <v>1</v>
      </c>
    </row>
    <row r="9" spans="1:6" x14ac:dyDescent="0.2">
      <c r="A9" s="229" t="s">
        <v>858</v>
      </c>
    </row>
    <row r="10" spans="1:6" x14ac:dyDescent="0.2">
      <c r="A10" s="230" t="s">
        <v>444</v>
      </c>
      <c r="B10" s="59">
        <f>'8-Cash Flow-Prop'!D13*0.51+119373</f>
        <v>909999.99</v>
      </c>
      <c r="D10" s="59">
        <f>'8-Cash Flow-Prop'!$D$13*0.49-119373</f>
        <v>640249.01</v>
      </c>
      <c r="F10" s="59">
        <f t="shared" ref="F10:F15" si="0">B10+D10</f>
        <v>1550249</v>
      </c>
    </row>
    <row r="11" spans="1:6" x14ac:dyDescent="0.2">
      <c r="A11" s="231" t="s">
        <v>387</v>
      </c>
      <c r="B11" s="31">
        <v>-105169</v>
      </c>
      <c r="C11" s="31"/>
      <c r="D11" s="31">
        <v>-99756</v>
      </c>
      <c r="E11" s="31"/>
      <c r="F11" s="31">
        <f t="shared" si="0"/>
        <v>-204925</v>
      </c>
    </row>
    <row r="12" spans="1:6" x14ac:dyDescent="0.2">
      <c r="A12" s="231" t="s">
        <v>388</v>
      </c>
      <c r="B12" s="31">
        <f>'8-Cash Flow-Prop'!D15*0.51-105780+174+1.5</f>
        <v>-493081.48800000001</v>
      </c>
      <c r="C12" s="31"/>
      <c r="D12" s="31">
        <f>'8-Cash Flow-Prop'!D15*0.49+105780-176-0.19</f>
        <v>-266678.00200000004</v>
      </c>
      <c r="E12" s="31"/>
      <c r="F12" s="31">
        <f t="shared" si="0"/>
        <v>-759759.49</v>
      </c>
    </row>
    <row r="13" spans="1:6" x14ac:dyDescent="0.2">
      <c r="A13" s="231" t="s">
        <v>389</v>
      </c>
      <c r="B13" s="31">
        <v>4587</v>
      </c>
      <c r="C13" s="31"/>
      <c r="D13" s="31">
        <v>703</v>
      </c>
      <c r="E13" s="31"/>
      <c r="F13" s="31">
        <f t="shared" si="0"/>
        <v>5290</v>
      </c>
    </row>
    <row r="14" spans="1:6" x14ac:dyDescent="0.2">
      <c r="A14" s="231" t="s">
        <v>390</v>
      </c>
      <c r="B14" s="31">
        <v>-5618</v>
      </c>
      <c r="C14" s="31"/>
      <c r="D14" s="31">
        <v>-2855</v>
      </c>
      <c r="E14" s="31"/>
      <c r="F14" s="31">
        <f t="shared" si="0"/>
        <v>-8473</v>
      </c>
    </row>
    <row r="15" spans="1:6" x14ac:dyDescent="0.2">
      <c r="A15" s="231" t="s">
        <v>84</v>
      </c>
      <c r="B15" s="5">
        <v>330</v>
      </c>
      <c r="C15" s="31"/>
      <c r="D15" s="5">
        <v>300</v>
      </c>
      <c r="E15" s="31"/>
      <c r="F15" s="31">
        <f t="shared" si="0"/>
        <v>630</v>
      </c>
    </row>
    <row r="16" spans="1:6" x14ac:dyDescent="0.2">
      <c r="A16" s="251" t="s">
        <v>391</v>
      </c>
      <c r="B16" s="60">
        <f>SUM(B10:B15)</f>
        <v>311048.50199999998</v>
      </c>
      <c r="C16" s="31"/>
      <c r="D16" s="60">
        <f>SUM(D10:D15)</f>
        <v>271963.00799999997</v>
      </c>
      <c r="E16" s="31"/>
      <c r="F16" s="60">
        <f>SUM(F10:F15)</f>
        <v>583011.51</v>
      </c>
    </row>
    <row r="17" spans="1:6" ht="12.75" customHeight="1" x14ac:dyDescent="0.2">
      <c r="A17" s="231"/>
      <c r="B17" s="31"/>
      <c r="C17" s="31"/>
      <c r="D17" s="31"/>
      <c r="E17" s="31"/>
      <c r="F17" s="31"/>
    </row>
    <row r="18" spans="1:6" x14ac:dyDescent="0.2">
      <c r="A18" s="229" t="s">
        <v>859</v>
      </c>
      <c r="B18" s="31"/>
      <c r="C18" s="31"/>
      <c r="D18" s="31"/>
      <c r="E18" s="31"/>
      <c r="F18" s="31"/>
    </row>
    <row r="19" spans="1:6" x14ac:dyDescent="0.2">
      <c r="A19" s="231" t="s">
        <v>530</v>
      </c>
      <c r="B19" s="31">
        <v>-10</v>
      </c>
      <c r="C19" s="31"/>
      <c r="D19" s="31">
        <v>0</v>
      </c>
      <c r="E19" s="31"/>
      <c r="F19" s="31">
        <f>B19+D19</f>
        <v>-10</v>
      </c>
    </row>
    <row r="20" spans="1:6" x14ac:dyDescent="0.2">
      <c r="A20" s="231" t="s">
        <v>650</v>
      </c>
      <c r="B20" s="31">
        <f>'8-Cash Flow-Prop'!D23*0.51</f>
        <v>15300</v>
      </c>
      <c r="C20" s="31"/>
      <c r="D20" s="31">
        <f>'8-Cash Flow-Prop'!D23*0.49</f>
        <v>14700</v>
      </c>
      <c r="E20" s="31"/>
      <c r="F20" s="31">
        <f>B20+D20</f>
        <v>30000</v>
      </c>
    </row>
    <row r="21" spans="1:6" x14ac:dyDescent="0.2">
      <c r="A21" s="231" t="s">
        <v>460</v>
      </c>
      <c r="B21" s="31">
        <v>48700</v>
      </c>
      <c r="C21" s="31"/>
      <c r="D21" s="31">
        <v>48700</v>
      </c>
      <c r="E21" s="31"/>
      <c r="F21" s="31">
        <f>B21+D21</f>
        <v>97400</v>
      </c>
    </row>
    <row r="22" spans="1:6" x14ac:dyDescent="0.2">
      <c r="A22" s="231" t="s">
        <v>461</v>
      </c>
      <c r="B22" s="5">
        <v>-2414</v>
      </c>
      <c r="C22" s="31"/>
      <c r="D22" s="5">
        <v>-2413</v>
      </c>
      <c r="E22" s="31"/>
      <c r="F22" s="5">
        <f>B22+D22</f>
        <v>-4827</v>
      </c>
    </row>
    <row r="23" spans="1:6" ht="25.5" x14ac:dyDescent="0.2">
      <c r="A23" s="231" t="s">
        <v>721</v>
      </c>
      <c r="B23" s="60">
        <f>SUM(B19:B22)</f>
        <v>61576</v>
      </c>
      <c r="C23" s="31"/>
      <c r="D23" s="60">
        <f>SUM(D19:D22)</f>
        <v>60987</v>
      </c>
      <c r="E23" s="31"/>
      <c r="F23" s="60">
        <f>SUM(F19:F22)</f>
        <v>122563</v>
      </c>
    </row>
    <row r="24" spans="1:6" ht="12.75" customHeight="1" x14ac:dyDescent="0.2">
      <c r="A24" s="231"/>
      <c r="B24" s="31"/>
      <c r="C24" s="31"/>
      <c r="D24" s="31"/>
      <c r="E24" s="31"/>
      <c r="F24" s="31"/>
    </row>
    <row r="25" spans="1:6" ht="25.5" x14ac:dyDescent="0.2">
      <c r="A25" s="229" t="s">
        <v>861</v>
      </c>
      <c r="B25" s="31"/>
      <c r="C25" s="31"/>
      <c r="D25" s="31"/>
      <c r="E25" s="31"/>
      <c r="F25" s="31"/>
    </row>
    <row r="26" spans="1:6" x14ac:dyDescent="0.2">
      <c r="A26" s="231" t="s">
        <v>475</v>
      </c>
      <c r="B26" s="31">
        <v>0</v>
      </c>
      <c r="C26" s="31"/>
      <c r="D26" s="31">
        <v>675000</v>
      </c>
      <c r="E26" s="31"/>
      <c r="F26" s="31">
        <f t="shared" ref="F26:F34" si="1">B26+D26</f>
        <v>675000</v>
      </c>
    </row>
    <row r="27" spans="1:6" x14ac:dyDescent="0.2">
      <c r="A27" s="231" t="s">
        <v>394</v>
      </c>
      <c r="B27" s="31">
        <v>-436730</v>
      </c>
      <c r="C27" s="31"/>
      <c r="D27" s="31">
        <v>-4645579</v>
      </c>
      <c r="E27" s="31"/>
      <c r="F27" s="31">
        <f t="shared" si="1"/>
        <v>-5082309</v>
      </c>
    </row>
    <row r="28" spans="1:6" ht="18" customHeight="1" x14ac:dyDescent="0.2">
      <c r="A28" s="230" t="s">
        <v>754</v>
      </c>
      <c r="B28" s="31">
        <f>-141324-9238</f>
        <v>-150562</v>
      </c>
      <c r="C28" s="31"/>
      <c r="D28" s="31">
        <v>-176015</v>
      </c>
      <c r="E28" s="31"/>
      <c r="F28" s="31">
        <f t="shared" si="1"/>
        <v>-326577</v>
      </c>
    </row>
    <row r="29" spans="1:6" x14ac:dyDescent="0.2">
      <c r="A29" s="231" t="s">
        <v>91</v>
      </c>
      <c r="B29" s="31">
        <v>-2500</v>
      </c>
      <c r="C29" s="31"/>
      <c r="D29" s="31">
        <v>-7500</v>
      </c>
      <c r="E29" s="31"/>
      <c r="F29" s="31">
        <f t="shared" si="1"/>
        <v>-10000</v>
      </c>
    </row>
    <row r="30" spans="1:6" ht="18" customHeight="1" x14ac:dyDescent="0.2">
      <c r="A30" s="230" t="s">
        <v>755</v>
      </c>
      <c r="B30" s="31">
        <f>-22736-762</f>
        <v>-23498</v>
      </c>
      <c r="C30" s="31"/>
      <c r="D30" s="31">
        <v>-60362</v>
      </c>
      <c r="E30" s="31"/>
      <c r="F30" s="31">
        <f t="shared" si="1"/>
        <v>-83860</v>
      </c>
    </row>
    <row r="31" spans="1:6" x14ac:dyDescent="0.2">
      <c r="A31" s="230" t="s">
        <v>777</v>
      </c>
      <c r="B31" s="31">
        <v>13911</v>
      </c>
      <c r="C31" s="31"/>
      <c r="D31" s="31">
        <v>0</v>
      </c>
      <c r="E31" s="31"/>
      <c r="F31" s="31">
        <f t="shared" si="1"/>
        <v>13911</v>
      </c>
    </row>
    <row r="32" spans="1:6" ht="12.75" customHeight="1" x14ac:dyDescent="0.2">
      <c r="A32" s="231" t="s">
        <v>512</v>
      </c>
      <c r="B32" s="31">
        <v>0</v>
      </c>
      <c r="C32" s="31"/>
      <c r="D32" s="31">
        <v>3650000</v>
      </c>
      <c r="E32" s="31"/>
      <c r="F32" s="31">
        <f t="shared" si="1"/>
        <v>3650000</v>
      </c>
    </row>
    <row r="33" spans="1:6" x14ac:dyDescent="0.2">
      <c r="A33" s="231" t="s">
        <v>395</v>
      </c>
      <c r="B33" s="31">
        <v>51394</v>
      </c>
      <c r="C33" s="31"/>
      <c r="D33" s="31">
        <v>6554</v>
      </c>
      <c r="E33" s="31"/>
      <c r="F33" s="31">
        <f t="shared" si="1"/>
        <v>57948</v>
      </c>
    </row>
    <row r="34" spans="1:6" x14ac:dyDescent="0.2">
      <c r="A34" s="231" t="s">
        <v>396</v>
      </c>
      <c r="B34" s="5">
        <v>35000</v>
      </c>
      <c r="C34" s="31"/>
      <c r="D34" s="5">
        <v>35000</v>
      </c>
      <c r="E34" s="31"/>
      <c r="F34" s="31">
        <f t="shared" si="1"/>
        <v>70000</v>
      </c>
    </row>
    <row r="35" spans="1:6" ht="25.5" x14ac:dyDescent="0.2">
      <c r="A35" s="251" t="s">
        <v>397</v>
      </c>
      <c r="B35" s="60">
        <f>SUM(B26:B34)</f>
        <v>-512985</v>
      </c>
      <c r="C35" s="31"/>
      <c r="D35" s="60">
        <f>SUM(D26:D34)</f>
        <v>-522902</v>
      </c>
      <c r="E35" s="31"/>
      <c r="F35" s="60">
        <f>SUM(F26:F34)</f>
        <v>-1035887</v>
      </c>
    </row>
    <row r="36" spans="1:6" ht="12.75" customHeight="1" x14ac:dyDescent="0.2">
      <c r="A36" s="231"/>
      <c r="B36" s="31"/>
      <c r="C36" s="31"/>
      <c r="D36" s="31"/>
      <c r="E36" s="31"/>
      <c r="F36" s="31"/>
    </row>
    <row r="37" spans="1:6" x14ac:dyDescent="0.2">
      <c r="A37" s="229" t="s">
        <v>883</v>
      </c>
      <c r="B37" s="31"/>
      <c r="C37" s="31"/>
      <c r="D37" s="31"/>
      <c r="E37" s="31"/>
      <c r="F37" s="31"/>
    </row>
    <row r="38" spans="1:6" x14ac:dyDescent="0.2">
      <c r="A38" s="231" t="s">
        <v>399</v>
      </c>
      <c r="B38" s="5">
        <f>16935</f>
        <v>16935</v>
      </c>
      <c r="C38" s="31"/>
      <c r="D38" s="5">
        <v>21187</v>
      </c>
      <c r="E38" s="31"/>
      <c r="F38" s="5">
        <f>B38+D38</f>
        <v>38122</v>
      </c>
    </row>
    <row r="39" spans="1:6" ht="18" customHeight="1" x14ac:dyDescent="0.2">
      <c r="A39" s="1" t="s">
        <v>400</v>
      </c>
      <c r="B39" s="31">
        <f>B16+B23+B35+B38</f>
        <v>-123425.49800000002</v>
      </c>
      <c r="C39" s="31"/>
      <c r="D39" s="31">
        <f>D16+D23+D35+D38</f>
        <v>-168764.99200000003</v>
      </c>
      <c r="E39" s="31"/>
      <c r="F39" s="31">
        <f>F16+F23+F35+F38</f>
        <v>-292190.49</v>
      </c>
    </row>
    <row r="40" spans="1:6" x14ac:dyDescent="0.2">
      <c r="A40" s="606" t="s">
        <v>877</v>
      </c>
      <c r="B40" s="5">
        <f>630784+50000-30000+63714</f>
        <v>714498</v>
      </c>
      <c r="C40" s="31"/>
      <c r="D40" s="5">
        <f>1339067+50000</f>
        <v>1389067</v>
      </c>
      <c r="E40" s="31"/>
      <c r="F40" s="5">
        <f>B40+D40+1</f>
        <v>2103566</v>
      </c>
    </row>
    <row r="41" spans="1:6" ht="13.5" thickBot="1" x14ac:dyDescent="0.25">
      <c r="A41" s="765" t="s">
        <v>878</v>
      </c>
      <c r="B41" s="766">
        <f>B39+B40</f>
        <v>591072.50199999998</v>
      </c>
      <c r="C41" s="767"/>
      <c r="D41" s="766">
        <f>D39+D40</f>
        <v>1220302.0079999999</v>
      </c>
      <c r="E41" s="767"/>
      <c r="F41" s="766">
        <f>F39+F40</f>
        <v>1811375.51</v>
      </c>
    </row>
    <row r="42" spans="1:6" ht="13.5" thickTop="1" x14ac:dyDescent="0.2">
      <c r="A42" s="231"/>
      <c r="B42" s="31"/>
      <c r="C42" s="31"/>
      <c r="D42" s="31"/>
      <c r="E42" s="31"/>
      <c r="F42" s="31"/>
    </row>
    <row r="43" spans="1:6" x14ac:dyDescent="0.2">
      <c r="A43" s="231"/>
      <c r="B43" s="31"/>
      <c r="C43" s="31"/>
      <c r="D43" s="31"/>
      <c r="E43" s="31"/>
      <c r="F43" t="s">
        <v>471</v>
      </c>
    </row>
    <row r="44" spans="1:6" x14ac:dyDescent="0.2">
      <c r="A44" s="777" t="s">
        <v>0</v>
      </c>
      <c r="B44" s="777"/>
      <c r="C44" s="777"/>
      <c r="D44" s="777"/>
      <c r="E44" s="777"/>
      <c r="F44" s="777"/>
    </row>
    <row r="45" spans="1:6" x14ac:dyDescent="0.2">
      <c r="A45" s="777" t="s">
        <v>553</v>
      </c>
      <c r="B45" s="777"/>
      <c r="C45" s="777"/>
      <c r="D45" s="777"/>
      <c r="E45" s="777"/>
      <c r="F45" s="777"/>
    </row>
    <row r="46" spans="1:6" x14ac:dyDescent="0.2">
      <c r="A46" s="777" t="s">
        <v>548</v>
      </c>
      <c r="B46" s="777"/>
      <c r="C46" s="777"/>
      <c r="D46" s="777"/>
      <c r="E46" s="777"/>
      <c r="F46" s="777"/>
    </row>
    <row r="47" spans="1:6" x14ac:dyDescent="0.2">
      <c r="A47" s="777" t="str">
        <f>A4</f>
        <v>For the Year Ended June 30, 2025</v>
      </c>
      <c r="B47" s="777"/>
      <c r="C47" s="777"/>
      <c r="D47" s="777"/>
      <c r="E47" s="777"/>
      <c r="F47" s="777"/>
    </row>
    <row r="48" spans="1:6" x14ac:dyDescent="0.2">
      <c r="A48" s="228"/>
      <c r="B48" s="228"/>
      <c r="C48" s="228"/>
      <c r="D48" s="228"/>
      <c r="E48" s="228"/>
      <c r="F48" s="228"/>
    </row>
    <row r="49" spans="1:8" x14ac:dyDescent="0.2">
      <c r="A49" s="228"/>
      <c r="B49" s="228"/>
      <c r="C49" s="228"/>
      <c r="D49" s="228"/>
      <c r="E49" s="228"/>
      <c r="F49" s="228"/>
    </row>
    <row r="50" spans="1:8" ht="13.5" thickBot="1" x14ac:dyDescent="0.25">
      <c r="A50" s="622"/>
      <c r="B50" s="622"/>
      <c r="C50" s="622"/>
      <c r="D50" s="622"/>
      <c r="E50" s="622"/>
      <c r="F50" s="622"/>
    </row>
    <row r="51" spans="1:8" ht="25.5" customHeight="1" x14ac:dyDescent="0.2">
      <c r="A51" s="229" t="s">
        <v>860</v>
      </c>
      <c r="B51" s="31"/>
      <c r="C51" s="31"/>
      <c r="D51" s="31"/>
      <c r="E51" s="31"/>
    </row>
    <row r="52" spans="1:8" ht="15.95" customHeight="1" x14ac:dyDescent="0.2">
      <c r="A52" s="251" t="s">
        <v>402</v>
      </c>
      <c r="B52" s="59">
        <f>'USDA-WSF SOA'!B22</f>
        <v>198082.26500000001</v>
      </c>
      <c r="C52" s="59"/>
      <c r="D52" s="59">
        <f>'USDA-WSF SOA'!D22</f>
        <v>169224.23499999999</v>
      </c>
      <c r="E52" s="59"/>
      <c r="F52" s="59">
        <f>D52+B52-0.01</f>
        <v>367306.49</v>
      </c>
      <c r="G52" s="59"/>
    </row>
    <row r="53" spans="1:8" ht="25.5" x14ac:dyDescent="0.2">
      <c r="A53" s="231" t="s">
        <v>403</v>
      </c>
      <c r="B53" s="31"/>
      <c r="C53" s="31"/>
      <c r="D53" s="268"/>
      <c r="E53" s="268"/>
      <c r="F53" s="268"/>
    </row>
    <row r="54" spans="1:8" x14ac:dyDescent="0.2">
      <c r="A54" s="230" t="s">
        <v>768</v>
      </c>
      <c r="B54" s="31">
        <f>190675+9431</f>
        <v>200106</v>
      </c>
      <c r="C54" s="31"/>
      <c r="D54" s="268">
        <v>60529</v>
      </c>
      <c r="E54" s="268"/>
      <c r="F54" s="268">
        <f t="shared" ref="F54:F63" si="2">B54+D54</f>
        <v>260635</v>
      </c>
    </row>
    <row r="55" spans="1:8" x14ac:dyDescent="0.2">
      <c r="A55" s="231" t="s">
        <v>558</v>
      </c>
      <c r="B55" s="31">
        <v>-56760</v>
      </c>
      <c r="C55" s="31"/>
      <c r="D55" s="268">
        <v>63018</v>
      </c>
      <c r="E55" s="268"/>
      <c r="F55" s="268">
        <f t="shared" si="2"/>
        <v>6258</v>
      </c>
    </row>
    <row r="56" spans="1:8" x14ac:dyDescent="0.2">
      <c r="A56" s="251" t="s">
        <v>405</v>
      </c>
      <c r="B56" s="31">
        <f>-46</f>
        <v>-46</v>
      </c>
      <c r="C56" s="267"/>
      <c r="D56" s="268">
        <f>-107</f>
        <v>-107</v>
      </c>
      <c r="E56" s="268"/>
      <c r="F56" s="268">
        <f>B56+D56</f>
        <v>-153</v>
      </c>
    </row>
    <row r="57" spans="1:8" x14ac:dyDescent="0.2">
      <c r="A57" s="251" t="s">
        <v>546</v>
      </c>
      <c r="B57" s="31">
        <v>676</v>
      </c>
      <c r="D57" s="268">
        <v>1165</v>
      </c>
      <c r="E57" s="268"/>
      <c r="F57" s="268">
        <f t="shared" si="2"/>
        <v>1841</v>
      </c>
    </row>
    <row r="58" spans="1:8" x14ac:dyDescent="0.2">
      <c r="A58" s="251" t="s">
        <v>547</v>
      </c>
      <c r="B58" s="31">
        <f>-111</f>
        <v>-111</v>
      </c>
      <c r="D58" s="268">
        <v>-149</v>
      </c>
      <c r="E58" s="268"/>
      <c r="F58" s="268">
        <f t="shared" si="2"/>
        <v>-260</v>
      </c>
    </row>
    <row r="59" spans="1:8" x14ac:dyDescent="0.2">
      <c r="A59" s="520" t="s">
        <v>660</v>
      </c>
      <c r="B59" s="267">
        <f>'8-Cash Flow-Prop'!D68*0.51</f>
        <v>-47710.451040000007</v>
      </c>
      <c r="D59" s="267">
        <f>'8-Cash Flow-Prop'!D68*0.49</f>
        <v>-45839.452960000002</v>
      </c>
      <c r="E59" s="268"/>
      <c r="F59" s="268">
        <f t="shared" si="2"/>
        <v>-93549.90400000001</v>
      </c>
    </row>
    <row r="60" spans="1:8" x14ac:dyDescent="0.2">
      <c r="A60" s="520" t="s">
        <v>661</v>
      </c>
      <c r="B60" s="267">
        <f>'8-Cash Flow-Prop'!D70*0.51</f>
        <v>49632.445200000009</v>
      </c>
      <c r="D60" s="267">
        <f>'8-Cash Flow-Prop'!D70*0.49</f>
        <v>47686.074800000009</v>
      </c>
      <c r="E60" s="268"/>
      <c r="F60" s="268">
        <f t="shared" si="2"/>
        <v>97318.520000000019</v>
      </c>
    </row>
    <row r="61" spans="1:8" x14ac:dyDescent="0.2">
      <c r="A61" s="520" t="s">
        <v>662</v>
      </c>
      <c r="B61" s="267">
        <f>'8-Cash Flow-Prop'!D71*0.51</f>
        <v>-1792.7438400000003</v>
      </c>
      <c r="D61" s="267">
        <f>'8-Cash Flow-Prop'!D71*0.49</f>
        <v>-1722.4401600000003</v>
      </c>
      <c r="E61" s="268"/>
      <c r="F61" s="268">
        <f t="shared" si="2"/>
        <v>-3515.1840000000007</v>
      </c>
    </row>
    <row r="62" spans="1:8" ht="25.5" x14ac:dyDescent="0.2">
      <c r="A62" s="251" t="s">
        <v>406</v>
      </c>
      <c r="B62" s="31">
        <f>-41098-6537+74-132</f>
        <v>-47693</v>
      </c>
      <c r="D62" s="268">
        <f>-30681-6537+75</f>
        <v>-37143</v>
      </c>
      <c r="E62" s="268"/>
      <c r="F62" s="268">
        <f>B62+D62</f>
        <v>-84836</v>
      </c>
      <c r="H62" s="268"/>
    </row>
    <row r="63" spans="1:8" x14ac:dyDescent="0.2">
      <c r="A63" s="251" t="s">
        <v>476</v>
      </c>
      <c r="B63" s="31">
        <v>-1031</v>
      </c>
      <c r="C63" s="31"/>
      <c r="D63" s="268">
        <v>-2152</v>
      </c>
      <c r="E63" s="268"/>
      <c r="F63" s="268">
        <f t="shared" si="2"/>
        <v>-3183</v>
      </c>
    </row>
    <row r="64" spans="1:8" x14ac:dyDescent="0.2">
      <c r="A64" s="251" t="s">
        <v>274</v>
      </c>
      <c r="B64" s="31">
        <f>5000+6462</f>
        <v>11462</v>
      </c>
      <c r="C64" s="31"/>
      <c r="D64" s="268">
        <f>5000+6463</f>
        <v>11463</v>
      </c>
      <c r="E64" s="268"/>
      <c r="F64" s="268">
        <f>B64+D64</f>
        <v>22925</v>
      </c>
    </row>
    <row r="65" spans="1:8" x14ac:dyDescent="0.2">
      <c r="A65" s="520" t="s">
        <v>708</v>
      </c>
      <c r="B65" s="267">
        <f>'8-Cash Flow-Prop'!$D$69*0.51</f>
        <v>4050.9177600000007</v>
      </c>
      <c r="C65" s="267"/>
      <c r="D65" s="267">
        <f>'8-Cash Flow-Prop'!$D$69*0.49</f>
        <v>3892.0582400000008</v>
      </c>
      <c r="E65" s="268"/>
      <c r="F65" s="268">
        <f>B65+D65</f>
        <v>7942.9760000000015</v>
      </c>
    </row>
    <row r="66" spans="1:8" x14ac:dyDescent="0.2">
      <c r="A66" s="520" t="s">
        <v>709</v>
      </c>
      <c r="B66" s="267">
        <f>'8-Cash Flow-Prop'!$D$75*0.51</f>
        <v>977.1130800000002</v>
      </c>
      <c r="C66" s="267"/>
      <c r="D66" s="267">
        <f>'8-Cash Flow-Prop'!$D$75*0.49</f>
        <v>938.79492000000016</v>
      </c>
      <c r="E66" s="268"/>
      <c r="F66" s="268">
        <f>B66+D66</f>
        <v>1915.9080000000004</v>
      </c>
    </row>
    <row r="67" spans="1:8" x14ac:dyDescent="0.2">
      <c r="A67" s="520" t="s">
        <v>707</v>
      </c>
      <c r="B67" s="267">
        <f>'8-Cash Flow-Prop'!$D$76*0.51</f>
        <v>1206.7660800000001</v>
      </c>
      <c r="C67" s="267"/>
      <c r="D67" s="267">
        <f>'8-Cash Flow-Prop'!$D$76*0.49</f>
        <v>1159.44192</v>
      </c>
      <c r="E67" s="268"/>
      <c r="F67" s="268">
        <f>B67+D67</f>
        <v>2366.2080000000001</v>
      </c>
    </row>
    <row r="68" spans="1:8" x14ac:dyDescent="0.2">
      <c r="A68" s="1" t="s">
        <v>407</v>
      </c>
      <c r="B68" s="60">
        <f>SUM(B53:B67)</f>
        <v>112967.04723999999</v>
      </c>
      <c r="C68" s="31"/>
      <c r="D68" s="60">
        <f>SUM(D53:D67)</f>
        <v>102738.47676000001</v>
      </c>
      <c r="E68" s="31"/>
      <c r="F68" s="60">
        <f>SUM(F53:F67)</f>
        <v>215705.52400000003</v>
      </c>
    </row>
    <row r="69" spans="1:8" ht="13.5" thickBot="1" x14ac:dyDescent="0.25">
      <c r="A69" s="101" t="s">
        <v>408</v>
      </c>
      <c r="B69" s="61">
        <f>B68+B52</f>
        <v>311049.31224</v>
      </c>
      <c r="C69" s="59"/>
      <c r="D69" s="61">
        <f>D68+D52</f>
        <v>271962.71175999998</v>
      </c>
      <c r="E69" s="59"/>
      <c r="F69" s="61">
        <f>F68+F52</f>
        <v>583012.01399999997</v>
      </c>
      <c r="G69" s="59"/>
      <c r="H69" s="31"/>
    </row>
    <row r="70" spans="1:8" ht="13.5" thickTop="1" x14ac:dyDescent="0.2">
      <c r="A70" s="101"/>
      <c r="B70" s="59"/>
      <c r="C70" s="59"/>
      <c r="D70" s="59"/>
      <c r="E70" s="59"/>
      <c r="F70" s="59"/>
      <c r="G70" s="59"/>
      <c r="H70" s="31"/>
    </row>
    <row r="71" spans="1:8" x14ac:dyDescent="0.2">
      <c r="B71" s="59"/>
      <c r="D71" s="59"/>
      <c r="G71" s="401"/>
    </row>
    <row r="72" spans="1:8" ht="13.5" thickBot="1" x14ac:dyDescent="0.25">
      <c r="B72" s="59"/>
      <c r="D72" s="59"/>
      <c r="F72" s="59"/>
    </row>
    <row r="73" spans="1:8" ht="63.75" customHeight="1" thickBot="1" x14ac:dyDescent="0.25">
      <c r="A73" s="817" t="s">
        <v>630</v>
      </c>
      <c r="B73" s="818"/>
      <c r="C73" s="818"/>
      <c r="D73" s="818"/>
      <c r="E73" s="818"/>
      <c r="F73" s="819"/>
    </row>
    <row r="77" spans="1:8" x14ac:dyDescent="0.2">
      <c r="A77" s="540"/>
      <c r="B77" s="540"/>
      <c r="C77" s="540"/>
      <c r="D77" s="540"/>
    </row>
    <row r="80" spans="1:8" ht="20.25" x14ac:dyDescent="0.3">
      <c r="A80" s="269"/>
      <c r="B80" s="269"/>
      <c r="C80" s="269"/>
      <c r="D80" s="269"/>
      <c r="E80" s="269"/>
      <c r="F80" s="269"/>
    </row>
  </sheetData>
  <customSheetViews>
    <customSheetView guid="{AB48C5D7-99F4-4378-A0F9-05018B348977}">
      <selection activeCell="B39" sqref="B39"/>
      <rowBreaks count="1" manualBreakCount="1">
        <brk id="41" max="16383" man="1"/>
      </rowBreaks>
      <pageMargins left="0.75" right="0.75" top="1" bottom="1" header="0.5" footer="0.5"/>
      <pageSetup scale="79" firstPageNumber="119" fitToHeight="0" orientation="portrait" useFirstPageNumber="1" r:id="rId1"/>
      <headerFooter alignWithMargins="0"/>
    </customSheetView>
  </customSheetViews>
  <mergeCells count="5">
    <mergeCell ref="A44:F44"/>
    <mergeCell ref="A45:F45"/>
    <mergeCell ref="A46:F46"/>
    <mergeCell ref="A47:F47"/>
    <mergeCell ref="A73:F73"/>
  </mergeCells>
  <phoneticPr fontId="0" type="noConversion"/>
  <printOptions horizontalCentered="1"/>
  <pageMargins left="0.7" right="0.7" top="0.75" bottom="0.75" header="0.3" footer="0.3"/>
  <pageSetup firstPageNumber="119" fitToHeight="0" orientation="portrait" r:id="rId2"/>
  <rowBreaks count="1" manualBreakCount="1">
    <brk id="43"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FF00"/>
    <pageSetUpPr fitToPage="1"/>
  </sheetPr>
  <dimension ref="A1:O49"/>
  <sheetViews>
    <sheetView topLeftCell="A23" workbookViewId="0">
      <selection activeCell="A6" sqref="A6"/>
    </sheetView>
  </sheetViews>
  <sheetFormatPr defaultColWidth="11.7109375" defaultRowHeight="12.75" x14ac:dyDescent="0.2"/>
  <cols>
    <col min="1" max="1" width="34.42578125" style="579" customWidth="1"/>
    <col min="2" max="2" width="10.7109375" style="568" bestFit="1" customWidth="1"/>
    <col min="3" max="3" width="8.85546875" style="568" customWidth="1"/>
    <col min="4" max="4" width="12.42578125" style="568" customWidth="1"/>
    <col min="5" max="5" width="9.7109375" style="568" bestFit="1" customWidth="1"/>
    <col min="6" max="6" width="9.28515625" style="568" customWidth="1"/>
    <col min="7" max="7" width="11.28515625" style="568" customWidth="1"/>
    <col min="8" max="8" width="9.7109375" style="568" bestFit="1" customWidth="1"/>
    <col min="9" max="9" width="8.7109375" style="568" customWidth="1"/>
    <col min="10" max="10" width="12.140625" style="568" customWidth="1"/>
    <col min="11" max="11" width="12" style="568" customWidth="1"/>
    <col min="12" max="12" width="8.85546875" style="568" customWidth="1"/>
    <col min="13" max="13" width="13.140625" style="568" customWidth="1"/>
    <col min="14" max="14" width="1.28515625" style="568" customWidth="1"/>
    <col min="15" max="15" width="29.28515625" style="568" customWidth="1"/>
    <col min="16" max="16384" width="11.7109375" style="568"/>
  </cols>
  <sheetData>
    <row r="1" spans="1:15" x14ac:dyDescent="0.2">
      <c r="A1" s="768" t="s">
        <v>0</v>
      </c>
    </row>
    <row r="2" spans="1:15" ht="25.5" x14ac:dyDescent="0.2">
      <c r="A2" s="768" t="s">
        <v>94</v>
      </c>
    </row>
    <row r="3" spans="1:15" x14ac:dyDescent="0.2">
      <c r="A3" s="769" t="s">
        <v>782</v>
      </c>
    </row>
    <row r="5" spans="1:15" ht="14.25" customHeight="1" x14ac:dyDescent="0.2">
      <c r="A5" s="940" t="s">
        <v>481</v>
      </c>
      <c r="B5" s="940"/>
      <c r="C5" s="940"/>
      <c r="D5" s="940"/>
      <c r="E5" s="940"/>
      <c r="F5" s="940"/>
      <c r="G5" s="940"/>
      <c r="H5" s="940"/>
      <c r="I5" s="940"/>
      <c r="J5" s="940"/>
      <c r="K5" s="940"/>
      <c r="L5" s="770"/>
    </row>
    <row r="7" spans="1:15" x14ac:dyDescent="0.2">
      <c r="C7" s="938" t="s">
        <v>779</v>
      </c>
      <c r="D7" s="939"/>
      <c r="F7" s="938" t="s">
        <v>779</v>
      </c>
      <c r="G7" s="939"/>
      <c r="I7" s="938" t="s">
        <v>779</v>
      </c>
      <c r="J7" s="939"/>
      <c r="L7" s="938" t="s">
        <v>779</v>
      </c>
      <c r="M7" s="939"/>
      <c r="N7" s="569"/>
      <c r="O7" s="578" t="s">
        <v>780</v>
      </c>
    </row>
    <row r="8" spans="1:15" x14ac:dyDescent="0.2">
      <c r="K8" s="569"/>
      <c r="O8" s="570" t="s">
        <v>781</v>
      </c>
    </row>
    <row r="9" spans="1:15" ht="60" customHeight="1" x14ac:dyDescent="0.2">
      <c r="A9" s="572" t="s">
        <v>95</v>
      </c>
      <c r="B9" s="572" t="s">
        <v>604</v>
      </c>
      <c r="C9" s="573" t="s">
        <v>96</v>
      </c>
      <c r="D9" s="573" t="s">
        <v>97</v>
      </c>
      <c r="E9" s="572" t="s">
        <v>605</v>
      </c>
      <c r="F9" s="573" t="s">
        <v>96</v>
      </c>
      <c r="G9" s="573" t="s">
        <v>97</v>
      </c>
      <c r="H9" s="571" t="s">
        <v>98</v>
      </c>
      <c r="I9" s="573" t="s">
        <v>96</v>
      </c>
      <c r="J9" s="573" t="s">
        <v>97</v>
      </c>
      <c r="K9" s="572" t="s">
        <v>617</v>
      </c>
      <c r="L9" s="573" t="s">
        <v>96</v>
      </c>
      <c r="M9" s="573" t="s">
        <v>97</v>
      </c>
      <c r="N9" s="573"/>
      <c r="O9" s="573" t="s">
        <v>99</v>
      </c>
    </row>
    <row r="11" spans="1:15" x14ac:dyDescent="0.2">
      <c r="A11" s="579" t="s">
        <v>26</v>
      </c>
      <c r="B11" s="568">
        <f>'3-GASB34GovtFundsBS'!B22</f>
        <v>844858</v>
      </c>
      <c r="C11" s="570" t="s">
        <v>100</v>
      </c>
      <c r="D11" s="570" t="s">
        <v>100</v>
      </c>
      <c r="E11" s="568">
        <f>'3-GASB34GovtFundsBS'!B28+'3-GASB34GovtFundsBS'!B35</f>
        <v>344407</v>
      </c>
      <c r="F11" s="570" t="s">
        <v>100</v>
      </c>
      <c r="G11" s="570" t="s">
        <v>100</v>
      </c>
      <c r="H11" s="568">
        <f>'4-GASB34GovtFundsIS'!B18</f>
        <v>2270904</v>
      </c>
      <c r="I11" s="570" t="s">
        <v>100</v>
      </c>
      <c r="J11" s="570" t="s">
        <v>100</v>
      </c>
      <c r="K11" s="568">
        <f>'4-GASB34GovtFundsIS'!B32</f>
        <v>2520830.15</v>
      </c>
      <c r="L11" s="570" t="s">
        <v>100</v>
      </c>
      <c r="M11" s="570" t="s">
        <v>100</v>
      </c>
      <c r="O11" s="574" t="s">
        <v>101</v>
      </c>
    </row>
    <row r="13" spans="1:15" x14ac:dyDescent="0.2">
      <c r="A13" s="581" t="s">
        <v>119</v>
      </c>
      <c r="B13" s="568">
        <f>'3-GASB34GovtFundsBS'!D22</f>
        <v>22415</v>
      </c>
      <c r="C13" s="575" t="str">
        <f>IF(B13&gt;B$23,"X","-")</f>
        <v>-</v>
      </c>
      <c r="D13" s="575" t="str">
        <f>IF(B13&gt;B$35,"X","-")</f>
        <v>-</v>
      </c>
      <c r="E13" s="568">
        <f>'3-GASB34GovtFundsBS'!D28+'3-GASB34GovtFundsBS'!D35</f>
        <v>17000</v>
      </c>
      <c r="F13" s="575" t="str">
        <f>IF(E13&gt;E$23,"X","-")</f>
        <v>-</v>
      </c>
      <c r="G13" s="575" t="str">
        <f>IF(E13&gt;E$35,"X","-")</f>
        <v>-</v>
      </c>
      <c r="H13" s="568">
        <f>'4-GASB34GovtFundsIS'!D18</f>
        <v>785000</v>
      </c>
      <c r="I13" s="575" t="str">
        <f>IF(H13&gt;H$23,"X","-")</f>
        <v>X</v>
      </c>
      <c r="J13" s="575" t="str">
        <f>IF(H13&gt;H$35,"X","-")</f>
        <v>X</v>
      </c>
      <c r="K13" s="568">
        <f>'4-GASB34GovtFundsIS'!D32</f>
        <v>785038</v>
      </c>
      <c r="L13" s="575" t="str">
        <f>IF(K13&gt;K$23,"X","-")</f>
        <v>X</v>
      </c>
      <c r="M13" s="575" t="str">
        <f>IF(K13&gt;K$35,"X","-")</f>
        <v>X</v>
      </c>
      <c r="O13" s="575" t="str">
        <f>IF(OR(AND(C13="X",D13="X"),AND(F13="X",G13="X"),AND(I13="X",J13="X"),AND(L13="X",M13="X")),"MAJOR","-")</f>
        <v>MAJOR</v>
      </c>
    </row>
    <row r="14" spans="1:15" x14ac:dyDescent="0.2">
      <c r="A14" s="581" t="s">
        <v>76</v>
      </c>
      <c r="B14" s="568">
        <f>'Comb BS-Nonmajor Govt'!B16</f>
        <v>5000</v>
      </c>
      <c r="C14" s="575" t="str">
        <f>IF(B14&gt;B$23,"X","-")</f>
        <v>-</v>
      </c>
      <c r="D14" s="575" t="str">
        <f>IF(B14&gt;B$35,"X","-")</f>
        <v>-</v>
      </c>
      <c r="E14" s="568">
        <f>'Comb BS-Nonmajor Govt'!B19</f>
        <v>5000</v>
      </c>
      <c r="F14" s="575" t="str">
        <f>IF(E14&gt;E$23,"X","-")</f>
        <v>-</v>
      </c>
      <c r="G14" s="575" t="str">
        <f>IF(E14&gt;E$35,"X","-")</f>
        <v>-</v>
      </c>
      <c r="H14" s="568">
        <f>'Comb IS-Nonmajor Govt'!B16</f>
        <v>115000</v>
      </c>
      <c r="I14" s="575" t="str">
        <f>IF(H14&gt;H$23,"X","-")</f>
        <v>-</v>
      </c>
      <c r="J14" s="575" t="str">
        <f>IF(H14&gt;H$35,"X","-")</f>
        <v>-</v>
      </c>
      <c r="K14" s="568">
        <f>'Comb IS-Nonmajor Govt'!B20</f>
        <v>115000</v>
      </c>
      <c r="L14" s="575" t="str">
        <f>IF(K14&gt;K$23,"X","-")</f>
        <v>-</v>
      </c>
      <c r="M14" s="575" t="str">
        <f>IF(K14&gt;K$35,"X","-")</f>
        <v>-</v>
      </c>
      <c r="O14" s="575" t="str">
        <f>IF(OR(AND(C14="X",D14="X"),AND(F14="X",G14="X"),AND(I14="X",J14="X"),AND(L14="X",M14="X")),"MAJOR","-")</f>
        <v>-</v>
      </c>
    </row>
    <row r="15" spans="1:15" x14ac:dyDescent="0.2">
      <c r="A15" s="581" t="s">
        <v>725</v>
      </c>
      <c r="B15" s="568">
        <f>'Comb BS-Nonmajor Govt'!D16</f>
        <v>4865</v>
      </c>
      <c r="C15" s="575" t="str">
        <f>IF(B15&gt;B$23,"X","-")</f>
        <v>-</v>
      </c>
      <c r="D15" s="575" t="str">
        <f>IF(B15&gt;B$35,"X","-")</f>
        <v>-</v>
      </c>
      <c r="E15" s="568">
        <f>'Comb BS-Nonmajor Govt'!D21</f>
        <v>570</v>
      </c>
      <c r="F15" s="575" t="str">
        <f>IF(E15&gt;E$23,"X","-")</f>
        <v>-</v>
      </c>
      <c r="G15" s="575" t="str">
        <f>IF(E15&gt;E$35,"X","-")</f>
        <v>-</v>
      </c>
      <c r="H15" s="568">
        <f>'Comb IS-Nonmajor Govt'!D16</f>
        <v>3935</v>
      </c>
      <c r="I15" s="575" t="str">
        <f>IF(H15&gt;H$23,"X","-")</f>
        <v>-</v>
      </c>
      <c r="J15" s="575" t="str">
        <f>IF(H15&gt;H$35,"X","-")</f>
        <v>-</v>
      </c>
      <c r="K15" s="568">
        <f>'Comb IS-Nonmajor Govt'!D21</f>
        <v>2095</v>
      </c>
      <c r="L15" s="575" t="str">
        <f>IF(K15&gt;K$23,"X","-")</f>
        <v>-</v>
      </c>
      <c r="M15" s="575" t="str">
        <f>IF(K15&gt;K$35,"X","-")</f>
        <v>-</v>
      </c>
      <c r="O15" s="575" t="str">
        <f>IF(OR(AND(C15="X",D15="X"),AND(F15="X",G15="X"),AND(I15="X",J15="X"),AND(L15="X",M15="X")),"MAJOR","-")</f>
        <v>-</v>
      </c>
    </row>
    <row r="16" spans="1:15" x14ac:dyDescent="0.2">
      <c r="A16" s="581" t="s">
        <v>492</v>
      </c>
      <c r="B16" s="568">
        <f>'Comb BS-Nonmajor Govt'!F16</f>
        <v>25056</v>
      </c>
      <c r="C16" s="575" t="str">
        <f>IF(B16&gt;B$23,"X","-")</f>
        <v>-</v>
      </c>
      <c r="D16" s="575" t="str">
        <f>IF(B16&gt;B$35,"X","-")</f>
        <v>-</v>
      </c>
      <c r="E16" s="568">
        <v>0</v>
      </c>
      <c r="F16" s="575" t="str">
        <f>IF(E16&gt;E$23,"X","-")</f>
        <v>-</v>
      </c>
      <c r="G16" s="575" t="str">
        <f>IF(E16&gt;E$35,"X","-")</f>
        <v>-</v>
      </c>
      <c r="H16" s="568">
        <f>'Comb IS-Nonmajor Govt'!F16</f>
        <v>5248</v>
      </c>
      <c r="I16" s="575" t="str">
        <f>IF(H16&gt;H$23,"X","-")</f>
        <v>-</v>
      </c>
      <c r="J16" s="575" t="str">
        <f>IF(H16&gt;H$35,"X","-")</f>
        <v>-</v>
      </c>
      <c r="K16" s="568">
        <v>0</v>
      </c>
      <c r="L16" s="575" t="str">
        <f>IF(K16&gt;K$23,"X","-")</f>
        <v>-</v>
      </c>
      <c r="M16" s="575" t="str">
        <f>IF(K16&gt;K$35,"X","-")</f>
        <v>-</v>
      </c>
      <c r="O16" s="575" t="str">
        <f>IF(OR(AND(C16="X",D16="X"),AND(F16="X",G16="X"),AND(I16="X",J16="X"),AND(L16="X",M16="X")),"MAJOR","-")</f>
        <v>-</v>
      </c>
    </row>
    <row r="18" spans="1:15" x14ac:dyDescent="0.2">
      <c r="A18" s="579" t="s">
        <v>102</v>
      </c>
    </row>
    <row r="19" spans="1:15" x14ac:dyDescent="0.2">
      <c r="A19" s="581" t="s">
        <v>65</v>
      </c>
      <c r="B19" s="568">
        <f>'3-GASB34GovtFundsBS'!F22</f>
        <v>23400</v>
      </c>
      <c r="C19" s="575" t="str">
        <f>IF(B19&gt;B$23,"X","-")</f>
        <v>-</v>
      </c>
      <c r="D19" s="575" t="str">
        <f>IF(B19&gt;B$35,"X","-")</f>
        <v>-</v>
      </c>
      <c r="E19" s="568">
        <f>'3-GASB34GovtFundsBS'!F28+'3-GASB34GovtFundsBS'!F35</f>
        <v>0</v>
      </c>
      <c r="F19" s="575" t="str">
        <f>IF(E19&gt;E$23,"X","-")</f>
        <v>-</v>
      </c>
      <c r="G19" s="575" t="str">
        <f>IF(E19&gt;E$35,"X","-")</f>
        <v>-</v>
      </c>
      <c r="H19" s="568">
        <f>'4-GASB34GovtFundsIS'!F18</f>
        <v>205000</v>
      </c>
      <c r="I19" s="575" t="str">
        <f>IF(H19&gt;H$23,"X","-")</f>
        <v>-</v>
      </c>
      <c r="J19" s="575" t="str">
        <f>IF(H19&gt;H$35,"X","-")</f>
        <v>-</v>
      </c>
      <c r="K19" s="568">
        <v>590000</v>
      </c>
      <c r="L19" s="575" t="str">
        <f>IF(K19&gt;K$23,"X","-")</f>
        <v>X</v>
      </c>
      <c r="M19" s="575" t="str">
        <f>IF(K19&gt;K$35,"X","-")</f>
        <v>X</v>
      </c>
      <c r="O19" s="575" t="str">
        <f>IF(OR(AND(C19="X",D19="X"),AND(F19="X",G19="X"),AND(I19="X",J19="X"),AND(L19="X",M19="X")),"MAJOR","-")</f>
        <v>MAJOR</v>
      </c>
    </row>
    <row r="20" spans="1:15" x14ac:dyDescent="0.2">
      <c r="A20" s="581"/>
    </row>
    <row r="21" spans="1:15" ht="13.5" thickBot="1" x14ac:dyDescent="0.25">
      <c r="A21" s="581" t="s">
        <v>17</v>
      </c>
      <c r="B21" s="576">
        <f>SUM(B11:B20)</f>
        <v>925594</v>
      </c>
      <c r="E21" s="576">
        <f>SUM(E11:E20)</f>
        <v>366977</v>
      </c>
      <c r="H21" s="576">
        <f>SUM(H11:H20)</f>
        <v>3385087</v>
      </c>
      <c r="K21" s="576">
        <f>SUM(K11:K20)</f>
        <v>4012963.15</v>
      </c>
    </row>
    <row r="22" spans="1:15" ht="13.5" thickTop="1" x14ac:dyDescent="0.2">
      <c r="A22" s="581"/>
    </row>
    <row r="23" spans="1:15" ht="13.5" thickBot="1" x14ac:dyDescent="0.25">
      <c r="A23" s="580" t="s">
        <v>103</v>
      </c>
      <c r="B23" s="577">
        <f>ROUND(B21*0.1,0)</f>
        <v>92559</v>
      </c>
      <c r="E23" s="577">
        <f>ROUND(E21*0.1,0)</f>
        <v>36698</v>
      </c>
      <c r="H23" s="577">
        <f>ROUND(H21*0.1,0)</f>
        <v>338509</v>
      </c>
      <c r="K23" s="577">
        <f>ROUND(K21*0.1,0)</f>
        <v>401296</v>
      </c>
    </row>
    <row r="24" spans="1:15" ht="13.5" thickTop="1" x14ac:dyDescent="0.2">
      <c r="A24" s="580"/>
    </row>
    <row r="25" spans="1:15" x14ac:dyDescent="0.2">
      <c r="A25" s="581" t="s">
        <v>77</v>
      </c>
    </row>
    <row r="26" spans="1:15" x14ac:dyDescent="0.2">
      <c r="A26" s="581" t="s">
        <v>78</v>
      </c>
      <c r="B26" s="568">
        <f>'6-Net Pos-Prop'!B30+'6-Net Pos-Prop'!B36</f>
        <v>1461054.8760000002</v>
      </c>
      <c r="C26" s="575" t="str">
        <f>IF(B26&gt;B$31,"X","-")</f>
        <v>-</v>
      </c>
      <c r="D26" s="575" t="str">
        <f>IF(B26&gt;B$35,"X","-")</f>
        <v>X</v>
      </c>
      <c r="E26" s="568">
        <f>'6-Net Pos-Prop'!B62+'6-Net Pos-Prop'!B65+'6-Net Pos-Prop'!B66</f>
        <v>445299.03600000002</v>
      </c>
      <c r="F26" s="575" t="str">
        <f>IF(E26&gt;E$31,"X","-")</f>
        <v>-</v>
      </c>
      <c r="G26" s="575" t="str">
        <f>IF(E26&gt;E$35,"X","-")</f>
        <v>X</v>
      </c>
      <c r="H26" s="568">
        <f>'7-Rev, Exp-Prop'!B13+'7-Rev, Exp-Prop'!B30</f>
        <v>2834397</v>
      </c>
      <c r="I26" s="575" t="str">
        <f>IF(H26&gt;H$31,"X","-")</f>
        <v>X</v>
      </c>
      <c r="J26" s="575" t="str">
        <f>IF(H26&gt;H$35,"X","-")</f>
        <v>X</v>
      </c>
      <c r="K26" s="568">
        <f>'7-Rev, Exp-Prop'!B24+'7-Rev, Exp-Prop'!B31+'7-Rev, Exp-Prop'!B32</f>
        <v>2844829.625</v>
      </c>
      <c r="L26" s="575" t="str">
        <f>IF(K26&gt;K$31,"X","-")</f>
        <v>X</v>
      </c>
      <c r="M26" s="575" t="str">
        <f>IF(K26&gt;K$35,"X","-")</f>
        <v>X</v>
      </c>
      <c r="O26" s="575" t="str">
        <f>IF(OR(AND(C26="X",D26="X"),AND(F26="X",G26="X"),AND(I26="X",J26="X"),AND(L26="X",M26="X")),"MAJOR","-")</f>
        <v>MAJOR</v>
      </c>
    </row>
    <row r="27" spans="1:15" x14ac:dyDescent="0.2">
      <c r="A27" s="581" t="s">
        <v>79</v>
      </c>
      <c r="B27" s="568">
        <f>14670927+358569</f>
        <v>15029496</v>
      </c>
      <c r="C27" s="575" t="str">
        <f>IF(B27&gt;B$31,"X","-")</f>
        <v>X</v>
      </c>
      <c r="D27" s="575" t="str">
        <f>IF(B27&gt;B$35,"X","-")</f>
        <v>X</v>
      </c>
      <c r="E27" s="568">
        <f>'6-Net Pos-Prop'!D62+'6-Net Pos-Prop'!D65+'6-Net Pos-Prop'!D66+'6-Net Pos-Prop'!D67</f>
        <v>5488370.1439999994</v>
      </c>
      <c r="F27" s="575" t="str">
        <f>IF(E27&gt;E$31,"X","-")</f>
        <v>X</v>
      </c>
      <c r="G27" s="575" t="str">
        <f>IF(E27&gt;E$35,"X","-")</f>
        <v>X</v>
      </c>
      <c r="H27" s="568">
        <f>'7-Rev, Exp-Prop'!D13+'7-Rev, Exp-Prop'!D29+'7-Rev, Exp-Prop'!D30</f>
        <v>1596104</v>
      </c>
      <c r="I27" s="575" t="str">
        <f>IF(H27&gt;H$31,"X","-")</f>
        <v>X</v>
      </c>
      <c r="J27" s="575" t="str">
        <f>IF(H27&gt;H$35,"X","-")</f>
        <v>X</v>
      </c>
      <c r="K27" s="568">
        <f>'7-Rev, Exp-Prop'!D24-'7-Rev, Exp-Prop'!D31-'7-Rev, Exp-Prop'!D32</f>
        <v>1265956.5</v>
      </c>
      <c r="L27" s="575" t="str">
        <f>IF(K27&gt;K$31,"X","-")</f>
        <v>X</v>
      </c>
      <c r="M27" s="575" t="str">
        <f>IF(K27&gt;K$35,"X","-")</f>
        <v>X</v>
      </c>
      <c r="O27" s="575" t="str">
        <f>IF(OR(AND(C27="X",D27="X"),AND(F27="X",G27="X"),AND(I27="X",J27="X"),AND(L27="X",M27="X")),"MAJOR","-")</f>
        <v>MAJOR</v>
      </c>
    </row>
    <row r="28" spans="1:15" x14ac:dyDescent="0.2">
      <c r="A28" s="580"/>
    </row>
    <row r="29" spans="1:15" ht="13.5" thickBot="1" x14ac:dyDescent="0.25">
      <c r="A29" s="581" t="s">
        <v>104</v>
      </c>
      <c r="B29" s="576">
        <f>SUM(B26:B28)</f>
        <v>16490550.876</v>
      </c>
      <c r="E29" s="576">
        <f>SUM(E26:E28)</f>
        <v>5933669.1799999997</v>
      </c>
      <c r="H29" s="576">
        <f>SUM(H26:H28)</f>
        <v>4430501</v>
      </c>
      <c r="K29" s="576">
        <f>SUM(K26:K28)</f>
        <v>4110786.125</v>
      </c>
    </row>
    <row r="30" spans="1:15" ht="13.5" thickTop="1" x14ac:dyDescent="0.2">
      <c r="A30" s="580"/>
    </row>
    <row r="31" spans="1:15" ht="13.5" thickBot="1" x14ac:dyDescent="0.25">
      <c r="A31" s="580" t="s">
        <v>105</v>
      </c>
      <c r="B31" s="577">
        <f>ROUND(B29*0.1,0)</f>
        <v>1649055</v>
      </c>
      <c r="E31" s="577">
        <f>ROUND(E29*0.1,0)</f>
        <v>593367</v>
      </c>
      <c r="H31" s="577">
        <f>ROUND(H29*0.1,0)</f>
        <v>443050</v>
      </c>
      <c r="K31" s="577">
        <f>ROUND(K29*0.1,0)</f>
        <v>411079</v>
      </c>
    </row>
    <row r="32" spans="1:15" ht="13.5" thickTop="1" x14ac:dyDescent="0.2">
      <c r="A32" s="580"/>
    </row>
    <row r="33" spans="1:11" ht="15" customHeight="1" thickBot="1" x14ac:dyDescent="0.25">
      <c r="A33" s="580" t="s">
        <v>106</v>
      </c>
      <c r="B33" s="576">
        <f>+B21+B29</f>
        <v>17416144.876000002</v>
      </c>
      <c r="E33" s="576">
        <f>+E21+E29</f>
        <v>6300646.1799999997</v>
      </c>
      <c r="H33" s="576">
        <f>+H21+H29</f>
        <v>7815588</v>
      </c>
      <c r="K33" s="576">
        <f>+K21+K29</f>
        <v>8123749.2750000004</v>
      </c>
    </row>
    <row r="34" spans="1:11" ht="13.5" thickTop="1" x14ac:dyDescent="0.2">
      <c r="A34" s="580"/>
    </row>
    <row r="35" spans="1:11" ht="26.25" thickBot="1" x14ac:dyDescent="0.25">
      <c r="A35" s="580" t="s">
        <v>107</v>
      </c>
      <c r="B35" s="577">
        <f>ROUND(B33*0.05,0)</f>
        <v>870807</v>
      </c>
      <c r="E35" s="577">
        <f>ROUND(E33*0.05,0)</f>
        <v>315032</v>
      </c>
      <c r="H35" s="577">
        <f>ROUND(H33*0.05,0)</f>
        <v>390779</v>
      </c>
      <c r="K35" s="577">
        <f>ROUND(K33*0.05,0)</f>
        <v>406187</v>
      </c>
    </row>
    <row r="36" spans="1:11" ht="13.5" thickTop="1" x14ac:dyDescent="0.2">
      <c r="A36" s="580"/>
    </row>
    <row r="37" spans="1:11" x14ac:dyDescent="0.2">
      <c r="A37" s="580"/>
    </row>
    <row r="38" spans="1:11" x14ac:dyDescent="0.2">
      <c r="A38" s="581"/>
    </row>
    <row r="41" spans="1:11" x14ac:dyDescent="0.2">
      <c r="A41" s="581"/>
    </row>
    <row r="42" spans="1:11" x14ac:dyDescent="0.2">
      <c r="A42" s="581"/>
    </row>
    <row r="43" spans="1:11" x14ac:dyDescent="0.2">
      <c r="A43" s="581"/>
    </row>
    <row r="44" spans="1:11" x14ac:dyDescent="0.2">
      <c r="A44" s="581"/>
    </row>
    <row r="45" spans="1:11" x14ac:dyDescent="0.2">
      <c r="A45" s="581"/>
    </row>
    <row r="46" spans="1:11" x14ac:dyDescent="0.2">
      <c r="A46" s="581"/>
    </row>
    <row r="49" spans="1:1" x14ac:dyDescent="0.2">
      <c r="A49" s="581"/>
    </row>
  </sheetData>
  <customSheetViews>
    <customSheetView guid="{AB48C5D7-99F4-4378-A0F9-05018B348977}">
      <selection activeCell="B39" sqref="B39"/>
      <rowBreaks count="1" manualBreakCount="1">
        <brk id="37" max="14" man="1"/>
      </rowBreaks>
      <pageMargins left="0.75" right="0.75" top="1" bottom="1" header="0.5" footer="0.5"/>
      <pageSetup scale="79" firstPageNumber="27" orientation="landscape" useFirstPageNumber="1" r:id="rId1"/>
      <headerFooter alignWithMargins="0"/>
    </customSheetView>
  </customSheetViews>
  <mergeCells count="5">
    <mergeCell ref="C7:D7"/>
    <mergeCell ref="F7:G7"/>
    <mergeCell ref="I7:J7"/>
    <mergeCell ref="L7:M7"/>
    <mergeCell ref="A5:K5"/>
  </mergeCells>
  <phoneticPr fontId="0" type="noConversion"/>
  <printOptions horizontalCentered="1"/>
  <pageMargins left="0.6" right="0.6" top="0.75" bottom="0.75" header="0.3" footer="0.3"/>
  <pageSetup scale="65" firstPageNumber="27" orientation="landscape" r:id="rId2"/>
  <rowBreaks count="1" manualBreakCount="1">
    <brk id="36"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M59"/>
  <sheetViews>
    <sheetView topLeftCell="A30" workbookViewId="0">
      <selection activeCell="A55" sqref="A55:J55"/>
    </sheetView>
  </sheetViews>
  <sheetFormatPr defaultColWidth="9.140625" defaultRowHeight="12.75" x14ac:dyDescent="0.2"/>
  <cols>
    <col min="1" max="1" width="30.7109375" customWidth="1"/>
    <col min="2" max="2" width="13.5703125" customWidth="1"/>
    <col min="3" max="3" width="1.28515625" customWidth="1"/>
    <col min="4" max="4" width="13.5703125" customWidth="1"/>
    <col min="5" max="5" width="1.28515625" customWidth="1"/>
    <col min="6" max="6" width="13.5703125" customWidth="1"/>
    <col min="7" max="7" width="1.28515625" customWidth="1"/>
    <col min="8" max="8" width="13.5703125" customWidth="1"/>
    <col min="9" max="9" width="1.28515625" customWidth="1"/>
    <col min="10" max="10" width="13.5703125" customWidth="1"/>
    <col min="12" max="12" width="15" bestFit="1" customWidth="1"/>
  </cols>
  <sheetData>
    <row r="1" spans="1:10" x14ac:dyDescent="0.2">
      <c r="A1" s="777" t="s">
        <v>0</v>
      </c>
      <c r="B1" s="777"/>
      <c r="C1" s="777"/>
      <c r="D1" s="777"/>
      <c r="E1" s="777"/>
      <c r="F1" s="777"/>
      <c r="G1" s="777"/>
      <c r="H1" s="777"/>
      <c r="I1" s="777"/>
      <c r="J1" s="777"/>
    </row>
    <row r="2" spans="1:10" x14ac:dyDescent="0.2">
      <c r="A2" s="777" t="s">
        <v>25</v>
      </c>
      <c r="B2" s="777"/>
      <c r="C2" s="777"/>
      <c r="D2" s="777"/>
      <c r="E2" s="777"/>
      <c r="F2" s="777"/>
      <c r="G2" s="777"/>
      <c r="H2" s="777"/>
      <c r="I2" s="777"/>
      <c r="J2" s="777"/>
    </row>
    <row r="3" spans="1:10" x14ac:dyDescent="0.2">
      <c r="A3" s="777" t="s">
        <v>15</v>
      </c>
      <c r="B3" s="777"/>
      <c r="C3" s="777"/>
      <c r="D3" s="777"/>
      <c r="E3" s="777"/>
      <c r="F3" s="777"/>
      <c r="G3" s="777"/>
      <c r="H3" s="777"/>
      <c r="I3" s="777"/>
      <c r="J3" s="777"/>
    </row>
    <row r="4" spans="1:10" s="19" customFormat="1" x14ac:dyDescent="0.2">
      <c r="A4" s="778" t="s">
        <v>782</v>
      </c>
      <c r="B4" s="777"/>
      <c r="C4" s="777"/>
      <c r="D4" s="777"/>
      <c r="E4" s="777"/>
      <c r="F4" s="777"/>
      <c r="G4" s="777"/>
      <c r="H4" s="777"/>
      <c r="I4" s="777"/>
      <c r="J4" s="777"/>
    </row>
    <row r="5" spans="1:10" s="19" customFormat="1" x14ac:dyDescent="0.2">
      <c r="A5" s="589"/>
      <c r="B5" s="228"/>
      <c r="C5" s="228"/>
      <c r="D5" s="228"/>
      <c r="E5" s="228"/>
      <c r="F5" s="228"/>
      <c r="G5" s="228"/>
      <c r="H5" s="228"/>
      <c r="I5" s="228"/>
      <c r="J5" s="55" t="s">
        <v>24</v>
      </c>
    </row>
    <row r="6" spans="1:10" ht="13.5" thickBot="1" x14ac:dyDescent="0.25">
      <c r="A6" s="622"/>
      <c r="B6" s="622"/>
      <c r="C6" s="622"/>
      <c r="D6" s="622"/>
      <c r="E6" s="622"/>
      <c r="F6" s="622"/>
      <c r="G6" s="622"/>
      <c r="H6" s="622"/>
      <c r="I6" s="622"/>
      <c r="J6" s="622"/>
    </row>
    <row r="7" spans="1:10" x14ac:dyDescent="0.2">
      <c r="B7" s="58" t="s">
        <v>467</v>
      </c>
      <c r="C7" s="58"/>
      <c r="D7" s="612"/>
      <c r="E7" s="612"/>
      <c r="F7" s="612"/>
      <c r="G7" s="100"/>
      <c r="H7" s="228"/>
      <c r="I7" s="228"/>
    </row>
    <row r="8" spans="1:10" ht="38.25" x14ac:dyDescent="0.2">
      <c r="B8" s="54" t="s">
        <v>26</v>
      </c>
      <c r="C8" s="594"/>
      <c r="D8" s="54" t="s">
        <v>120</v>
      </c>
      <c r="E8" s="594"/>
      <c r="F8" s="54" t="s">
        <v>65</v>
      </c>
      <c r="G8" s="594"/>
      <c r="H8" s="54" t="s">
        <v>493</v>
      </c>
      <c r="I8" s="594"/>
      <c r="J8" s="54" t="s">
        <v>17</v>
      </c>
    </row>
    <row r="9" spans="1:10" x14ac:dyDescent="0.2">
      <c r="A9" s="101" t="s">
        <v>27</v>
      </c>
    </row>
    <row r="10" spans="1:10" x14ac:dyDescent="0.2">
      <c r="A10" t="s">
        <v>66</v>
      </c>
      <c r="B10" s="419">
        <f>969504</f>
        <v>969504</v>
      </c>
      <c r="C10" s="419"/>
      <c r="D10" s="419">
        <v>0</v>
      </c>
      <c r="E10" s="419"/>
      <c r="F10" s="419">
        <v>0</v>
      </c>
      <c r="G10" s="419"/>
      <c r="H10" s="419">
        <v>0</v>
      </c>
      <c r="I10" s="419"/>
      <c r="J10" s="419">
        <f t="shared" ref="J10:J17" si="0">SUM(B10:H10)</f>
        <v>969504</v>
      </c>
    </row>
    <row r="11" spans="1:10" x14ac:dyDescent="0.2">
      <c r="A11" t="s">
        <v>67</v>
      </c>
      <c r="B11" s="421">
        <f>50804+2000+510-29187</f>
        <v>24127</v>
      </c>
      <c r="C11" s="421"/>
      <c r="D11" s="420">
        <f>750000-750000</f>
        <v>0</v>
      </c>
      <c r="E11" s="420"/>
      <c r="F11" s="420">
        <v>0</v>
      </c>
      <c r="G11" s="420"/>
      <c r="H11" s="420">
        <v>0</v>
      </c>
      <c r="I11" s="420"/>
      <c r="J11" s="420">
        <f t="shared" si="0"/>
        <v>24127</v>
      </c>
    </row>
    <row r="12" spans="1:10" x14ac:dyDescent="0.2">
      <c r="A12" t="s">
        <v>68</v>
      </c>
      <c r="B12" s="421">
        <f>702269+216639</f>
        <v>918908</v>
      </c>
      <c r="C12" s="421"/>
      <c r="D12" s="420">
        <v>0</v>
      </c>
      <c r="E12" s="420"/>
      <c r="F12" s="420">
        <v>0</v>
      </c>
      <c r="G12" s="420"/>
      <c r="H12" s="420">
        <v>0</v>
      </c>
      <c r="I12" s="420"/>
      <c r="J12" s="420">
        <f t="shared" si="0"/>
        <v>918908</v>
      </c>
    </row>
    <row r="13" spans="1:10" x14ac:dyDescent="0.2">
      <c r="A13" t="s">
        <v>69</v>
      </c>
      <c r="B13" s="420">
        <f>166334+100000</f>
        <v>266334</v>
      </c>
      <c r="C13" s="420"/>
      <c r="D13" s="420">
        <f>35000+750000</f>
        <v>785000</v>
      </c>
      <c r="E13" s="420"/>
      <c r="F13" s="420">
        <v>200000</v>
      </c>
      <c r="G13" s="420"/>
      <c r="H13" s="420">
        <v>115000</v>
      </c>
      <c r="I13" s="420"/>
      <c r="J13" s="420">
        <f t="shared" si="0"/>
        <v>1366334</v>
      </c>
    </row>
    <row r="14" spans="1:10" x14ac:dyDescent="0.2">
      <c r="A14" t="s">
        <v>70</v>
      </c>
      <c r="B14" s="421">
        <f>13160+29187</f>
        <v>42347</v>
      </c>
      <c r="C14" s="421"/>
      <c r="D14" s="420">
        <v>0</v>
      </c>
      <c r="E14" s="420"/>
      <c r="F14" s="420">
        <v>0</v>
      </c>
      <c r="G14" s="420"/>
      <c r="H14" s="420">
        <v>0</v>
      </c>
      <c r="I14" s="420"/>
      <c r="J14" s="420">
        <f t="shared" si="0"/>
        <v>42347</v>
      </c>
    </row>
    <row r="15" spans="1:10" x14ac:dyDescent="0.2">
      <c r="A15" t="s">
        <v>71</v>
      </c>
      <c r="B15" s="510">
        <f>22007+2789+351</f>
        <v>25147</v>
      </c>
      <c r="C15" s="510"/>
      <c r="D15" s="420">
        <v>0</v>
      </c>
      <c r="E15" s="420"/>
      <c r="F15" s="420">
        <v>0</v>
      </c>
      <c r="G15" s="420"/>
      <c r="H15" s="420">
        <v>8771</v>
      </c>
      <c r="I15" s="420"/>
      <c r="J15" s="420">
        <f t="shared" si="0"/>
        <v>33918</v>
      </c>
    </row>
    <row r="16" spans="1:10" x14ac:dyDescent="0.2">
      <c r="A16" t="s">
        <v>29</v>
      </c>
      <c r="B16" s="421">
        <f>23804+152</f>
        <v>23956</v>
      </c>
      <c r="C16" s="421"/>
      <c r="D16" s="420">
        <v>0</v>
      </c>
      <c r="E16" s="420"/>
      <c r="F16" s="420">
        <v>5000</v>
      </c>
      <c r="G16" s="420"/>
      <c r="H16" s="420">
        <v>412</v>
      </c>
      <c r="I16" s="420"/>
      <c r="J16" s="420">
        <f t="shared" si="0"/>
        <v>29368</v>
      </c>
    </row>
    <row r="17" spans="1:13" x14ac:dyDescent="0.2">
      <c r="A17" t="s">
        <v>13</v>
      </c>
      <c r="B17" s="510">
        <f>183+398</f>
        <v>581</v>
      </c>
      <c r="C17" s="511"/>
      <c r="D17" s="420">
        <v>0</v>
      </c>
      <c r="E17" s="422"/>
      <c r="F17" s="420">
        <v>0</v>
      </c>
      <c r="G17" s="422"/>
      <c r="H17" s="420">
        <v>0</v>
      </c>
      <c r="I17" s="422"/>
      <c r="J17" s="420">
        <f t="shared" si="0"/>
        <v>581</v>
      </c>
    </row>
    <row r="18" spans="1:13" x14ac:dyDescent="0.2">
      <c r="A18" s="33" t="s">
        <v>30</v>
      </c>
      <c r="B18" s="424">
        <f>SUM(B10:B17)</f>
        <v>2270904</v>
      </c>
      <c r="C18" s="422"/>
      <c r="D18" s="424">
        <f>SUM(D10:D17)</f>
        <v>785000</v>
      </c>
      <c r="E18" s="422"/>
      <c r="F18" s="424">
        <f>SUM(F10:F17)</f>
        <v>205000</v>
      </c>
      <c r="G18" s="422"/>
      <c r="H18" s="424">
        <f>SUM(H10:H17)</f>
        <v>124183</v>
      </c>
      <c r="I18" s="422"/>
      <c r="J18" s="424">
        <f>SUM(J10:J17)</f>
        <v>3385087</v>
      </c>
    </row>
    <row r="19" spans="1:13" x14ac:dyDescent="0.2">
      <c r="B19" s="420"/>
      <c r="C19" s="422"/>
      <c r="D19" s="420"/>
      <c r="E19" s="420"/>
      <c r="F19" s="420"/>
      <c r="G19" s="420"/>
      <c r="H19" s="420"/>
      <c r="I19" s="422"/>
      <c r="J19" s="420"/>
    </row>
    <row r="20" spans="1:13" x14ac:dyDescent="0.2">
      <c r="A20" s="101" t="s">
        <v>31</v>
      </c>
      <c r="B20" s="420"/>
      <c r="C20" s="420"/>
      <c r="D20" s="420"/>
      <c r="E20" s="420"/>
      <c r="F20" s="420"/>
      <c r="G20" s="420"/>
      <c r="H20" s="420"/>
      <c r="I20" s="420"/>
      <c r="J20" s="420"/>
    </row>
    <row r="21" spans="1:13" x14ac:dyDescent="0.2">
      <c r="A21" t="s">
        <v>32</v>
      </c>
      <c r="B21" s="420"/>
      <c r="C21" s="420"/>
      <c r="D21" s="420"/>
      <c r="E21" s="420"/>
      <c r="F21" s="420"/>
      <c r="G21" s="420"/>
      <c r="H21" s="420"/>
      <c r="I21" s="420"/>
      <c r="J21" s="420"/>
    </row>
    <row r="22" spans="1:13" x14ac:dyDescent="0.2">
      <c r="A22" s="251" t="s">
        <v>10</v>
      </c>
      <c r="B22" s="421">
        <f>169806+4+395240+216639+120000*0.593+(45000+50)*0.593+(155000*0.605*0.98)+21444+13396+48781</f>
        <v>1055084.1499999999</v>
      </c>
      <c r="C22" s="421"/>
      <c r="D22" s="420">
        <v>0</v>
      </c>
      <c r="E22" s="420"/>
      <c r="F22" s="420">
        <v>0</v>
      </c>
      <c r="G22" s="420"/>
      <c r="H22" s="420">
        <v>2095</v>
      </c>
      <c r="I22" s="420"/>
      <c r="J22" s="420">
        <f t="shared" ref="J22:J27" si="1">SUM(B22:H22)</f>
        <v>1057179.1499999999</v>
      </c>
      <c r="M22" s="460"/>
    </row>
    <row r="23" spans="1:13" x14ac:dyDescent="0.2">
      <c r="A23" s="251" t="s">
        <v>11</v>
      </c>
      <c r="B23" s="484">
        <f>524736+(8000+125)+15831+17024+106458</f>
        <v>672174</v>
      </c>
      <c r="C23" s="484"/>
      <c r="D23" s="420">
        <v>785038</v>
      </c>
      <c r="E23" s="420"/>
      <c r="F23" s="420">
        <v>0</v>
      </c>
      <c r="G23" s="420"/>
      <c r="H23" s="420">
        <v>0</v>
      </c>
      <c r="I23" s="420"/>
      <c r="J23" s="420">
        <f t="shared" si="1"/>
        <v>1457212</v>
      </c>
    </row>
    <row r="24" spans="1:13" x14ac:dyDescent="0.2">
      <c r="A24" s="251" t="s">
        <v>72</v>
      </c>
      <c r="B24" s="420">
        <f>392799+41</f>
        <v>392840</v>
      </c>
      <c r="C24" s="420"/>
      <c r="D24" s="420">
        <v>0</v>
      </c>
      <c r="E24" s="420"/>
      <c r="F24" s="420">
        <v>0</v>
      </c>
      <c r="G24" s="420"/>
      <c r="H24" s="420">
        <v>0</v>
      </c>
      <c r="I24" s="420"/>
      <c r="J24" s="420">
        <f t="shared" si="1"/>
        <v>392840</v>
      </c>
    </row>
    <row r="25" spans="1:13" ht="25.5" x14ac:dyDescent="0.2">
      <c r="A25" s="251" t="s">
        <v>64</v>
      </c>
      <c r="B25" s="420">
        <v>0</v>
      </c>
      <c r="C25" s="420"/>
      <c r="D25" s="420">
        <v>0</v>
      </c>
      <c r="E25" s="420"/>
      <c r="F25" s="420">
        <v>0</v>
      </c>
      <c r="G25" s="420"/>
      <c r="H25" s="420">
        <v>115000</v>
      </c>
      <c r="I25" s="420"/>
      <c r="J25" s="420">
        <f t="shared" si="1"/>
        <v>115000</v>
      </c>
    </row>
    <row r="26" spans="1:13" x14ac:dyDescent="0.2">
      <c r="A26" s="251" t="s">
        <v>73</v>
      </c>
      <c r="B26" s="420">
        <v>257918</v>
      </c>
      <c r="C26" s="420"/>
      <c r="D26" s="420">
        <v>0</v>
      </c>
      <c r="E26" s="420"/>
      <c r="F26" s="420">
        <v>0</v>
      </c>
      <c r="G26" s="420"/>
      <c r="H26" s="420">
        <v>0</v>
      </c>
      <c r="I26" s="420"/>
      <c r="J26" s="420">
        <f t="shared" si="1"/>
        <v>257918</v>
      </c>
    </row>
    <row r="27" spans="1:13" x14ac:dyDescent="0.2">
      <c r="A27" s="251" t="s">
        <v>12</v>
      </c>
      <c r="B27" s="420">
        <f>91252+8</f>
        <v>91260</v>
      </c>
      <c r="C27" s="420"/>
      <c r="D27" s="420">
        <v>0</v>
      </c>
      <c r="E27" s="420"/>
      <c r="F27" s="420">
        <v>0</v>
      </c>
      <c r="G27" s="420"/>
      <c r="H27" s="420">
        <v>0</v>
      </c>
      <c r="I27" s="420"/>
      <c r="J27" s="420">
        <f t="shared" si="1"/>
        <v>91260</v>
      </c>
    </row>
    <row r="28" spans="1:13" x14ac:dyDescent="0.2">
      <c r="A28" t="s">
        <v>33</v>
      </c>
      <c r="B28" s="420"/>
      <c r="C28" s="420"/>
      <c r="D28" s="420"/>
      <c r="E28" s="420"/>
      <c r="F28" s="420"/>
      <c r="G28" s="420"/>
      <c r="H28" s="420"/>
      <c r="I28" s="420"/>
      <c r="J28" s="420"/>
    </row>
    <row r="29" spans="1:13" x14ac:dyDescent="0.2">
      <c r="A29" s="33" t="s">
        <v>34</v>
      </c>
      <c r="B29" s="510">
        <f>10000+6169+11706+10000+5948</f>
        <v>43823</v>
      </c>
      <c r="C29" s="510"/>
      <c r="D29" s="420">
        <v>0</v>
      </c>
      <c r="E29" s="420"/>
      <c r="F29" s="420">
        <v>0</v>
      </c>
      <c r="G29" s="420"/>
      <c r="H29" s="420">
        <v>0</v>
      </c>
      <c r="I29" s="420"/>
      <c r="J29" s="420">
        <f>SUM(B29:H29)</f>
        <v>43823</v>
      </c>
    </row>
    <row r="30" spans="1:13" x14ac:dyDescent="0.2">
      <c r="A30" s="33" t="s">
        <v>35</v>
      </c>
      <c r="B30" s="510">
        <f>5365+1389+136+294+547</f>
        <v>7731</v>
      </c>
      <c r="C30" s="510"/>
      <c r="D30" s="420">
        <v>0</v>
      </c>
      <c r="E30" s="420"/>
      <c r="F30" s="420">
        <v>0</v>
      </c>
      <c r="G30" s="420"/>
      <c r="H30" s="420">
        <v>0</v>
      </c>
      <c r="I30" s="420"/>
      <c r="J30" s="420">
        <f>SUM(B30:H30)</f>
        <v>7731</v>
      </c>
    </row>
    <row r="31" spans="1:13" x14ac:dyDescent="0.2">
      <c r="A31" t="s">
        <v>36</v>
      </c>
      <c r="B31" s="425">
        <v>0</v>
      </c>
      <c r="C31" s="422"/>
      <c r="D31" s="425">
        <v>0</v>
      </c>
      <c r="E31" s="422"/>
      <c r="F31" s="425">
        <v>590000</v>
      </c>
      <c r="G31" s="422"/>
      <c r="H31" s="425">
        <v>0</v>
      </c>
      <c r="I31" s="422"/>
      <c r="J31" s="425">
        <f>SUM(B31:H31)</f>
        <v>590000</v>
      </c>
    </row>
    <row r="32" spans="1:13" x14ac:dyDescent="0.2">
      <c r="A32" s="4" t="s">
        <v>37</v>
      </c>
      <c r="B32" s="424">
        <f>SUM(B22:B31)</f>
        <v>2520830.15</v>
      </c>
      <c r="C32" s="422"/>
      <c r="D32" s="424">
        <v>785038</v>
      </c>
      <c r="E32" s="422"/>
      <c r="F32" s="424">
        <f>SUM(F22:F31)</f>
        <v>590000</v>
      </c>
      <c r="G32" s="422"/>
      <c r="H32" s="424">
        <f>SUM(H22:H31)</f>
        <v>117095</v>
      </c>
      <c r="I32" s="422"/>
      <c r="J32" s="424">
        <f>SUM(J22:J31)</f>
        <v>4012963.15</v>
      </c>
      <c r="L32" s="457"/>
    </row>
    <row r="33" spans="1:12" ht="25.5" x14ac:dyDescent="0.2">
      <c r="A33" s="542" t="s">
        <v>38</v>
      </c>
      <c r="B33" s="424">
        <f>+B18-B32</f>
        <v>-249926.14999999991</v>
      </c>
      <c r="C33" s="422"/>
      <c r="D33" s="424">
        <f>+D18-D32</f>
        <v>-38</v>
      </c>
      <c r="E33" s="422"/>
      <c r="F33" s="424">
        <f>+F18-F32</f>
        <v>-385000</v>
      </c>
      <c r="G33" s="422"/>
      <c r="H33" s="424">
        <f>+H18-H32</f>
        <v>7088</v>
      </c>
      <c r="I33" s="422"/>
      <c r="J33" s="424">
        <f>+J18-J32</f>
        <v>-627876.14999999991</v>
      </c>
      <c r="L33" s="422"/>
    </row>
    <row r="34" spans="1:12" x14ac:dyDescent="0.2">
      <c r="B34" s="420"/>
      <c r="C34" s="422"/>
      <c r="D34" s="420"/>
      <c r="E34" s="422"/>
      <c r="F34" s="420"/>
      <c r="G34" s="420"/>
      <c r="H34" s="420"/>
      <c r="I34" s="420"/>
      <c r="J34" s="420"/>
    </row>
    <row r="35" spans="1:12" x14ac:dyDescent="0.2">
      <c r="A35" s="101" t="s">
        <v>39</v>
      </c>
      <c r="B35" s="420"/>
      <c r="C35" s="420"/>
      <c r="D35" s="420"/>
      <c r="E35" s="420"/>
      <c r="F35" s="420"/>
      <c r="G35" s="420"/>
      <c r="H35" s="420"/>
      <c r="I35" s="420"/>
      <c r="J35" s="420"/>
    </row>
    <row r="36" spans="1:12" x14ac:dyDescent="0.2">
      <c r="A36" s="231" t="s">
        <v>460</v>
      </c>
      <c r="B36" s="421">
        <f>10813</f>
        <v>10813</v>
      </c>
      <c r="C36" s="421"/>
      <c r="D36" s="420">
        <v>0</v>
      </c>
      <c r="E36" s="420"/>
      <c r="F36" s="420">
        <v>208400</v>
      </c>
      <c r="G36" s="420"/>
      <c r="H36" s="420">
        <v>0</v>
      </c>
      <c r="I36" s="420"/>
      <c r="J36" s="420">
        <f t="shared" ref="J36:J42" si="2">SUM(B36:H36)</f>
        <v>219213</v>
      </c>
    </row>
    <row r="37" spans="1:12" x14ac:dyDescent="0.2">
      <c r="A37" s="231" t="s">
        <v>461</v>
      </c>
      <c r="B37" s="421">
        <f>-305800</f>
        <v>-305800</v>
      </c>
      <c r="C37" s="421"/>
      <c r="D37" s="420">
        <v>0</v>
      </c>
      <c r="E37" s="420"/>
      <c r="F37" s="420">
        <v>0</v>
      </c>
      <c r="G37" s="420"/>
      <c r="H37" s="420">
        <v>0</v>
      </c>
      <c r="I37" s="420"/>
      <c r="J37" s="420">
        <f t="shared" si="2"/>
        <v>-305800</v>
      </c>
    </row>
    <row r="38" spans="1:12" x14ac:dyDescent="0.2">
      <c r="A38" s="231" t="s">
        <v>498</v>
      </c>
      <c r="B38" s="420">
        <v>5000</v>
      </c>
      <c r="C38" s="420"/>
      <c r="D38" s="420">
        <v>0</v>
      </c>
      <c r="E38" s="420"/>
      <c r="F38" s="420">
        <v>0</v>
      </c>
      <c r="G38" s="420"/>
      <c r="H38" s="420">
        <v>0</v>
      </c>
      <c r="I38" s="420"/>
      <c r="J38" s="420">
        <f t="shared" si="2"/>
        <v>5000</v>
      </c>
    </row>
    <row r="39" spans="1:12" x14ac:dyDescent="0.2">
      <c r="A39" s="231" t="s">
        <v>512</v>
      </c>
      <c r="B39" s="420">
        <v>325000</v>
      </c>
      <c r="C39" s="420"/>
      <c r="D39" s="420"/>
      <c r="E39" s="420"/>
      <c r="F39" s="420"/>
      <c r="G39" s="420"/>
      <c r="H39" s="420"/>
      <c r="I39" s="420"/>
      <c r="J39" s="420">
        <f t="shared" si="2"/>
        <v>325000</v>
      </c>
    </row>
    <row r="40" spans="1:12" ht="25.5" x14ac:dyDescent="0.2">
      <c r="A40" s="231" t="s">
        <v>482</v>
      </c>
      <c r="B40" s="420">
        <v>0</v>
      </c>
      <c r="C40" s="420"/>
      <c r="D40" s="420">
        <v>0</v>
      </c>
      <c r="E40" s="420"/>
      <c r="F40" s="420">
        <v>200000</v>
      </c>
      <c r="G40" s="420"/>
      <c r="H40" s="420">
        <v>0</v>
      </c>
      <c r="I40" s="420"/>
      <c r="J40" s="420">
        <f t="shared" si="2"/>
        <v>200000</v>
      </c>
      <c r="L40" s="30"/>
    </row>
    <row r="41" spans="1:12" x14ac:dyDescent="0.2">
      <c r="A41" s="231" t="s">
        <v>739</v>
      </c>
      <c r="B41" s="511">
        <f>34840</f>
        <v>34840</v>
      </c>
      <c r="C41" s="511"/>
      <c r="D41" s="420"/>
      <c r="E41" s="420"/>
      <c r="F41" s="420"/>
      <c r="G41" s="420"/>
      <c r="H41" s="420"/>
      <c r="I41" s="420"/>
      <c r="J41" s="420">
        <f t="shared" si="2"/>
        <v>34840</v>
      </c>
      <c r="L41" s="30"/>
    </row>
    <row r="42" spans="1:12" x14ac:dyDescent="0.2">
      <c r="A42" s="231" t="s">
        <v>756</v>
      </c>
      <c r="B42" s="420">
        <v>48781</v>
      </c>
      <c r="C42" s="422"/>
      <c r="D42" s="425">
        <v>0</v>
      </c>
      <c r="E42" s="422"/>
      <c r="F42" s="425">
        <v>0</v>
      </c>
      <c r="G42" s="422"/>
      <c r="H42" s="425">
        <v>0</v>
      </c>
      <c r="I42" s="422"/>
      <c r="J42" s="420">
        <f t="shared" si="2"/>
        <v>48781</v>
      </c>
    </row>
    <row r="43" spans="1:12" ht="25.5" x14ac:dyDescent="0.2">
      <c r="A43" s="251" t="s">
        <v>74</v>
      </c>
      <c r="B43" s="424">
        <f>SUM(B36:B42)</f>
        <v>118634</v>
      </c>
      <c r="C43" s="422"/>
      <c r="D43" s="424">
        <f>SUM(D36:D42)</f>
        <v>0</v>
      </c>
      <c r="E43" s="422"/>
      <c r="F43" s="424">
        <f>SUM(F36:F42)</f>
        <v>408400</v>
      </c>
      <c r="G43" s="422"/>
      <c r="H43" s="424">
        <f>SUM(H36:H42)</f>
        <v>0</v>
      </c>
      <c r="I43" s="422"/>
      <c r="J43" s="424">
        <f>SUM(J36:J42)</f>
        <v>527034</v>
      </c>
    </row>
    <row r="44" spans="1:12" x14ac:dyDescent="0.2">
      <c r="A44" s="1" t="s">
        <v>75</v>
      </c>
      <c r="B44" s="420">
        <f>+B33+B43</f>
        <v>-131292.14999999991</v>
      </c>
      <c r="C44" s="420"/>
      <c r="D44" s="420">
        <f>+D33+D43</f>
        <v>-38</v>
      </c>
      <c r="E44" s="420"/>
      <c r="F44" s="420">
        <f>+F33+F43</f>
        <v>23400</v>
      </c>
      <c r="G44" s="420"/>
      <c r="H44" s="420">
        <f>+H33+H43</f>
        <v>7088</v>
      </c>
      <c r="I44" s="420"/>
      <c r="J44" s="422">
        <f>SUM(B44:H44)</f>
        <v>-100842.14999999991</v>
      </c>
    </row>
    <row r="45" spans="1:12" hidden="1" x14ac:dyDescent="0.2">
      <c r="A45" s="231" t="s">
        <v>509</v>
      </c>
      <c r="B45" s="420"/>
      <c r="C45" s="420"/>
      <c r="D45" s="420"/>
      <c r="E45" s="420"/>
      <c r="F45" s="420"/>
      <c r="G45" s="420"/>
      <c r="H45" s="420"/>
      <c r="I45" s="420"/>
      <c r="J45" s="422"/>
    </row>
    <row r="46" spans="1:12" ht="12" hidden="1" customHeight="1" x14ac:dyDescent="0.2">
      <c r="A46" s="231" t="s">
        <v>591</v>
      </c>
      <c r="B46" s="421">
        <f>15801+342909+200000+5759-175</f>
        <v>564294</v>
      </c>
      <c r="C46" s="421"/>
      <c r="D46" s="420">
        <v>5453</v>
      </c>
      <c r="E46" s="420"/>
      <c r="F46" s="420">
        <v>0</v>
      </c>
      <c r="G46" s="420"/>
      <c r="H46" s="420">
        <v>19808</v>
      </c>
      <c r="I46" s="420"/>
      <c r="J46" s="422">
        <f>SUM(B46:H46)</f>
        <v>589555</v>
      </c>
    </row>
    <row r="47" spans="1:12" hidden="1" x14ac:dyDescent="0.2">
      <c r="A47" s="231" t="s">
        <v>510</v>
      </c>
      <c r="B47" s="425">
        <v>67367</v>
      </c>
      <c r="C47" s="425"/>
      <c r="D47" s="425">
        <v>0</v>
      </c>
      <c r="E47" s="425"/>
      <c r="F47" s="425">
        <v>0</v>
      </c>
      <c r="G47" s="425"/>
      <c r="H47" s="425">
        <v>2455</v>
      </c>
      <c r="I47" s="425"/>
      <c r="J47" s="425">
        <f>SUM(B47:H47)</f>
        <v>69822</v>
      </c>
    </row>
    <row r="48" spans="1:12" hidden="1" x14ac:dyDescent="0.2">
      <c r="A48" s="231" t="s">
        <v>509</v>
      </c>
      <c r="B48" s="420"/>
      <c r="C48" s="420"/>
      <c r="D48" s="420"/>
      <c r="E48" s="420"/>
      <c r="F48" s="420"/>
      <c r="G48" s="420"/>
      <c r="H48" s="420"/>
      <c r="I48" s="420"/>
      <c r="J48" s="422"/>
    </row>
    <row r="49" spans="1:11" x14ac:dyDescent="0.2">
      <c r="A49" s="231" t="s">
        <v>843</v>
      </c>
      <c r="B49" s="421">
        <f>B46+B47</f>
        <v>631661</v>
      </c>
      <c r="C49" s="421"/>
      <c r="D49" s="420">
        <f>SUM(D46:D47)</f>
        <v>5453</v>
      </c>
      <c r="E49" s="420"/>
      <c r="F49" s="420">
        <f>SUM(F46:F47)</f>
        <v>0</v>
      </c>
      <c r="G49" s="420"/>
      <c r="H49" s="420">
        <f>SUM(H46:H47)</f>
        <v>22263</v>
      </c>
      <c r="I49" s="420"/>
      <c r="J49" s="420">
        <f>SUM(J46:J47)</f>
        <v>659377</v>
      </c>
    </row>
    <row r="50" spans="1:11" x14ac:dyDescent="0.2">
      <c r="A50" t="s">
        <v>454</v>
      </c>
      <c r="B50" s="422">
        <v>82</v>
      </c>
      <c r="C50" s="422"/>
      <c r="D50" s="422">
        <v>0</v>
      </c>
      <c r="E50" s="422"/>
      <c r="F50" s="422">
        <v>0</v>
      </c>
      <c r="G50" s="422"/>
      <c r="H50" s="422">
        <v>0</v>
      </c>
      <c r="I50" s="422"/>
      <c r="J50" s="422">
        <f>SUM(B50:H50)</f>
        <v>82</v>
      </c>
    </row>
    <row r="51" spans="1:11" ht="13.5" thickBot="1" x14ac:dyDescent="0.25">
      <c r="A51" t="s">
        <v>842</v>
      </c>
      <c r="B51" s="283">
        <f>B50+B49+B44</f>
        <v>500450.85000000009</v>
      </c>
      <c r="C51" s="443"/>
      <c r="D51" s="283">
        <f>D50+D49+D44</f>
        <v>5415</v>
      </c>
      <c r="E51" s="443"/>
      <c r="F51" s="283">
        <f>F50+F49+F44</f>
        <v>23400</v>
      </c>
      <c r="G51" s="443"/>
      <c r="H51" s="283">
        <f>H50+H49+H44</f>
        <v>29351</v>
      </c>
      <c r="I51" s="443"/>
      <c r="J51" s="283">
        <f>J50+J49+J44</f>
        <v>558616.85000000009</v>
      </c>
      <c r="K51" s="232"/>
    </row>
    <row r="52" spans="1:11" ht="13.5" thickTop="1" x14ac:dyDescent="0.2"/>
    <row r="53" spans="1:11" x14ac:dyDescent="0.2">
      <c r="J53" s="613" t="s">
        <v>471</v>
      </c>
    </row>
    <row r="54" spans="1:11" ht="12.75" customHeight="1" thickBot="1" x14ac:dyDescent="0.25"/>
    <row r="55" spans="1:11" ht="64.5" customHeight="1" thickBot="1" x14ac:dyDescent="0.25">
      <c r="A55" s="800" t="s">
        <v>886</v>
      </c>
      <c r="B55" s="801"/>
      <c r="C55" s="801"/>
      <c r="D55" s="801"/>
      <c r="E55" s="801"/>
      <c r="F55" s="801"/>
      <c r="G55" s="801"/>
      <c r="H55" s="801"/>
      <c r="I55" s="801"/>
      <c r="J55" s="802"/>
    </row>
    <row r="57" spans="1:11" ht="12.75" customHeight="1" x14ac:dyDescent="0.2"/>
    <row r="59" spans="1:11" x14ac:dyDescent="0.2">
      <c r="B59" s="232">
        <f>B51-'3-GASB34GovtFundsBS'!B52</f>
        <v>-0.14999999990686774</v>
      </c>
      <c r="C59" s="232"/>
      <c r="D59" s="232">
        <f>D51-'3-GASB34GovtFundsBS'!D52</f>
        <v>0</v>
      </c>
      <c r="E59" s="232"/>
      <c r="F59" s="232">
        <f>F51-'3-GASB34GovtFundsBS'!F52</f>
        <v>0</v>
      </c>
      <c r="G59" s="232"/>
      <c r="H59" s="232">
        <f>H51-'3-GASB34GovtFundsBS'!H52</f>
        <v>0</v>
      </c>
      <c r="I59" s="232"/>
      <c r="J59" s="232">
        <f>J51-'3-GASB34GovtFundsBS'!J52</f>
        <v>-0.14999999990686774</v>
      </c>
    </row>
  </sheetData>
  <mergeCells count="5">
    <mergeCell ref="A1:J1"/>
    <mergeCell ref="A2:J2"/>
    <mergeCell ref="A3:J3"/>
    <mergeCell ref="A4:J4"/>
    <mergeCell ref="A55:J55"/>
  </mergeCells>
  <printOptions horizontalCentered="1"/>
  <pageMargins left="0.7" right="0.7" top="0.75" bottom="0.75" header="0.3" footer="0.3"/>
  <pageSetup scale="89" orientation="portrait" r:id="rId1"/>
  <ignoredErrors>
    <ignoredError sqref="J43"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9"/>
  <sheetViews>
    <sheetView topLeftCell="A27" workbookViewId="0">
      <selection activeCell="D6" sqref="D6"/>
    </sheetView>
  </sheetViews>
  <sheetFormatPr defaultColWidth="9.140625" defaultRowHeight="12.75" x14ac:dyDescent="0.2"/>
  <cols>
    <col min="1" max="3" width="2.7109375" customWidth="1"/>
    <col min="4" max="4" width="47" customWidth="1"/>
    <col min="5" max="5" width="12.28515625" customWidth="1"/>
    <col min="6" max="6" width="11.28515625" bestFit="1" customWidth="1"/>
    <col min="7" max="7" width="9.85546875" bestFit="1" customWidth="1"/>
    <col min="8" max="8" width="12.28515625" customWidth="1"/>
    <col min="9" max="10" width="11.28515625" bestFit="1" customWidth="1"/>
  </cols>
  <sheetData>
    <row r="1" spans="1:11" x14ac:dyDescent="0.2">
      <c r="A1" s="777" t="s">
        <v>0</v>
      </c>
      <c r="B1" s="777"/>
      <c r="C1" s="777"/>
      <c r="D1" s="777"/>
      <c r="E1" s="777"/>
      <c r="F1" s="777"/>
    </row>
    <row r="2" spans="1:11" x14ac:dyDescent="0.2">
      <c r="A2" s="777" t="s">
        <v>25</v>
      </c>
      <c r="B2" s="777"/>
      <c r="C2" s="777"/>
      <c r="D2" s="777"/>
      <c r="E2" s="777"/>
      <c r="F2" s="777"/>
    </row>
    <row r="3" spans="1:11" x14ac:dyDescent="0.2">
      <c r="A3" s="777" t="s">
        <v>15</v>
      </c>
      <c r="B3" s="777"/>
      <c r="C3" s="777"/>
      <c r="D3" s="777"/>
      <c r="E3" s="777"/>
      <c r="F3" s="777"/>
    </row>
    <row r="4" spans="1:11" s="19" customFormat="1" x14ac:dyDescent="0.2">
      <c r="A4" s="778" t="s">
        <v>782</v>
      </c>
      <c r="B4" s="777"/>
      <c r="C4" s="777"/>
      <c r="D4" s="777"/>
      <c r="E4" s="777"/>
      <c r="F4" s="777"/>
    </row>
    <row r="5" spans="1:11" x14ac:dyDescent="0.2">
      <c r="F5" s="55" t="s">
        <v>24</v>
      </c>
    </row>
    <row r="7" spans="1:11" x14ac:dyDescent="0.2">
      <c r="A7" t="s">
        <v>457</v>
      </c>
    </row>
    <row r="8" spans="1:11" x14ac:dyDescent="0.2">
      <c r="B8" t="s">
        <v>458</v>
      </c>
    </row>
    <row r="9" spans="1:11" x14ac:dyDescent="0.2">
      <c r="C9" t="s">
        <v>462</v>
      </c>
      <c r="F9" s="59">
        <f>'4-GASB34GovtFundsIS'!J44</f>
        <v>-100842.14999999991</v>
      </c>
      <c r="K9" s="30"/>
    </row>
    <row r="10" spans="1:11" x14ac:dyDescent="0.2">
      <c r="C10" t="s">
        <v>495</v>
      </c>
      <c r="F10" s="30">
        <f>'4-GASB34GovtFundsIS'!J50</f>
        <v>82</v>
      </c>
    </row>
    <row r="11" spans="1:11" x14ac:dyDescent="0.2">
      <c r="F11" s="30"/>
    </row>
    <row r="12" spans="1:11" ht="76.5" x14ac:dyDescent="0.2">
      <c r="D12" s="606" t="s">
        <v>789</v>
      </c>
    </row>
    <row r="13" spans="1:11" x14ac:dyDescent="0.2">
      <c r="D13" s="33" t="s">
        <v>525</v>
      </c>
      <c r="E13" s="519">
        <f>1114939-19000</f>
        <v>1095939</v>
      </c>
      <c r="F13" s="31"/>
      <c r="I13" s="30"/>
    </row>
    <row r="14" spans="1:11" x14ac:dyDescent="0.2">
      <c r="D14" s="33" t="s">
        <v>521</v>
      </c>
      <c r="E14" s="30">
        <f>-236743+4766</f>
        <v>-231977</v>
      </c>
      <c r="F14" s="31"/>
    </row>
    <row r="15" spans="1:11" x14ac:dyDescent="0.2">
      <c r="D15" s="33" t="s">
        <v>522</v>
      </c>
      <c r="E15" s="98">
        <v>-268745</v>
      </c>
    </row>
    <row r="16" spans="1:11" x14ac:dyDescent="0.2">
      <c r="D16" s="33"/>
      <c r="E16" s="30"/>
      <c r="F16" s="31">
        <f>SUM(E13:E15)</f>
        <v>595217</v>
      </c>
    </row>
    <row r="17" spans="4:12" ht="25.5" x14ac:dyDescent="0.2">
      <c r="D17" s="251" t="s">
        <v>747</v>
      </c>
      <c r="E17" s="30">
        <f>34840+48781</f>
        <v>83621</v>
      </c>
      <c r="F17" s="31"/>
    </row>
    <row r="18" spans="4:12" x14ac:dyDescent="0.2">
      <c r="D18" s="33" t="s">
        <v>740</v>
      </c>
      <c r="E18" s="98">
        <f>-6610-6096-21535</f>
        <v>-34241</v>
      </c>
    </row>
    <row r="19" spans="4:12" x14ac:dyDescent="0.2">
      <c r="D19" s="33"/>
      <c r="E19" s="30"/>
      <c r="F19" s="31">
        <f>E17+E18</f>
        <v>49380</v>
      </c>
    </row>
    <row r="20" spans="4:12" ht="25.5" customHeight="1" x14ac:dyDescent="0.2">
      <c r="D20" s="241" t="s">
        <v>651</v>
      </c>
      <c r="E20" s="30"/>
      <c r="F20" s="31">
        <v>91915</v>
      </c>
      <c r="L20" s="405"/>
    </row>
    <row r="21" spans="4:12" ht="38.25" customHeight="1" x14ac:dyDescent="0.2">
      <c r="D21" s="241" t="s">
        <v>672</v>
      </c>
      <c r="E21" s="30"/>
      <c r="F21" s="31">
        <v>17024</v>
      </c>
      <c r="L21" s="405"/>
    </row>
    <row r="22" spans="4:12" ht="40.5" customHeight="1" x14ac:dyDescent="0.2">
      <c r="D22" s="241" t="s">
        <v>710</v>
      </c>
      <c r="E22" s="30"/>
      <c r="F22" s="31">
        <f>(45000+50)*0.593</f>
        <v>26714.649999999998</v>
      </c>
      <c r="L22" s="405"/>
    </row>
    <row r="23" spans="4:12" ht="38.25" x14ac:dyDescent="0.2">
      <c r="D23" s="231" t="s">
        <v>463</v>
      </c>
      <c r="F23" s="31"/>
    </row>
    <row r="24" spans="4:12" x14ac:dyDescent="0.2">
      <c r="D24" s="231" t="s">
        <v>472</v>
      </c>
      <c r="E24" s="31">
        <v>12000</v>
      </c>
      <c r="F24" s="31"/>
    </row>
    <row r="25" spans="4:12" x14ac:dyDescent="0.2">
      <c r="D25" s="230" t="s">
        <v>621</v>
      </c>
      <c r="E25" s="5">
        <f>-2320-103+1105</f>
        <v>-1318</v>
      </c>
    </row>
    <row r="26" spans="4:12" x14ac:dyDescent="0.2">
      <c r="D26" s="230"/>
      <c r="E26" s="31"/>
      <c r="F26" s="31">
        <f>SUM(E24:E25)</f>
        <v>10682</v>
      </c>
    </row>
    <row r="27" spans="4:12" ht="90" customHeight="1" x14ac:dyDescent="0.2">
      <c r="D27" s="230" t="s">
        <v>618</v>
      </c>
    </row>
    <row r="28" spans="4:12" x14ac:dyDescent="0.2">
      <c r="D28" s="231" t="s">
        <v>534</v>
      </c>
      <c r="E28" s="510">
        <f>-234840-48781</f>
        <v>-283621</v>
      </c>
      <c r="F28" s="31"/>
    </row>
    <row r="29" spans="4:12" x14ac:dyDescent="0.2">
      <c r="D29" s="231" t="s">
        <v>535</v>
      </c>
      <c r="E29" s="510">
        <v>43823</v>
      </c>
      <c r="F29" s="31"/>
    </row>
    <row r="30" spans="4:12" x14ac:dyDescent="0.2">
      <c r="D30" s="231" t="s">
        <v>536</v>
      </c>
      <c r="E30" s="512">
        <f>-778-309</f>
        <v>-1087</v>
      </c>
    </row>
    <row r="31" spans="4:12" x14ac:dyDescent="0.2">
      <c r="D31" s="231"/>
      <c r="E31" s="511"/>
      <c r="F31" s="31">
        <f>SUM(E28:E30)</f>
        <v>-240885</v>
      </c>
    </row>
    <row r="32" spans="4:12" ht="51" customHeight="1" x14ac:dyDescent="0.2">
      <c r="D32" s="231" t="s">
        <v>459</v>
      </c>
      <c r="F32" s="31"/>
    </row>
    <row r="33" spans="1:10" x14ac:dyDescent="0.2">
      <c r="D33" s="520" t="s">
        <v>47</v>
      </c>
      <c r="E33" s="31">
        <f>-46763+442</f>
        <v>-46321</v>
      </c>
      <c r="F33" s="31"/>
    </row>
    <row r="34" spans="1:10" x14ac:dyDescent="0.2">
      <c r="D34" s="520" t="s">
        <v>643</v>
      </c>
      <c r="E34" s="31">
        <f>-113147-16039+17024</f>
        <v>-112162</v>
      </c>
      <c r="F34" s="31"/>
      <c r="I34" s="31"/>
    </row>
    <row r="35" spans="1:10" x14ac:dyDescent="0.2">
      <c r="D35" s="520" t="s">
        <v>699</v>
      </c>
      <c r="E35" s="5">
        <f>-0.593*83840</f>
        <v>-49717.119999999995</v>
      </c>
      <c r="I35" s="31"/>
    </row>
    <row r="36" spans="1:10" x14ac:dyDescent="0.2">
      <c r="D36" s="231"/>
      <c r="F36" s="31">
        <f>SUM(E33:E35)</f>
        <v>-208200.12</v>
      </c>
    </row>
    <row r="37" spans="1:10" ht="27" customHeight="1" x14ac:dyDescent="0.2">
      <c r="D37" s="230" t="s">
        <v>576</v>
      </c>
      <c r="E37" s="31"/>
      <c r="F37" s="31"/>
    </row>
    <row r="38" spans="1:10" x14ac:dyDescent="0.2">
      <c r="D38" s="287" t="s">
        <v>577</v>
      </c>
      <c r="E38" s="30">
        <f>'7-Rev, Exp-Prop'!H41</f>
        <v>-704.11639999999898</v>
      </c>
      <c r="F38" s="31"/>
    </row>
    <row r="39" spans="1:10" x14ac:dyDescent="0.2">
      <c r="D39" s="287" t="s">
        <v>578</v>
      </c>
      <c r="E39" s="98">
        <v>-300</v>
      </c>
      <c r="H39" s="401"/>
    </row>
    <row r="40" spans="1:10" x14ac:dyDescent="0.2">
      <c r="F40" s="5">
        <f>SUM(E37:E39)</f>
        <v>-1004.116399999999</v>
      </c>
    </row>
    <row r="41" spans="1:10" s="293" customFormat="1" ht="13.5" thickBot="1" x14ac:dyDescent="0.25">
      <c r="D41" s="19" t="s">
        <v>598</v>
      </c>
      <c r="E41" s="19"/>
      <c r="F41" s="304">
        <f>SUM(F9:F40)+1</f>
        <v>240084.26360000012</v>
      </c>
      <c r="G41" s="418"/>
      <c r="H41" s="566">
        <f>F41-'2-GWStmtAct'!J41</f>
        <v>0.26360000012209639</v>
      </c>
      <c r="I41" s="448"/>
      <c r="J41" s="448"/>
    </row>
    <row r="42" spans="1:10" ht="14.25" thickTop="1" thickBot="1" x14ac:dyDescent="0.25">
      <c r="F42" s="31"/>
      <c r="G42" s="59"/>
      <c r="H42" s="59"/>
      <c r="I42" s="59"/>
    </row>
    <row r="43" spans="1:10" ht="50.25" customHeight="1" thickBot="1" x14ac:dyDescent="0.25">
      <c r="A43" s="803" t="s">
        <v>654</v>
      </c>
      <c r="B43" s="804"/>
      <c r="C43" s="804"/>
      <c r="D43" s="804"/>
      <c r="E43" s="804"/>
      <c r="F43" s="805"/>
    </row>
    <row r="45" spans="1:10" x14ac:dyDescent="0.2">
      <c r="A45" t="s">
        <v>8</v>
      </c>
    </row>
    <row r="49" spans="6:6" x14ac:dyDescent="0.2">
      <c r="F49" s="59"/>
    </row>
  </sheetData>
  <mergeCells count="5">
    <mergeCell ref="A1:F1"/>
    <mergeCell ref="A2:F2"/>
    <mergeCell ref="A3:F3"/>
    <mergeCell ref="A4:F4"/>
    <mergeCell ref="A43:F43"/>
  </mergeCells>
  <printOptions horizontalCentered="1"/>
  <pageMargins left="0.45" right="0.45" top="0.5" bottom="0.5" header="0.3" footer="0.3"/>
  <pageSetup scale="81" fitToWidth="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U61"/>
  <sheetViews>
    <sheetView topLeftCell="A29" workbookViewId="0">
      <selection activeCell="J55" sqref="J55:Q60"/>
    </sheetView>
  </sheetViews>
  <sheetFormatPr defaultColWidth="9.140625" defaultRowHeight="12.75" x14ac:dyDescent="0.2"/>
  <cols>
    <col min="1" max="2" width="1.5703125" customWidth="1"/>
    <col min="3" max="3" width="28.140625" customWidth="1"/>
    <col min="4" max="4" width="10.5703125" customWidth="1"/>
    <col min="5" max="5" width="1.28515625" customWidth="1"/>
    <col min="6" max="6" width="10.5703125" customWidth="1"/>
    <col min="7" max="7" width="1.28515625" customWidth="1"/>
    <col min="8" max="8" width="10.5703125" customWidth="1"/>
    <col min="9" max="9" width="1.28515625" customWidth="1"/>
    <col min="10" max="10" width="10.140625" customWidth="1"/>
    <col min="11" max="11" width="1.28515625" customWidth="1"/>
    <col min="12" max="12" width="10.140625" customWidth="1"/>
    <col min="13" max="13" width="1.28515625" customWidth="1"/>
    <col min="14" max="14" width="10.140625" customWidth="1"/>
    <col min="15" max="15" width="1.28515625" customWidth="1"/>
    <col min="16" max="16" width="10.140625" customWidth="1"/>
    <col min="17" max="17" width="1.28515625" customWidth="1"/>
    <col min="18" max="18" width="10.140625" customWidth="1"/>
    <col min="19" max="19" width="13" customWidth="1"/>
    <col min="21" max="21" width="12.140625" bestFit="1" customWidth="1"/>
  </cols>
  <sheetData>
    <row r="1" spans="1:18" x14ac:dyDescent="0.2">
      <c r="A1" s="46"/>
      <c r="C1" s="806" t="s">
        <v>0</v>
      </c>
      <c r="D1" s="806"/>
      <c r="E1" s="806"/>
      <c r="F1" s="806"/>
      <c r="G1" s="806"/>
      <c r="H1" s="806"/>
      <c r="I1" s="806"/>
      <c r="J1" s="806"/>
      <c r="K1" s="806"/>
      <c r="L1" s="806"/>
      <c r="M1" s="806"/>
      <c r="N1" s="806"/>
      <c r="O1" s="806"/>
      <c r="P1" s="806"/>
      <c r="Q1" s="806"/>
      <c r="R1" s="806"/>
    </row>
    <row r="2" spans="1:18" x14ac:dyDescent="0.2">
      <c r="A2" s="46"/>
      <c r="C2" s="806" t="s">
        <v>474</v>
      </c>
      <c r="D2" s="806"/>
      <c r="E2" s="806"/>
      <c r="F2" s="806"/>
      <c r="G2" s="806"/>
      <c r="H2" s="806"/>
      <c r="I2" s="806"/>
      <c r="J2" s="806"/>
      <c r="K2" s="806"/>
      <c r="L2" s="806"/>
      <c r="M2" s="806"/>
      <c r="N2" s="806"/>
      <c r="O2" s="806"/>
      <c r="P2" s="806"/>
      <c r="Q2" s="806"/>
      <c r="R2" s="806"/>
    </row>
    <row r="3" spans="1:18" x14ac:dyDescent="0.2">
      <c r="A3" s="46"/>
      <c r="C3" s="806" t="s">
        <v>122</v>
      </c>
      <c r="D3" s="806"/>
      <c r="E3" s="806"/>
      <c r="F3" s="806"/>
      <c r="G3" s="806"/>
      <c r="H3" s="806"/>
      <c r="I3" s="806"/>
      <c r="J3" s="806"/>
      <c r="K3" s="806"/>
      <c r="L3" s="806"/>
      <c r="M3" s="806"/>
      <c r="N3" s="806"/>
      <c r="O3" s="806"/>
      <c r="P3" s="806"/>
      <c r="Q3" s="806"/>
      <c r="R3" s="806"/>
    </row>
    <row r="4" spans="1:18" s="19" customFormat="1" x14ac:dyDescent="0.2">
      <c r="A4" s="46"/>
      <c r="C4" s="806" t="s">
        <v>783</v>
      </c>
      <c r="D4" s="806"/>
      <c r="E4" s="806"/>
      <c r="F4" s="806"/>
      <c r="G4" s="806"/>
      <c r="H4" s="806"/>
      <c r="I4" s="806"/>
      <c r="J4" s="806"/>
      <c r="K4" s="806"/>
      <c r="L4" s="806"/>
      <c r="M4" s="806"/>
      <c r="N4" s="806"/>
      <c r="O4" s="806"/>
      <c r="P4" s="806"/>
      <c r="Q4" s="806"/>
      <c r="R4" s="806"/>
    </row>
    <row r="5" spans="1:18" s="19" customFormat="1" x14ac:dyDescent="0.2">
      <c r="A5" s="46"/>
      <c r="C5" s="591"/>
      <c r="D5" s="591"/>
      <c r="E5" s="591"/>
      <c r="F5" s="591"/>
      <c r="G5" s="591"/>
      <c r="H5" s="591"/>
      <c r="I5" s="591"/>
      <c r="J5" s="591"/>
      <c r="K5" s="591"/>
      <c r="L5" s="591"/>
      <c r="M5" s="591"/>
      <c r="N5" s="591"/>
      <c r="O5" s="591"/>
      <c r="P5" s="591"/>
      <c r="Q5" s="591"/>
      <c r="R5" s="45" t="s">
        <v>135</v>
      </c>
    </row>
    <row r="6" spans="1:18" ht="13.5" thickBot="1" x14ac:dyDescent="0.25">
      <c r="A6" s="623"/>
      <c r="B6" s="623"/>
      <c r="C6" s="623"/>
      <c r="D6" s="623"/>
      <c r="E6" s="623"/>
      <c r="F6" s="623"/>
      <c r="G6" s="623"/>
      <c r="H6" s="623"/>
      <c r="I6" s="623"/>
      <c r="J6" s="623"/>
      <c r="K6" s="623"/>
      <c r="L6" s="623"/>
      <c r="M6" s="623"/>
      <c r="N6" s="623"/>
      <c r="O6" s="623"/>
      <c r="P6" s="623"/>
      <c r="Q6" s="623"/>
      <c r="R6" s="623"/>
    </row>
    <row r="7" spans="1:18" x14ac:dyDescent="0.2">
      <c r="A7" s="2"/>
      <c r="B7" s="2"/>
      <c r="C7" s="2"/>
      <c r="D7" s="48" t="s">
        <v>26</v>
      </c>
      <c r="E7" s="48"/>
      <c r="F7" s="49"/>
      <c r="G7" s="49"/>
      <c r="H7" s="49"/>
      <c r="I7" s="49"/>
      <c r="J7" s="49"/>
      <c r="K7" s="46"/>
      <c r="L7" s="47" t="s">
        <v>126</v>
      </c>
      <c r="M7" s="48"/>
      <c r="N7" s="49"/>
      <c r="O7" s="49"/>
      <c r="P7" s="49"/>
      <c r="Q7" s="49"/>
      <c r="R7" s="46"/>
    </row>
    <row r="8" spans="1:18" ht="36" x14ac:dyDescent="0.2">
      <c r="A8" s="2"/>
      <c r="B8" s="2"/>
      <c r="C8" s="2"/>
      <c r="D8" s="50" t="s">
        <v>123</v>
      </c>
      <c r="E8" s="614"/>
      <c r="F8" s="617" t="s">
        <v>124</v>
      </c>
      <c r="G8" s="614"/>
      <c r="H8" s="617" t="s">
        <v>125</v>
      </c>
      <c r="I8" s="614"/>
      <c r="J8" s="751" t="s">
        <v>868</v>
      </c>
      <c r="K8" s="614"/>
      <c r="L8" s="50" t="s">
        <v>123</v>
      </c>
      <c r="M8" s="614"/>
      <c r="N8" s="617" t="s">
        <v>124</v>
      </c>
      <c r="O8" s="614"/>
      <c r="P8" s="617" t="s">
        <v>125</v>
      </c>
      <c r="Q8" s="614"/>
      <c r="R8" s="751" t="s">
        <v>868</v>
      </c>
    </row>
    <row r="9" spans="1:18" x14ac:dyDescent="0.2">
      <c r="A9" s="3" t="s">
        <v>127</v>
      </c>
      <c r="B9" s="2"/>
      <c r="C9" s="2"/>
      <c r="D9" s="2"/>
      <c r="E9" s="2"/>
      <c r="F9" s="2"/>
      <c r="G9" s="2"/>
      <c r="H9" s="2"/>
      <c r="I9" s="2"/>
      <c r="J9" s="2"/>
      <c r="K9" s="2"/>
      <c r="L9" s="2"/>
      <c r="M9" s="2"/>
      <c r="N9" s="2"/>
      <c r="O9" s="2"/>
      <c r="P9" s="2"/>
      <c r="Q9" s="2"/>
      <c r="R9" s="2"/>
    </row>
    <row r="10" spans="1:18" x14ac:dyDescent="0.2">
      <c r="A10" s="2"/>
      <c r="B10" s="3" t="s">
        <v>66</v>
      </c>
      <c r="C10" s="3"/>
      <c r="D10" s="99">
        <v>970385</v>
      </c>
      <c r="E10" s="270"/>
      <c r="F10" s="99">
        <v>970385</v>
      </c>
      <c r="G10" s="270"/>
      <c r="H10" s="99">
        <v>969504</v>
      </c>
      <c r="I10" s="270"/>
      <c r="J10" s="99">
        <f>+H10-F10</f>
        <v>-881</v>
      </c>
      <c r="K10" s="270"/>
      <c r="L10" s="99">
        <v>0</v>
      </c>
      <c r="M10" s="270"/>
      <c r="N10" s="99">
        <v>0</v>
      </c>
      <c r="O10" s="270"/>
      <c r="P10" s="99">
        <v>0</v>
      </c>
      <c r="Q10" s="270"/>
      <c r="R10" s="99">
        <f>+P10-N10</f>
        <v>0</v>
      </c>
    </row>
    <row r="11" spans="1:18" x14ac:dyDescent="0.2">
      <c r="A11" s="2"/>
      <c r="B11" s="3" t="s">
        <v>67</v>
      </c>
      <c r="C11" s="3"/>
      <c r="D11" s="51">
        <f>52000+2000-29000</f>
        <v>25000</v>
      </c>
      <c r="E11" s="42"/>
      <c r="F11" s="51">
        <f>50000+2000-29000</f>
        <v>23000</v>
      </c>
      <c r="G11" s="42"/>
      <c r="H11" s="51">
        <f>50804+2510-29187</f>
        <v>24127</v>
      </c>
      <c r="I11" s="42"/>
      <c r="J11" s="51">
        <f t="shared" ref="J11:J17" si="0">+H11-F11</f>
        <v>1127</v>
      </c>
      <c r="K11" s="42"/>
      <c r="L11" s="51">
        <v>0</v>
      </c>
      <c r="M11" s="42"/>
      <c r="N11" s="51">
        <v>0</v>
      </c>
      <c r="O11" s="42"/>
      <c r="P11" s="51">
        <v>0</v>
      </c>
      <c r="Q11" s="42"/>
      <c r="R11" s="51">
        <f t="shared" ref="R11:R17" si="1">+P11-N11</f>
        <v>0</v>
      </c>
    </row>
    <row r="12" spans="1:18" x14ac:dyDescent="0.2">
      <c r="A12" s="2"/>
      <c r="B12" s="3" t="s">
        <v>68</v>
      </c>
      <c r="C12" s="3"/>
      <c r="D12" s="51">
        <f>424220+245400+216639</f>
        <v>886259</v>
      </c>
      <c r="E12" s="42"/>
      <c r="F12" s="51">
        <f>636920+14500+216639+0.593*(120000+23000)</f>
        <v>952858</v>
      </c>
      <c r="G12" s="42"/>
      <c r="H12" s="51">
        <f>702269+216639</f>
        <v>918908</v>
      </c>
      <c r="I12" s="42"/>
      <c r="J12" s="51">
        <f t="shared" si="0"/>
        <v>-33950</v>
      </c>
      <c r="K12" s="42"/>
      <c r="L12" s="51">
        <v>0</v>
      </c>
      <c r="M12" s="42"/>
      <c r="N12" s="51">
        <v>0</v>
      </c>
      <c r="O12" s="42"/>
      <c r="P12" s="51">
        <v>0</v>
      </c>
      <c r="Q12" s="42"/>
      <c r="R12" s="51">
        <f t="shared" si="1"/>
        <v>0</v>
      </c>
    </row>
    <row r="13" spans="1:18" x14ac:dyDescent="0.2">
      <c r="A13" s="2"/>
      <c r="B13" s="3" t="s">
        <v>69</v>
      </c>
      <c r="C13" s="3"/>
      <c r="D13" s="51">
        <f>185250-5000+100000</f>
        <v>280250</v>
      </c>
      <c r="E13" s="42"/>
      <c r="F13" s="51">
        <f>180380-5000+100000-50000</f>
        <v>225380</v>
      </c>
      <c r="G13" s="42"/>
      <c r="H13" s="51">
        <f>166334+100000</f>
        <v>266334</v>
      </c>
      <c r="I13" s="42"/>
      <c r="J13" s="51">
        <f t="shared" si="0"/>
        <v>40954</v>
      </c>
      <c r="K13" s="42"/>
      <c r="L13" s="51">
        <v>762000</v>
      </c>
      <c r="M13" s="42"/>
      <c r="N13" s="51">
        <v>790000</v>
      </c>
      <c r="O13" s="42"/>
      <c r="P13" s="51">
        <v>785000</v>
      </c>
      <c r="Q13" s="42"/>
      <c r="R13" s="51">
        <f t="shared" si="1"/>
        <v>-5000</v>
      </c>
    </row>
    <row r="14" spans="1:18" x14ac:dyDescent="0.2">
      <c r="A14" s="2"/>
      <c r="B14" s="3" t="s">
        <v>70</v>
      </c>
      <c r="C14" s="3"/>
      <c r="D14" s="51">
        <f>11200+29000</f>
        <v>40200</v>
      </c>
      <c r="E14" s="42"/>
      <c r="F14" s="51">
        <f>13000+29000</f>
        <v>42000</v>
      </c>
      <c r="G14" s="42"/>
      <c r="H14" s="51">
        <f>13160+29187</f>
        <v>42347</v>
      </c>
      <c r="I14" s="42"/>
      <c r="J14" s="51">
        <f t="shared" si="0"/>
        <v>347</v>
      </c>
      <c r="K14" s="42"/>
      <c r="L14" s="51">
        <v>0</v>
      </c>
      <c r="M14" s="42"/>
      <c r="N14" s="51">
        <v>0</v>
      </c>
      <c r="O14" s="42"/>
      <c r="P14" s="51">
        <v>0</v>
      </c>
      <c r="Q14" s="42"/>
      <c r="R14" s="51">
        <f t="shared" si="1"/>
        <v>0</v>
      </c>
    </row>
    <row r="15" spans="1:18" x14ac:dyDescent="0.2">
      <c r="A15" s="2"/>
      <c r="B15" s="3" t="s">
        <v>71</v>
      </c>
      <c r="C15" s="3"/>
      <c r="D15" s="51">
        <v>20000</v>
      </c>
      <c r="E15" s="42"/>
      <c r="F15" s="51">
        <v>21820</v>
      </c>
      <c r="G15" s="42"/>
      <c r="H15" s="51">
        <v>25147</v>
      </c>
      <c r="I15" s="42"/>
      <c r="J15" s="51">
        <f t="shared" si="0"/>
        <v>3327</v>
      </c>
      <c r="K15" s="42"/>
      <c r="L15" s="51">
        <v>0</v>
      </c>
      <c r="M15" s="42"/>
      <c r="N15" s="51">
        <v>0</v>
      </c>
      <c r="O15" s="42"/>
      <c r="P15" s="51">
        <v>0</v>
      </c>
      <c r="Q15" s="42"/>
      <c r="R15" s="51">
        <f t="shared" si="1"/>
        <v>0</v>
      </c>
    </row>
    <row r="16" spans="1:18" x14ac:dyDescent="0.2">
      <c r="A16" s="2"/>
      <c r="B16" s="3" t="s">
        <v>29</v>
      </c>
      <c r="C16" s="3"/>
      <c r="D16" s="51">
        <v>19000</v>
      </c>
      <c r="E16" s="42"/>
      <c r="F16" s="51">
        <v>18080</v>
      </c>
      <c r="G16" s="42"/>
      <c r="H16" s="51">
        <f>23956-152</f>
        <v>23804</v>
      </c>
      <c r="I16" s="42"/>
      <c r="J16" s="51">
        <f t="shared" si="0"/>
        <v>5724</v>
      </c>
      <c r="K16" s="42"/>
      <c r="L16" s="51">
        <v>0</v>
      </c>
      <c r="M16" s="42"/>
      <c r="N16" s="51">
        <v>0</v>
      </c>
      <c r="O16" s="42"/>
      <c r="P16" s="51">
        <v>0</v>
      </c>
      <c r="Q16" s="42"/>
      <c r="R16" s="51">
        <f t="shared" si="1"/>
        <v>0</v>
      </c>
    </row>
    <row r="17" spans="1:21" x14ac:dyDescent="0.2">
      <c r="A17" s="2"/>
      <c r="B17" s="3" t="s">
        <v>13</v>
      </c>
      <c r="C17" s="3"/>
      <c r="D17" s="37">
        <v>0</v>
      </c>
      <c r="E17" s="515"/>
      <c r="F17" s="37">
        <v>2000</v>
      </c>
      <c r="G17" s="515"/>
      <c r="H17" s="38">
        <v>581</v>
      </c>
      <c r="I17" s="42"/>
      <c r="J17" s="39">
        <f t="shared" si="0"/>
        <v>-1419</v>
      </c>
      <c r="K17" s="42"/>
      <c r="L17" s="37">
        <v>0</v>
      </c>
      <c r="M17" s="515"/>
      <c r="N17" s="37">
        <v>0</v>
      </c>
      <c r="O17" s="515"/>
      <c r="P17" s="38">
        <v>0</v>
      </c>
      <c r="Q17" s="42"/>
      <c r="R17" s="39">
        <f t="shared" si="1"/>
        <v>0</v>
      </c>
    </row>
    <row r="18" spans="1:21" x14ac:dyDescent="0.2">
      <c r="A18" s="2"/>
      <c r="B18" s="2"/>
      <c r="C18" s="3" t="s">
        <v>30</v>
      </c>
      <c r="D18" s="38">
        <f>SUM(D10:D17)</f>
        <v>2241094</v>
      </c>
      <c r="E18" s="42"/>
      <c r="F18" s="38">
        <f>SUM(F10:F17)</f>
        <v>2255523</v>
      </c>
      <c r="G18" s="42"/>
      <c r="H18" s="38">
        <f>SUM(H10:H17)</f>
        <v>2270752</v>
      </c>
      <c r="I18" s="42"/>
      <c r="J18" s="38">
        <f>SUM(J10:J17)</f>
        <v>15229</v>
      </c>
      <c r="K18" s="42"/>
      <c r="L18" s="38">
        <f>SUM(L10:L17)</f>
        <v>762000</v>
      </c>
      <c r="M18" s="42"/>
      <c r="N18" s="38">
        <f>SUM(N10:N17)</f>
        <v>790000</v>
      </c>
      <c r="O18" s="42"/>
      <c r="P18" s="38">
        <f>SUM(P10:P17)</f>
        <v>785000</v>
      </c>
      <c r="Q18" s="42"/>
      <c r="R18" s="38">
        <f>SUM(R10:R17)</f>
        <v>-5000</v>
      </c>
    </row>
    <row r="19" spans="1:21" x14ac:dyDescent="0.2">
      <c r="A19" s="2"/>
      <c r="B19" s="2"/>
      <c r="C19" s="2"/>
      <c r="D19" s="51"/>
      <c r="E19" s="42"/>
      <c r="F19" s="51"/>
      <c r="G19" s="42"/>
      <c r="H19" s="51"/>
      <c r="I19" s="42"/>
      <c r="J19" s="51"/>
      <c r="K19" s="42"/>
      <c r="L19" s="51"/>
      <c r="M19" s="42"/>
      <c r="N19" s="51"/>
      <c r="O19" s="42"/>
      <c r="P19" s="51"/>
      <c r="Q19" s="42"/>
      <c r="R19" s="51"/>
    </row>
    <row r="20" spans="1:21" x14ac:dyDescent="0.2">
      <c r="A20" s="3" t="s">
        <v>128</v>
      </c>
      <c r="B20" s="2"/>
      <c r="C20" s="2"/>
      <c r="D20" s="51"/>
      <c r="E20" s="42"/>
      <c r="F20" s="51"/>
      <c r="G20" s="42"/>
      <c r="H20" s="51"/>
      <c r="I20" s="42"/>
      <c r="J20" s="51"/>
      <c r="K20" s="51"/>
      <c r="L20" s="51"/>
      <c r="M20" s="42"/>
      <c r="N20" s="51"/>
      <c r="O20" s="42"/>
      <c r="P20" s="51"/>
      <c r="Q20" s="42"/>
      <c r="R20" s="51"/>
    </row>
    <row r="21" spans="1:21" x14ac:dyDescent="0.2">
      <c r="A21" s="2"/>
      <c r="B21" s="3" t="s">
        <v>32</v>
      </c>
      <c r="C21" s="3"/>
      <c r="D21" s="51"/>
      <c r="E21" s="42"/>
      <c r="F21" s="51"/>
      <c r="G21" s="42"/>
      <c r="H21" s="51"/>
      <c r="I21" s="42"/>
      <c r="J21" s="51"/>
      <c r="K21" s="51"/>
      <c r="L21" s="51"/>
      <c r="M21" s="42"/>
      <c r="N21" s="51"/>
      <c r="O21" s="42"/>
      <c r="P21" s="51"/>
      <c r="Q21" s="42"/>
      <c r="R21" s="51"/>
    </row>
    <row r="22" spans="1:21" x14ac:dyDescent="0.2">
      <c r="A22" s="2"/>
      <c r="B22" s="2"/>
      <c r="C22" s="3" t="s">
        <v>10</v>
      </c>
      <c r="D22" s="51">
        <f>169452+216639+50000+137262</f>
        <v>573353</v>
      </c>
      <c r="E22" s="42"/>
      <c r="F22" s="51">
        <v>1051238</v>
      </c>
      <c r="G22" s="42"/>
      <c r="H22" s="51">
        <f>'4-GASB34GovtFundsIS'!B22</f>
        <v>1055084.1499999999</v>
      </c>
      <c r="I22" s="42"/>
      <c r="J22" s="51">
        <f>+F22-H22</f>
        <v>-3846.1499999999069</v>
      </c>
      <c r="K22" s="51"/>
      <c r="L22" s="51">
        <v>0</v>
      </c>
      <c r="M22" s="42"/>
      <c r="N22" s="51">
        <v>0</v>
      </c>
      <c r="O22" s="42"/>
      <c r="P22" s="51">
        <v>0</v>
      </c>
      <c r="Q22" s="42"/>
      <c r="R22" s="51">
        <f>+N22-P22</f>
        <v>0</v>
      </c>
    </row>
    <row r="23" spans="1:21" x14ac:dyDescent="0.2">
      <c r="A23" s="2"/>
      <c r="B23" s="2"/>
      <c r="C23" s="3" t="s">
        <v>11</v>
      </c>
      <c r="D23" s="51">
        <f>531256+50000</f>
        <v>581256</v>
      </c>
      <c r="E23" s="42"/>
      <c r="F23" s="51">
        <f>533988+50000</f>
        <v>583988</v>
      </c>
      <c r="G23" s="42"/>
      <c r="H23" s="51">
        <f>'4-GASB34GovtFundsIS'!B23</f>
        <v>672174</v>
      </c>
      <c r="I23" s="42"/>
      <c r="J23" s="51">
        <f>+F23-H23</f>
        <v>-88186</v>
      </c>
      <c r="K23" s="51"/>
      <c r="L23" s="51">
        <v>762000</v>
      </c>
      <c r="M23" s="42"/>
      <c r="N23" s="51">
        <v>790000</v>
      </c>
      <c r="O23" s="42"/>
      <c r="P23" s="51">
        <v>785038</v>
      </c>
      <c r="Q23" s="42"/>
      <c r="R23" s="51">
        <f>+N23-P23</f>
        <v>4962</v>
      </c>
    </row>
    <row r="24" spans="1:21" x14ac:dyDescent="0.2">
      <c r="A24" s="2"/>
      <c r="B24" s="2"/>
      <c r="C24" s="3" t="s">
        <v>72</v>
      </c>
      <c r="D24" s="51">
        <f>397000</f>
        <v>397000</v>
      </c>
      <c r="E24" s="42"/>
      <c r="F24" s="51">
        <f>393101</f>
        <v>393101</v>
      </c>
      <c r="G24" s="42"/>
      <c r="H24" s="51">
        <f>'4-GASB34GovtFundsIS'!B24</f>
        <v>392840</v>
      </c>
      <c r="I24" s="42"/>
      <c r="J24" s="51">
        <f t="shared" ref="J24:J30" si="2">+F24-H24</f>
        <v>261</v>
      </c>
      <c r="K24" s="51"/>
      <c r="L24" s="51">
        <v>0</v>
      </c>
      <c r="M24" s="42"/>
      <c r="N24" s="51">
        <v>0</v>
      </c>
      <c r="O24" s="42"/>
      <c r="P24" s="51">
        <v>0</v>
      </c>
      <c r="Q24" s="42"/>
      <c r="R24" s="51">
        <f t="shared" ref="R24:R30" si="3">+N24-P24</f>
        <v>0</v>
      </c>
    </row>
    <row r="25" spans="1:21" x14ac:dyDescent="0.2">
      <c r="A25" s="2"/>
      <c r="B25" s="2"/>
      <c r="C25" s="3" t="s">
        <v>73</v>
      </c>
      <c r="D25" s="51">
        <v>265000</v>
      </c>
      <c r="E25" s="42"/>
      <c r="F25" s="51">
        <v>259600</v>
      </c>
      <c r="G25" s="42"/>
      <c r="H25" s="51">
        <f>'4-GASB34GovtFundsIS'!B26</f>
        <v>257918</v>
      </c>
      <c r="I25" s="42"/>
      <c r="J25" s="51">
        <f t="shared" si="2"/>
        <v>1682</v>
      </c>
      <c r="K25" s="51"/>
      <c r="L25" s="51">
        <v>0</v>
      </c>
      <c r="M25" s="42"/>
      <c r="N25" s="51">
        <v>0</v>
      </c>
      <c r="O25" s="42"/>
      <c r="P25" s="51">
        <v>0</v>
      </c>
      <c r="Q25" s="42"/>
      <c r="R25" s="51">
        <f t="shared" si="3"/>
        <v>0</v>
      </c>
    </row>
    <row r="26" spans="1:21" x14ac:dyDescent="0.2">
      <c r="A26" s="2"/>
      <c r="B26" s="2"/>
      <c r="C26" s="3" t="s">
        <v>12</v>
      </c>
      <c r="D26" s="51">
        <v>140000</v>
      </c>
      <c r="E26" s="42"/>
      <c r="F26" s="51">
        <v>91309</v>
      </c>
      <c r="G26" s="42"/>
      <c r="H26" s="51">
        <f>'4-GASB34GovtFundsIS'!B27</f>
        <v>91260</v>
      </c>
      <c r="I26" s="42"/>
      <c r="J26" s="51">
        <f t="shared" si="2"/>
        <v>49</v>
      </c>
      <c r="K26" s="51"/>
      <c r="L26" s="51">
        <v>0</v>
      </c>
      <c r="M26" s="42"/>
      <c r="N26" s="51">
        <v>0</v>
      </c>
      <c r="O26" s="42"/>
      <c r="P26" s="51">
        <v>0</v>
      </c>
      <c r="Q26" s="42"/>
      <c r="R26" s="51">
        <f t="shared" si="3"/>
        <v>0</v>
      </c>
    </row>
    <row r="27" spans="1:21" x14ac:dyDescent="0.2">
      <c r="A27" s="2"/>
      <c r="B27" s="3" t="s">
        <v>33</v>
      </c>
      <c r="C27" s="3"/>
      <c r="D27" s="51"/>
      <c r="E27" s="42"/>
      <c r="F27" s="51"/>
      <c r="G27" s="42"/>
      <c r="H27" s="51"/>
      <c r="I27" s="42"/>
      <c r="J27" s="51"/>
      <c r="K27" s="51"/>
      <c r="L27" s="51"/>
      <c r="M27" s="42"/>
      <c r="N27" s="51"/>
      <c r="O27" s="42"/>
      <c r="P27" s="51"/>
      <c r="Q27" s="42"/>
      <c r="R27" s="51"/>
    </row>
    <row r="28" spans="1:21" x14ac:dyDescent="0.2">
      <c r="A28" s="2"/>
      <c r="B28" s="2"/>
      <c r="C28" s="3" t="s">
        <v>130</v>
      </c>
      <c r="D28" s="51">
        <f>12500</f>
        <v>12500</v>
      </c>
      <c r="E28" s="42"/>
      <c r="F28" s="51">
        <f>12500+3500+12000+10000+6000</f>
        <v>44000</v>
      </c>
      <c r="G28" s="42"/>
      <c r="H28" s="51">
        <f>'4-GASB34GovtFundsIS'!B29</f>
        <v>43823</v>
      </c>
      <c r="I28" s="42"/>
      <c r="J28" s="51">
        <f t="shared" si="2"/>
        <v>177</v>
      </c>
      <c r="K28" s="51"/>
      <c r="L28" s="51">
        <v>0</v>
      </c>
      <c r="M28" s="42"/>
      <c r="N28" s="51">
        <v>0</v>
      </c>
      <c r="O28" s="42"/>
      <c r="P28" s="51">
        <v>0</v>
      </c>
      <c r="Q28" s="42"/>
      <c r="R28" s="51">
        <f t="shared" si="3"/>
        <v>0</v>
      </c>
    </row>
    <row r="29" spans="1:21" x14ac:dyDescent="0.2">
      <c r="A29" s="2"/>
      <c r="B29" s="2"/>
      <c r="C29" s="3" t="s">
        <v>35</v>
      </c>
      <c r="D29" s="51">
        <f>5600</f>
        <v>5600</v>
      </c>
      <c r="E29" s="42"/>
      <c r="F29" s="51">
        <f>5600+1500+200+300+200</f>
        <v>7800</v>
      </c>
      <c r="G29" s="42"/>
      <c r="H29" s="51">
        <f>'4-GASB34GovtFundsIS'!B30</f>
        <v>7731</v>
      </c>
      <c r="I29" s="42"/>
      <c r="J29" s="51">
        <f t="shared" si="2"/>
        <v>69</v>
      </c>
      <c r="K29" s="51"/>
      <c r="L29" s="51">
        <v>0</v>
      </c>
      <c r="M29" s="42"/>
      <c r="N29" s="51">
        <v>0</v>
      </c>
      <c r="O29" s="42"/>
      <c r="P29" s="51">
        <v>0</v>
      </c>
      <c r="Q29" s="42"/>
      <c r="R29" s="51">
        <f t="shared" si="3"/>
        <v>0</v>
      </c>
    </row>
    <row r="30" spans="1:21" x14ac:dyDescent="0.2">
      <c r="A30" s="2"/>
      <c r="B30" s="3" t="s">
        <v>131</v>
      </c>
      <c r="C30" s="3"/>
      <c r="D30" s="38">
        <v>4000</v>
      </c>
      <c r="E30" s="42"/>
      <c r="F30" s="38">
        <v>4000</v>
      </c>
      <c r="G30" s="42"/>
      <c r="H30" s="51">
        <f>'4-GASB34GovtFundsIS'!B31</f>
        <v>0</v>
      </c>
      <c r="I30" s="42"/>
      <c r="J30" s="39">
        <f t="shared" si="2"/>
        <v>4000</v>
      </c>
      <c r="K30" s="42"/>
      <c r="L30" s="38">
        <v>0</v>
      </c>
      <c r="M30" s="42"/>
      <c r="N30" s="38">
        <v>0</v>
      </c>
      <c r="O30" s="42"/>
      <c r="P30" s="40">
        <v>0</v>
      </c>
      <c r="Q30" s="616"/>
      <c r="R30" s="39">
        <f t="shared" si="3"/>
        <v>0</v>
      </c>
      <c r="U30" s="434"/>
    </row>
    <row r="31" spans="1:21" x14ac:dyDescent="0.2">
      <c r="A31" s="2"/>
      <c r="B31" s="2"/>
      <c r="C31" s="3" t="s">
        <v>37</v>
      </c>
      <c r="D31" s="38">
        <f>SUM(D22:D30)</f>
        <v>1978709</v>
      </c>
      <c r="E31" s="42"/>
      <c r="F31" s="38">
        <f>SUM(F22:F30)</f>
        <v>2435036</v>
      </c>
      <c r="G31" s="42"/>
      <c r="H31" s="461">
        <f>SUM(H22:H30)</f>
        <v>2520830.15</v>
      </c>
      <c r="I31" s="42"/>
      <c r="J31" s="38">
        <f>SUM(J22:J30)</f>
        <v>-85794.149999999907</v>
      </c>
      <c r="K31" s="42"/>
      <c r="L31" s="38">
        <f>SUM(L22:L30)</f>
        <v>762000</v>
      </c>
      <c r="M31" s="42"/>
      <c r="N31" s="38">
        <f>SUM(N22:N30)</f>
        <v>790000</v>
      </c>
      <c r="O31" s="42"/>
      <c r="P31" s="38">
        <f>SUM(P22:P30)</f>
        <v>785038</v>
      </c>
      <c r="Q31" s="42"/>
      <c r="R31" s="38">
        <f>SUM(R22:R30)</f>
        <v>4962</v>
      </c>
    </row>
    <row r="32" spans="1:21" x14ac:dyDescent="0.2">
      <c r="A32" s="2"/>
      <c r="B32" s="2"/>
      <c r="C32" s="2"/>
      <c r="D32" s="51"/>
      <c r="E32" s="42"/>
      <c r="F32" s="51"/>
      <c r="G32" s="42"/>
      <c r="H32" s="51"/>
      <c r="I32" s="42"/>
      <c r="J32" s="51"/>
      <c r="K32" s="42"/>
      <c r="L32" s="51"/>
      <c r="M32" s="42"/>
      <c r="N32" s="51"/>
      <c r="O32" s="42"/>
      <c r="P32" s="51"/>
      <c r="Q32" s="42"/>
      <c r="R32" s="51"/>
    </row>
    <row r="33" spans="1:18" x14ac:dyDescent="0.2">
      <c r="A33" s="3" t="s">
        <v>132</v>
      </c>
      <c r="B33" s="2"/>
      <c r="C33" s="2"/>
      <c r="D33" s="38">
        <f>+D18-D31</f>
        <v>262385</v>
      </c>
      <c r="E33" s="42"/>
      <c r="F33" s="38">
        <f>+F18-F31</f>
        <v>-179513</v>
      </c>
      <c r="G33" s="42"/>
      <c r="H33" s="38">
        <f>+H18-H31</f>
        <v>-250078.14999999991</v>
      </c>
      <c r="I33" s="42"/>
      <c r="J33" s="38">
        <f>+J18+J31</f>
        <v>-70565.149999999907</v>
      </c>
      <c r="K33" s="42"/>
      <c r="L33" s="38">
        <f>+L18-L31</f>
        <v>0</v>
      </c>
      <c r="M33" s="42"/>
      <c r="N33" s="38">
        <f>+N18-N31</f>
        <v>0</v>
      </c>
      <c r="O33" s="42"/>
      <c r="P33" s="38">
        <f>+P18-P31</f>
        <v>-38</v>
      </c>
      <c r="Q33" s="42"/>
      <c r="R33" s="38">
        <f>+R18+R31</f>
        <v>-38</v>
      </c>
    </row>
    <row r="34" spans="1:18" x14ac:dyDescent="0.2">
      <c r="A34" s="2"/>
      <c r="B34" s="2"/>
      <c r="C34" s="2"/>
      <c r="D34" s="51"/>
      <c r="E34" s="42"/>
      <c r="F34" s="51"/>
      <c r="G34" s="42"/>
      <c r="H34" s="51"/>
      <c r="I34" s="42"/>
      <c r="J34" s="51"/>
      <c r="K34" s="42"/>
      <c r="L34" s="51"/>
      <c r="M34" s="42"/>
      <c r="N34" s="51"/>
      <c r="O34" s="42"/>
      <c r="P34" s="51"/>
      <c r="Q34" s="42"/>
      <c r="R34" s="45"/>
    </row>
    <row r="35" spans="1:18" x14ac:dyDescent="0.2">
      <c r="A35" s="3" t="s">
        <v>133</v>
      </c>
      <c r="B35" s="2"/>
      <c r="C35" s="2"/>
      <c r="D35" s="51"/>
      <c r="E35" s="51"/>
      <c r="F35" s="51"/>
      <c r="G35" s="51"/>
      <c r="H35" s="51"/>
      <c r="I35" s="42"/>
      <c r="J35" s="51"/>
      <c r="K35" s="42"/>
      <c r="L35" s="51"/>
      <c r="M35" s="51"/>
      <c r="N35" s="51"/>
      <c r="O35" s="51"/>
      <c r="P35" s="51"/>
      <c r="Q35" s="51"/>
      <c r="R35" s="51"/>
    </row>
    <row r="36" spans="1:18" x14ac:dyDescent="0.2">
      <c r="A36" s="3"/>
      <c r="B36" s="2" t="s">
        <v>460</v>
      </c>
      <c r="C36" s="2"/>
      <c r="D36" s="51">
        <v>10000</v>
      </c>
      <c r="E36" s="51"/>
      <c r="F36" s="51">
        <v>10813</v>
      </c>
      <c r="G36" s="51"/>
      <c r="H36" s="51">
        <v>10813</v>
      </c>
      <c r="I36" s="51"/>
      <c r="J36" s="51">
        <f t="shared" ref="J36:J41" si="4">+H36-F36</f>
        <v>0</v>
      </c>
      <c r="K36" s="42"/>
      <c r="L36" s="51">
        <v>0</v>
      </c>
      <c r="M36" s="51"/>
      <c r="N36" s="51">
        <v>0</v>
      </c>
      <c r="O36" s="51"/>
      <c r="P36" s="51">
        <v>0</v>
      </c>
      <c r="Q36" s="51"/>
      <c r="R36" s="51">
        <v>0</v>
      </c>
    </row>
    <row r="37" spans="1:18" x14ac:dyDescent="0.2">
      <c r="A37" s="2"/>
      <c r="B37" s="3" t="s">
        <v>461</v>
      </c>
      <c r="C37" s="3"/>
      <c r="D37" s="51">
        <v>-296385</v>
      </c>
      <c r="E37" s="51"/>
      <c r="F37" s="51">
        <v>-320300</v>
      </c>
      <c r="G37" s="51"/>
      <c r="H37" s="51">
        <f>-305800-14500</f>
        <v>-320300</v>
      </c>
      <c r="I37" s="51"/>
      <c r="J37" s="51">
        <f t="shared" si="4"/>
        <v>0</v>
      </c>
      <c r="K37" s="42"/>
      <c r="L37" s="51">
        <v>0</v>
      </c>
      <c r="M37" s="51"/>
      <c r="N37" s="51">
        <v>0</v>
      </c>
      <c r="O37" s="51"/>
      <c r="P37" s="51">
        <v>0</v>
      </c>
      <c r="Q37" s="51"/>
      <c r="R37" s="51">
        <f>+P37-N37</f>
        <v>0</v>
      </c>
    </row>
    <row r="38" spans="1:18" x14ac:dyDescent="0.2">
      <c r="A38" s="2"/>
      <c r="B38" s="3" t="s">
        <v>498</v>
      </c>
      <c r="C38" s="3"/>
      <c r="D38" s="51">
        <v>5000</v>
      </c>
      <c r="E38" s="51"/>
      <c r="F38" s="51">
        <v>5000</v>
      </c>
      <c r="G38" s="51"/>
      <c r="H38" s="51">
        <v>5000</v>
      </c>
      <c r="I38" s="51"/>
      <c r="J38" s="51">
        <f t="shared" si="4"/>
        <v>0</v>
      </c>
      <c r="K38" s="42"/>
      <c r="L38" s="51">
        <v>0</v>
      </c>
      <c r="M38" s="51"/>
      <c r="N38" s="51">
        <v>0</v>
      </c>
      <c r="O38" s="51"/>
      <c r="P38" s="51">
        <v>0</v>
      </c>
      <c r="Q38" s="51"/>
      <c r="R38" s="51">
        <f>+P38-N38</f>
        <v>0</v>
      </c>
    </row>
    <row r="39" spans="1:18" x14ac:dyDescent="0.2">
      <c r="A39" s="2"/>
      <c r="B39" s="3" t="s">
        <v>512</v>
      </c>
      <c r="C39" s="3"/>
      <c r="D39" s="51">
        <v>0</v>
      </c>
      <c r="E39" s="51"/>
      <c r="F39" s="51">
        <v>325000</v>
      </c>
      <c r="G39" s="51"/>
      <c r="H39" s="51">
        <v>325000</v>
      </c>
      <c r="I39" s="51"/>
      <c r="J39" s="51">
        <f t="shared" si="4"/>
        <v>0</v>
      </c>
      <c r="K39" s="42"/>
      <c r="L39" s="51">
        <v>0</v>
      </c>
      <c r="M39" s="51"/>
      <c r="N39" s="51">
        <v>0</v>
      </c>
      <c r="O39" s="51"/>
      <c r="P39" s="51">
        <v>0</v>
      </c>
      <c r="Q39" s="51"/>
      <c r="R39" s="51">
        <f>+P39-N39</f>
        <v>0</v>
      </c>
    </row>
    <row r="40" spans="1:18" x14ac:dyDescent="0.2">
      <c r="A40" s="2"/>
      <c r="B40" s="3" t="s">
        <v>739</v>
      </c>
      <c r="C40" s="3"/>
      <c r="D40" s="42">
        <v>19000</v>
      </c>
      <c r="E40" s="42"/>
      <c r="F40" s="42">
        <v>35000</v>
      </c>
      <c r="G40" s="42"/>
      <c r="H40" s="42">
        <v>34840</v>
      </c>
      <c r="I40" s="42"/>
      <c r="J40" s="515">
        <f t="shared" si="4"/>
        <v>-160</v>
      </c>
      <c r="K40" s="42"/>
      <c r="L40" s="51"/>
      <c r="M40" s="51"/>
      <c r="N40" s="51"/>
      <c r="O40" s="51"/>
      <c r="P40" s="51"/>
      <c r="Q40" s="51"/>
      <c r="R40" s="51"/>
    </row>
    <row r="41" spans="1:18" x14ac:dyDescent="0.2">
      <c r="A41" s="2"/>
      <c r="B41" s="3" t="s">
        <v>756</v>
      </c>
      <c r="C41" s="3"/>
      <c r="D41" s="38">
        <v>0</v>
      </c>
      <c r="E41" s="38"/>
      <c r="F41" s="38">
        <v>49000</v>
      </c>
      <c r="G41" s="38"/>
      <c r="H41" s="38">
        <v>48781</v>
      </c>
      <c r="I41" s="38"/>
      <c r="J41" s="37">
        <f t="shared" si="4"/>
        <v>-219</v>
      </c>
      <c r="K41" s="515"/>
      <c r="L41" s="38">
        <v>0</v>
      </c>
      <c r="M41" s="38"/>
      <c r="N41" s="38">
        <v>0</v>
      </c>
      <c r="O41" s="38"/>
      <c r="P41" s="38">
        <v>0</v>
      </c>
      <c r="Q41" s="38"/>
      <c r="R41" s="37">
        <f>+P41-N41</f>
        <v>0</v>
      </c>
    </row>
    <row r="42" spans="1:18" x14ac:dyDescent="0.2">
      <c r="A42" s="2"/>
      <c r="B42" s="2"/>
      <c r="C42" s="3" t="s">
        <v>134</v>
      </c>
      <c r="D42" s="38">
        <f>SUM(D36:D41)</f>
        <v>-262385</v>
      </c>
      <c r="E42" s="38"/>
      <c r="F42" s="38">
        <f>SUM(F36:F41)</f>
        <v>104513</v>
      </c>
      <c r="G42" s="38"/>
      <c r="H42" s="38">
        <f>SUM(H36:H41)</f>
        <v>104134</v>
      </c>
      <c r="I42" s="38"/>
      <c r="J42" s="38">
        <f>SUM(J36:J41)</f>
        <v>-379</v>
      </c>
      <c r="K42" s="42"/>
      <c r="L42" s="38">
        <f>SUM(L37:L41)</f>
        <v>0</v>
      </c>
      <c r="M42" s="38"/>
      <c r="N42" s="38">
        <f>SUM(N37:N41)</f>
        <v>0</v>
      </c>
      <c r="O42" s="38"/>
      <c r="P42" s="38">
        <f>SUM(P37:P41)</f>
        <v>0</v>
      </c>
      <c r="Q42" s="38"/>
      <c r="R42" s="38">
        <f>SUM(R37:R41)</f>
        <v>0</v>
      </c>
    </row>
    <row r="43" spans="1:18" ht="10.5" customHeight="1" x14ac:dyDescent="0.2">
      <c r="A43" s="2"/>
      <c r="B43" s="2"/>
      <c r="C43" s="2"/>
      <c r="D43" s="51"/>
      <c r="E43" s="51"/>
      <c r="F43" s="51"/>
      <c r="G43" s="51"/>
      <c r="H43" s="51"/>
      <c r="I43" s="51"/>
      <c r="J43" s="51"/>
      <c r="K43" s="42"/>
      <c r="L43" s="51"/>
      <c r="M43" s="51"/>
      <c r="N43" s="51"/>
      <c r="O43" s="51"/>
      <c r="P43" s="51"/>
      <c r="Q43" s="51"/>
      <c r="R43" s="51"/>
    </row>
    <row r="44" spans="1:18" x14ac:dyDescent="0.2">
      <c r="A44" s="2" t="s">
        <v>524</v>
      </c>
      <c r="B44" s="2"/>
      <c r="C44" s="2"/>
      <c r="D44" s="51">
        <v>0</v>
      </c>
      <c r="E44" s="51"/>
      <c r="F44" s="51">
        <v>75000</v>
      </c>
      <c r="G44" s="51"/>
      <c r="H44" s="51">
        <v>0</v>
      </c>
      <c r="I44" s="51"/>
      <c r="J44" s="51">
        <v>125000</v>
      </c>
      <c r="K44" s="42"/>
      <c r="L44" s="51">
        <v>0</v>
      </c>
      <c r="M44" s="51"/>
      <c r="N44" s="51">
        <v>0</v>
      </c>
      <c r="O44" s="51"/>
      <c r="P44" s="51">
        <v>0</v>
      </c>
      <c r="Q44" s="51"/>
      <c r="R44" s="51">
        <v>0</v>
      </c>
    </row>
    <row r="45" spans="1:18" ht="7.5" customHeight="1" x14ac:dyDescent="0.2">
      <c r="A45" s="2"/>
      <c r="B45" s="2"/>
      <c r="C45" s="2"/>
      <c r="D45" s="51"/>
      <c r="E45" s="51"/>
      <c r="F45" s="51"/>
      <c r="G45" s="51"/>
      <c r="H45" s="51"/>
      <c r="I45" s="51"/>
      <c r="J45" s="51"/>
      <c r="K45" s="42"/>
      <c r="L45" s="51"/>
      <c r="M45" s="51"/>
      <c r="N45" s="51"/>
      <c r="O45" s="51"/>
      <c r="P45" s="51"/>
      <c r="Q45" s="51"/>
      <c r="R45" s="51"/>
    </row>
    <row r="46" spans="1:18" ht="13.5" thickBot="1" x14ac:dyDescent="0.25">
      <c r="A46" s="2" t="s">
        <v>75</v>
      </c>
      <c r="B46" s="3"/>
      <c r="C46" s="3"/>
      <c r="D46" s="41">
        <f>+D33+D42+D44</f>
        <v>0</v>
      </c>
      <c r="E46" s="41"/>
      <c r="F46" s="41">
        <f>+F33+F42+F44</f>
        <v>0</v>
      </c>
      <c r="G46" s="615"/>
      <c r="H46" s="51">
        <f>+H33+H42</f>
        <v>-145944.14999999991</v>
      </c>
      <c r="I46" s="51"/>
      <c r="J46" s="53">
        <f>J18+J31+J37-J44</f>
        <v>-195565.14999999991</v>
      </c>
      <c r="K46" s="270"/>
      <c r="L46" s="41">
        <f>+L33+L42</f>
        <v>0</v>
      </c>
      <c r="M46" s="41"/>
      <c r="N46" s="41">
        <f>+N33+N42</f>
        <v>0</v>
      </c>
      <c r="O46" s="615"/>
      <c r="P46" s="51">
        <f>+P33+P42</f>
        <v>-38</v>
      </c>
      <c r="Q46" s="51"/>
      <c r="R46" s="53">
        <v>-38</v>
      </c>
    </row>
    <row r="47" spans="1:18" ht="11.25" customHeight="1" thickTop="1" x14ac:dyDescent="0.2">
      <c r="A47" s="2"/>
      <c r="B47" s="3"/>
      <c r="C47" s="3"/>
      <c r="D47" s="51"/>
      <c r="E47" s="51"/>
      <c r="F47" s="51"/>
      <c r="G47" s="51"/>
      <c r="H47" s="51"/>
      <c r="I47" s="51"/>
      <c r="J47" s="51"/>
      <c r="K47" s="42"/>
      <c r="L47" s="51"/>
      <c r="M47" s="51"/>
      <c r="N47" s="51"/>
      <c r="O47" s="51"/>
      <c r="P47" s="51"/>
      <c r="Q47" s="51"/>
      <c r="R47" s="51"/>
    </row>
    <row r="48" spans="1:18" hidden="1" x14ac:dyDescent="0.2">
      <c r="A48" s="2" t="s">
        <v>501</v>
      </c>
      <c r="B48" s="3"/>
      <c r="C48" s="3"/>
      <c r="D48" s="2"/>
      <c r="E48" s="2"/>
      <c r="F48" s="2"/>
      <c r="G48" s="2"/>
      <c r="H48" s="51"/>
      <c r="I48" s="51"/>
      <c r="J48" s="2"/>
      <c r="K48" s="2"/>
      <c r="L48" s="2"/>
      <c r="M48" s="2"/>
      <c r="N48" s="2"/>
      <c r="O48" s="2"/>
      <c r="P48" s="51"/>
      <c r="Q48" s="51"/>
      <c r="R48" s="2"/>
    </row>
    <row r="49" spans="1:18" hidden="1" x14ac:dyDescent="0.2">
      <c r="A49" s="2"/>
      <c r="B49" s="3" t="s">
        <v>502</v>
      </c>
      <c r="C49" s="3"/>
      <c r="D49" s="2"/>
      <c r="E49" s="2"/>
      <c r="F49" s="2"/>
      <c r="G49" s="2"/>
      <c r="H49" s="51">
        <f>519450+5759-175</f>
        <v>525034</v>
      </c>
      <c r="I49" s="51"/>
      <c r="J49" s="2"/>
      <c r="K49" s="2"/>
      <c r="L49" s="2"/>
      <c r="M49" s="2"/>
      <c r="N49" s="2"/>
      <c r="O49" s="2"/>
      <c r="P49" s="51">
        <v>5453</v>
      </c>
      <c r="Q49" s="51"/>
      <c r="R49" s="2"/>
    </row>
    <row r="50" spans="1:18" hidden="1" x14ac:dyDescent="0.2">
      <c r="A50" s="3" t="s">
        <v>500</v>
      </c>
      <c r="B50" s="3"/>
      <c r="C50" s="3"/>
      <c r="D50" s="2"/>
      <c r="E50" s="2"/>
      <c r="F50" s="2"/>
      <c r="G50" s="2"/>
      <c r="H50" s="39">
        <v>67367</v>
      </c>
      <c r="I50" s="42"/>
      <c r="J50" s="2"/>
      <c r="K50" s="2"/>
      <c r="L50" s="2"/>
      <c r="M50" s="2"/>
      <c r="N50" s="2"/>
      <c r="O50" s="2"/>
      <c r="P50" s="39">
        <v>0</v>
      </c>
      <c r="Q50" s="42"/>
      <c r="R50" s="2"/>
    </row>
    <row r="51" spans="1:18" x14ac:dyDescent="0.2">
      <c r="A51" s="2" t="s">
        <v>741</v>
      </c>
      <c r="B51" s="2"/>
      <c r="C51" s="2"/>
      <c r="D51" s="2"/>
      <c r="E51" s="2"/>
      <c r="F51" s="2"/>
      <c r="G51" s="2"/>
      <c r="H51" s="42">
        <f>SUM(H49:H50)</f>
        <v>592401</v>
      </c>
      <c r="I51" s="42"/>
      <c r="J51" s="2"/>
      <c r="K51" s="2"/>
      <c r="L51" s="2"/>
      <c r="M51" s="2"/>
      <c r="N51" s="2"/>
      <c r="O51" s="2"/>
      <c r="P51" s="42">
        <f>SUM(P49:P50)</f>
        <v>5453</v>
      </c>
      <c r="Q51" s="42"/>
      <c r="R51" s="2"/>
    </row>
    <row r="52" spans="1:18" x14ac:dyDescent="0.2">
      <c r="A52" s="2" t="s">
        <v>454</v>
      </c>
      <c r="B52" s="19"/>
      <c r="C52" s="19"/>
      <c r="D52" s="236"/>
      <c r="E52" s="236"/>
      <c r="F52" s="236"/>
      <c r="G52" s="236"/>
      <c r="H52" s="43">
        <v>82</v>
      </c>
      <c r="I52" s="236"/>
      <c r="J52" s="236"/>
      <c r="K52" s="236"/>
      <c r="L52" s="236"/>
      <c r="M52" s="236"/>
      <c r="N52" s="236"/>
      <c r="O52" s="236"/>
      <c r="P52" s="43">
        <v>0</v>
      </c>
      <c r="Q52" s="236"/>
      <c r="R52" s="236"/>
    </row>
    <row r="53" spans="1:18" ht="13.5" thickBot="1" x14ac:dyDescent="0.25">
      <c r="A53" s="3" t="s">
        <v>499</v>
      </c>
      <c r="B53" s="2"/>
      <c r="C53" s="2"/>
      <c r="D53" s="2"/>
      <c r="E53" s="2"/>
      <c r="F53" s="2"/>
      <c r="G53" s="2"/>
      <c r="H53" s="285">
        <f>H52+H51+H46</f>
        <v>446538.85000000009</v>
      </c>
      <c r="I53" s="270"/>
      <c r="J53" s="2"/>
      <c r="K53" s="2"/>
      <c r="L53" s="2"/>
      <c r="M53" s="2"/>
      <c r="N53" s="2"/>
      <c r="O53" s="2"/>
      <c r="P53" s="52">
        <f>P51+P46</f>
        <v>5415</v>
      </c>
      <c r="Q53" s="270"/>
      <c r="R53" s="2"/>
    </row>
    <row r="54" spans="1:18" ht="12.75" customHeight="1" thickTop="1" thickBot="1" x14ac:dyDescent="0.25">
      <c r="A54" s="2" t="s">
        <v>573</v>
      </c>
      <c r="B54" s="2"/>
      <c r="C54" s="2"/>
      <c r="D54" s="270"/>
      <c r="E54" s="270"/>
      <c r="F54" s="2"/>
      <c r="G54" s="2"/>
      <c r="H54" s="2"/>
      <c r="I54" s="2"/>
      <c r="J54" s="2"/>
      <c r="K54" s="2"/>
      <c r="L54" s="270"/>
      <c r="M54" s="270"/>
      <c r="N54" s="2"/>
      <c r="O54" s="2"/>
    </row>
    <row r="55" spans="1:18" ht="12.75" customHeight="1" x14ac:dyDescent="0.2">
      <c r="A55" s="2" t="s">
        <v>572</v>
      </c>
      <c r="B55" s="2"/>
      <c r="C55" s="2"/>
      <c r="D55" s="270"/>
      <c r="E55" s="270"/>
      <c r="F55" s="2"/>
      <c r="G55" s="2"/>
      <c r="H55" s="2"/>
      <c r="I55" s="2"/>
      <c r="J55" s="807" t="s">
        <v>887</v>
      </c>
      <c r="K55" s="808"/>
      <c r="L55" s="808"/>
      <c r="M55" s="808"/>
      <c r="N55" s="808"/>
      <c r="O55" s="808"/>
      <c r="P55" s="808"/>
      <c r="Q55" s="809"/>
    </row>
    <row r="56" spans="1:18" x14ac:dyDescent="0.2">
      <c r="A56" s="2"/>
      <c r="B56" s="2" t="s">
        <v>559</v>
      </c>
      <c r="C56" s="2"/>
      <c r="D56" s="19"/>
      <c r="E56" s="19"/>
      <c r="F56" s="2"/>
      <c r="G56" s="2"/>
      <c r="H56" s="289">
        <v>152</v>
      </c>
      <c r="I56" s="289"/>
      <c r="J56" s="810"/>
      <c r="K56" s="811"/>
      <c r="L56" s="811"/>
      <c r="M56" s="811"/>
      <c r="N56" s="811"/>
      <c r="O56" s="811"/>
      <c r="P56" s="811"/>
      <c r="Q56" s="812"/>
    </row>
    <row r="57" spans="1:18" x14ac:dyDescent="0.2">
      <c r="A57" s="2"/>
      <c r="B57" s="2" t="s">
        <v>568</v>
      </c>
      <c r="C57" s="2"/>
      <c r="D57" s="19"/>
      <c r="E57" s="19"/>
      <c r="F57" s="2"/>
      <c r="G57" s="2"/>
      <c r="H57" s="289">
        <v>14500</v>
      </c>
      <c r="I57" s="289"/>
      <c r="J57" s="810"/>
      <c r="K57" s="811"/>
      <c r="L57" s="811"/>
      <c r="M57" s="811"/>
      <c r="N57" s="811"/>
      <c r="O57" s="811"/>
      <c r="P57" s="811"/>
      <c r="Q57" s="812"/>
    </row>
    <row r="58" spans="1:18" x14ac:dyDescent="0.2">
      <c r="A58" s="2" t="s">
        <v>872</v>
      </c>
      <c r="B58" s="2"/>
      <c r="C58" s="2"/>
      <c r="D58" s="19"/>
      <c r="E58" s="19"/>
      <c r="F58" s="2"/>
      <c r="G58" s="2"/>
      <c r="H58" s="314">
        <f>15801+23459</f>
        <v>39260</v>
      </c>
      <c r="I58" s="314"/>
      <c r="J58" s="810"/>
      <c r="K58" s="811"/>
      <c r="L58" s="811"/>
      <c r="M58" s="811"/>
      <c r="N58" s="811"/>
      <c r="O58" s="811"/>
      <c r="P58" s="811"/>
      <c r="Q58" s="812"/>
    </row>
    <row r="59" spans="1:18" ht="12.75" customHeight="1" thickBot="1" x14ac:dyDescent="0.25">
      <c r="A59" s="2" t="s">
        <v>873</v>
      </c>
      <c r="B59" s="2"/>
      <c r="C59" s="2"/>
      <c r="D59" s="19"/>
      <c r="E59" s="19"/>
      <c r="F59" s="2"/>
      <c r="G59" s="2"/>
      <c r="H59" s="290">
        <f>SUM(H56:H58)+H53</f>
        <v>500450.85000000009</v>
      </c>
      <c r="I59" s="390"/>
      <c r="J59" s="810"/>
      <c r="K59" s="811"/>
      <c r="L59" s="811"/>
      <c r="M59" s="811"/>
      <c r="N59" s="811"/>
      <c r="O59" s="811"/>
      <c r="P59" s="811"/>
      <c r="Q59" s="812"/>
    </row>
    <row r="60" spans="1:18" ht="12.75" customHeight="1" thickTop="1" thickBot="1" x14ac:dyDescent="0.25">
      <c r="A60" s="2"/>
      <c r="B60" s="2"/>
      <c r="C60" s="2"/>
      <c r="D60" s="19"/>
      <c r="E60" s="19"/>
      <c r="F60" s="2"/>
      <c r="G60" s="2"/>
      <c r="H60" s="390"/>
      <c r="I60" s="390"/>
      <c r="J60" s="813"/>
      <c r="K60" s="814"/>
      <c r="L60" s="814"/>
      <c r="M60" s="814"/>
      <c r="N60" s="814"/>
      <c r="O60" s="814"/>
      <c r="P60" s="814"/>
      <c r="Q60" s="815"/>
    </row>
    <row r="61" spans="1:18" ht="15" customHeight="1" x14ac:dyDescent="0.2">
      <c r="A61" t="s">
        <v>8</v>
      </c>
      <c r="B61" s="19"/>
      <c r="C61" s="19"/>
      <c r="D61" s="19"/>
      <c r="E61" s="19"/>
      <c r="F61" s="19"/>
      <c r="G61" s="19"/>
      <c r="H61" s="19"/>
      <c r="I61" s="19"/>
    </row>
  </sheetData>
  <sheetProtection selectLockedCells="1" selectUnlockedCells="1"/>
  <customSheetViews>
    <customSheetView guid="{AB48C5D7-99F4-4378-A0F9-05018B348977}" scale="90">
      <selection activeCell="B39" sqref="B39"/>
      <colBreaks count="1" manualBreakCount="1">
        <brk id="8" max="1048575" man="1"/>
      </colBreaks>
      <pageMargins left="0.75" right="0.75" top="1" bottom="1" header="0.5" footer="0.5"/>
      <pageSetup scale="79" firstPageNumber="36" fitToWidth="2" orientation="portrait" useFirstPageNumber="1" r:id="rId1"/>
      <headerFooter alignWithMargins="0"/>
    </customSheetView>
  </customSheetViews>
  <mergeCells count="5">
    <mergeCell ref="C1:R1"/>
    <mergeCell ref="C2:R2"/>
    <mergeCell ref="C3:R3"/>
    <mergeCell ref="C4:R4"/>
    <mergeCell ref="J55:Q60"/>
  </mergeCells>
  <phoneticPr fontId="0" type="noConversion"/>
  <printOptions horizontalCentered="1"/>
  <pageMargins left="0.7" right="0.7" top="0.75" bottom="0.75" header="0.3" footer="0.3"/>
  <pageSetup scale="68" firstPageNumber="36" orientation="portrait" r:id="rId2"/>
  <rowBreaks count="1" manualBreakCount="1">
    <brk id="33" max="16383" man="1"/>
  </rowBreaks>
  <ignoredErrors>
    <ignoredError sqref="P42 L42 N4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pageSetUpPr fitToPage="1"/>
  </sheetPr>
  <dimension ref="A1:AT86"/>
  <sheetViews>
    <sheetView topLeftCell="A58" workbookViewId="0">
      <selection activeCell="A5" sqref="A5"/>
    </sheetView>
  </sheetViews>
  <sheetFormatPr defaultColWidth="9.140625" defaultRowHeight="12.75" x14ac:dyDescent="0.2"/>
  <cols>
    <col min="1" max="1" width="38.5703125" customWidth="1"/>
    <col min="2" max="2" width="13" customWidth="1"/>
    <col min="3" max="3" width="1.28515625" customWidth="1"/>
    <col min="4" max="4" width="13" customWidth="1"/>
    <col min="5" max="5" width="1.28515625" customWidth="1"/>
    <col min="6" max="6" width="13" customWidth="1"/>
    <col min="7" max="7" width="1.28515625" customWidth="1"/>
    <col min="8" max="8" width="13" customWidth="1"/>
    <col min="9" max="9" width="10.28515625" customWidth="1"/>
    <col min="10" max="10" width="14" bestFit="1" customWidth="1"/>
    <col min="11" max="11" width="12.42578125" bestFit="1" customWidth="1"/>
    <col min="13" max="13" width="11.28515625" bestFit="1" customWidth="1"/>
  </cols>
  <sheetData>
    <row r="1" spans="1:11" s="19" customFormat="1" x14ac:dyDescent="0.2">
      <c r="A1" s="777" t="str">
        <f>+'[2]7-Rev, exp-Prop'!A2:E2</f>
        <v>City of Dogwood</v>
      </c>
      <c r="B1" s="777"/>
      <c r="C1" s="777"/>
      <c r="D1" s="777"/>
      <c r="E1" s="777"/>
      <c r="F1" s="777"/>
      <c r="G1" s="777"/>
      <c r="H1" s="777"/>
    </row>
    <row r="2" spans="1:11" s="19" customFormat="1" x14ac:dyDescent="0.2">
      <c r="A2" s="777" t="s">
        <v>623</v>
      </c>
      <c r="B2" s="777"/>
      <c r="C2" s="777"/>
      <c r="D2" s="777"/>
      <c r="E2" s="777"/>
      <c r="F2" s="777"/>
      <c r="G2" s="777"/>
      <c r="H2" s="777"/>
    </row>
    <row r="3" spans="1:11" x14ac:dyDescent="0.2">
      <c r="A3" s="777" t="s">
        <v>41</v>
      </c>
      <c r="B3" s="777"/>
      <c r="C3" s="777"/>
      <c r="D3" s="777"/>
      <c r="E3" s="777"/>
      <c r="F3" s="777"/>
      <c r="G3" s="777"/>
      <c r="H3" s="777"/>
    </row>
    <row r="4" spans="1:11" s="19" customFormat="1" x14ac:dyDescent="0.2">
      <c r="A4" s="787">
        <v>45838</v>
      </c>
      <c r="B4" s="788"/>
      <c r="C4" s="788"/>
      <c r="D4" s="788"/>
      <c r="E4" s="788"/>
      <c r="F4" s="788"/>
      <c r="G4" s="788"/>
      <c r="H4" s="788"/>
    </row>
    <row r="5" spans="1:11" s="19" customFormat="1" x14ac:dyDescent="0.2">
      <c r="A5" s="592"/>
      <c r="B5" s="543"/>
      <c r="C5" s="543"/>
      <c r="D5" s="543"/>
      <c r="E5" s="543"/>
      <c r="F5" s="543"/>
      <c r="G5" s="543"/>
      <c r="H5" s="55" t="s">
        <v>40</v>
      </c>
    </row>
    <row r="6" spans="1:11" ht="12" customHeight="1" thickBot="1" x14ac:dyDescent="0.25">
      <c r="A6" s="618"/>
      <c r="B6" s="618"/>
      <c r="C6" s="618"/>
      <c r="D6" s="618"/>
      <c r="E6" s="618"/>
      <c r="F6" s="618"/>
      <c r="G6" s="618"/>
      <c r="H6" s="618"/>
    </row>
    <row r="7" spans="1:11" x14ac:dyDescent="0.2">
      <c r="B7" s="779" t="s">
        <v>503</v>
      </c>
      <c r="C7" s="779"/>
      <c r="D7" s="779"/>
      <c r="E7" s="779"/>
      <c r="F7" s="779"/>
      <c r="G7" s="228"/>
    </row>
    <row r="8" spans="1:11" ht="25.5" x14ac:dyDescent="0.2">
      <c r="B8" s="54" t="s">
        <v>78</v>
      </c>
      <c r="C8" s="594"/>
      <c r="D8" s="54" t="s">
        <v>81</v>
      </c>
      <c r="E8" s="594"/>
      <c r="F8" s="54" t="s">
        <v>1</v>
      </c>
      <c r="G8" s="594"/>
      <c r="H8" s="54" t="s">
        <v>82</v>
      </c>
    </row>
    <row r="9" spans="1:11" x14ac:dyDescent="0.2">
      <c r="A9" s="101" t="s">
        <v>2</v>
      </c>
    </row>
    <row r="10" spans="1:11" x14ac:dyDescent="0.2">
      <c r="A10" t="s">
        <v>42</v>
      </c>
    </row>
    <row r="11" spans="1:11" x14ac:dyDescent="0.2">
      <c r="A11" s="33" t="s">
        <v>3</v>
      </c>
      <c r="B11" s="433">
        <f>23232+100000-56105-(120000+45000+50)*0.395*0.2-(0.395*0.2*155000)</f>
        <v>41843.050000000003</v>
      </c>
      <c r="C11" s="444"/>
      <c r="D11" s="433">
        <f>236762-150000+100000-16930+30000-(120000+45000+50)*0.395*0.8-(0.395*0.8*155000)+77625-40000</f>
        <v>136321.20000000001</v>
      </c>
      <c r="E11" s="444"/>
      <c r="F11" s="419">
        <f>SUM(B11:D11)</f>
        <v>178164.25</v>
      </c>
      <c r="G11" s="443"/>
      <c r="H11" s="433">
        <f>25730-120000*0.02*0.6+600-(45000+50)*0.02*0.6+400-(0.605*0.02*155000)</f>
        <v>22873.9</v>
      </c>
    </row>
    <row r="12" spans="1:11" x14ac:dyDescent="0.2">
      <c r="A12" s="33" t="s">
        <v>108</v>
      </c>
      <c r="B12" s="420">
        <f>160909</f>
        <v>160909</v>
      </c>
      <c r="C12" s="422"/>
      <c r="D12" s="420">
        <f>78336</f>
        <v>78336</v>
      </c>
      <c r="E12" s="422"/>
      <c r="F12" s="420">
        <f>SUM(B12:D12)</f>
        <v>239245</v>
      </c>
      <c r="G12" s="422"/>
      <c r="H12" s="420">
        <v>0</v>
      </c>
    </row>
    <row r="13" spans="1:11" x14ac:dyDescent="0.2">
      <c r="A13" s="33" t="s">
        <v>109</v>
      </c>
      <c r="B13" s="420">
        <v>54262</v>
      </c>
      <c r="C13" s="422"/>
      <c r="D13" s="420">
        <v>21472</v>
      </c>
      <c r="E13" s="422"/>
      <c r="F13" s="420">
        <f>SUM(B13:D13)</f>
        <v>75734</v>
      </c>
      <c r="G13" s="422"/>
      <c r="H13" s="420">
        <v>0</v>
      </c>
    </row>
    <row r="14" spans="1:11" x14ac:dyDescent="0.2">
      <c r="A14" s="33" t="s">
        <v>735</v>
      </c>
      <c r="B14" s="420">
        <v>0</v>
      </c>
      <c r="C14" s="422"/>
      <c r="D14" s="420">
        <v>13463</v>
      </c>
      <c r="E14" s="422"/>
      <c r="F14" s="420">
        <f>SUM(B14:D14)</f>
        <v>13463</v>
      </c>
      <c r="G14" s="422"/>
      <c r="H14" s="420">
        <v>0</v>
      </c>
    </row>
    <row r="15" spans="1:11" x14ac:dyDescent="0.2">
      <c r="A15" s="33" t="s">
        <v>751</v>
      </c>
      <c r="B15" s="433">
        <v>0</v>
      </c>
      <c r="C15" s="444"/>
      <c r="D15" s="433">
        <v>868</v>
      </c>
      <c r="E15" s="444"/>
      <c r="F15" s="525">
        <f>SUM(B15:D15)</f>
        <v>868</v>
      </c>
      <c r="G15" s="624"/>
      <c r="H15" s="433">
        <v>0</v>
      </c>
    </row>
    <row r="16" spans="1:11" x14ac:dyDescent="0.2">
      <c r="A16" s="33" t="s">
        <v>443</v>
      </c>
      <c r="B16" s="420">
        <v>0</v>
      </c>
      <c r="C16" s="422"/>
      <c r="D16" s="420">
        <v>0</v>
      </c>
      <c r="E16" s="422"/>
      <c r="F16" s="420">
        <v>0</v>
      </c>
      <c r="G16" s="422"/>
      <c r="H16" s="420">
        <v>2600</v>
      </c>
      <c r="K16" s="232"/>
    </row>
    <row r="17" spans="1:11" x14ac:dyDescent="0.2">
      <c r="A17" s="33" t="s">
        <v>4</v>
      </c>
      <c r="B17" s="420">
        <v>95378</v>
      </c>
      <c r="C17" s="422"/>
      <c r="D17" s="421">
        <f>110281</f>
        <v>110281</v>
      </c>
      <c r="E17" s="423"/>
      <c r="F17" s="420">
        <f>SUM(B17:D17)</f>
        <v>205659</v>
      </c>
      <c r="G17" s="422"/>
      <c r="H17" s="420">
        <v>2700</v>
      </c>
    </row>
    <row r="18" spans="1:11" x14ac:dyDescent="0.2">
      <c r="A18" s="33" t="s">
        <v>110</v>
      </c>
      <c r="B18" s="422">
        <v>4630</v>
      </c>
      <c r="C18" s="422"/>
      <c r="D18" s="422">
        <v>2565</v>
      </c>
      <c r="E18" s="422"/>
      <c r="F18" s="422">
        <f>SUM(B18:D18)</f>
        <v>7195</v>
      </c>
      <c r="G18" s="422"/>
      <c r="H18" s="422">
        <v>0</v>
      </c>
    </row>
    <row r="19" spans="1:11" x14ac:dyDescent="0.2">
      <c r="A19" s="33" t="s">
        <v>545</v>
      </c>
      <c r="B19" s="425">
        <v>56105</v>
      </c>
      <c r="C19" s="422"/>
      <c r="D19" s="425">
        <f>1658125+16930</f>
        <v>1675055</v>
      </c>
      <c r="E19" s="422"/>
      <c r="F19" s="425">
        <f>SUM(B19:D19)</f>
        <v>1731160</v>
      </c>
      <c r="G19" s="422"/>
      <c r="H19" s="425">
        <v>0</v>
      </c>
    </row>
    <row r="20" spans="1:11" x14ac:dyDescent="0.2">
      <c r="A20" s="4" t="s">
        <v>43</v>
      </c>
      <c r="B20" s="424">
        <f>SUM(B11:B19)</f>
        <v>413127.05</v>
      </c>
      <c r="C20" s="422"/>
      <c r="D20" s="424">
        <f>SUM(D11:D19)</f>
        <v>2038361.2</v>
      </c>
      <c r="E20" s="422"/>
      <c r="F20" s="424">
        <f>SUM(F11:F19)</f>
        <v>2451488.25</v>
      </c>
      <c r="G20" s="422"/>
      <c r="H20" s="424">
        <f>SUM(H11:H19)</f>
        <v>28173.9</v>
      </c>
    </row>
    <row r="21" spans="1:11" ht="6.75" customHeight="1" x14ac:dyDescent="0.2">
      <c r="B21" s="420"/>
      <c r="C21" s="422"/>
      <c r="D21" s="420"/>
      <c r="E21" s="422"/>
      <c r="F21" s="420"/>
      <c r="G21" s="422"/>
      <c r="H21" s="420"/>
    </row>
    <row r="22" spans="1:11" x14ac:dyDescent="0.2">
      <c r="A22" t="s">
        <v>44</v>
      </c>
      <c r="B22" s="420"/>
      <c r="C22" s="422"/>
      <c r="D22" s="420"/>
      <c r="E22" s="422"/>
      <c r="F22" s="420"/>
      <c r="G22" s="422"/>
      <c r="H22" s="420"/>
    </row>
    <row r="23" spans="1:11" x14ac:dyDescent="0.2">
      <c r="A23" s="33" t="s">
        <v>735</v>
      </c>
      <c r="B23" s="420">
        <v>0</v>
      </c>
      <c r="C23" s="422"/>
      <c r="D23" s="420">
        <v>44269</v>
      </c>
      <c r="E23" s="422"/>
      <c r="F23" s="422">
        <f>+B23+D23</f>
        <v>44269</v>
      </c>
      <c r="G23" s="422"/>
      <c r="H23" s="420">
        <v>0</v>
      </c>
    </row>
    <row r="24" spans="1:11" x14ac:dyDescent="0.2">
      <c r="A24" s="251" t="s">
        <v>464</v>
      </c>
      <c r="B24" s="422"/>
      <c r="C24" s="422"/>
      <c r="D24" s="422"/>
      <c r="E24" s="422"/>
      <c r="F24" s="422"/>
      <c r="G24" s="422"/>
      <c r="H24" s="422"/>
    </row>
    <row r="25" spans="1:11" x14ac:dyDescent="0.2">
      <c r="A25" s="1" t="s">
        <v>541</v>
      </c>
      <c r="B25" s="422">
        <v>289400</v>
      </c>
      <c r="C25" s="422"/>
      <c r="D25" s="422">
        <f>326500+2452049</f>
        <v>2778549</v>
      </c>
      <c r="E25" s="422"/>
      <c r="F25" s="422">
        <f>+B25+D25</f>
        <v>3067949</v>
      </c>
      <c r="G25" s="422"/>
      <c r="H25" s="422">
        <v>0</v>
      </c>
      <c r="K25" s="404"/>
    </row>
    <row r="26" spans="1:11" x14ac:dyDescent="0.2">
      <c r="A26" s="1" t="s">
        <v>437</v>
      </c>
      <c r="B26" s="422">
        <f>537219+63973+107080</f>
        <v>708272</v>
      </c>
      <c r="C26" s="422"/>
      <c r="D26" s="31">
        <f>13241774-3654538+197377-73901+173470-102726</f>
        <v>9781456</v>
      </c>
      <c r="E26" s="31"/>
      <c r="F26" s="422">
        <f>+B26+D26</f>
        <v>10489728</v>
      </c>
      <c r="G26" s="422"/>
      <c r="H26" s="422">
        <f>15000-1500+126700-124530+15000-6000</f>
        <v>24670</v>
      </c>
    </row>
    <row r="27" spans="1:11" ht="25.5" x14ac:dyDescent="0.2">
      <c r="A27" s="298" t="s">
        <v>775</v>
      </c>
      <c r="B27" s="425"/>
      <c r="C27" s="422"/>
      <c r="D27" s="5">
        <v>28291</v>
      </c>
      <c r="E27" s="31"/>
      <c r="F27" s="425">
        <f>+B27+D27</f>
        <v>28291</v>
      </c>
      <c r="G27" s="422"/>
      <c r="H27" s="425"/>
    </row>
    <row r="28" spans="1:11" x14ac:dyDescent="0.2">
      <c r="A28" s="1" t="s">
        <v>542</v>
      </c>
      <c r="B28" s="425">
        <f>B25+B26</f>
        <v>997672</v>
      </c>
      <c r="C28" s="422"/>
      <c r="D28" s="425">
        <f>D25+D26+D27</f>
        <v>12588296</v>
      </c>
      <c r="E28" s="422"/>
      <c r="F28" s="425">
        <f>F25+F26+F27</f>
        <v>13585968</v>
      </c>
      <c r="G28" s="422"/>
      <c r="H28" s="425">
        <f>H25+H26</f>
        <v>24670</v>
      </c>
    </row>
    <row r="29" spans="1:11" x14ac:dyDescent="0.2">
      <c r="A29" s="233" t="s">
        <v>45</v>
      </c>
      <c r="B29" s="424">
        <f>+B23+B28</f>
        <v>997672</v>
      </c>
      <c r="C29" s="422"/>
      <c r="D29" s="424">
        <f>+D23+D28</f>
        <v>12632565</v>
      </c>
      <c r="E29" s="422"/>
      <c r="F29" s="424">
        <f>+F23+F28</f>
        <v>13630237</v>
      </c>
      <c r="G29" s="422"/>
      <c r="H29" s="424">
        <f>+H23+H28</f>
        <v>24670</v>
      </c>
    </row>
    <row r="30" spans="1:11" x14ac:dyDescent="0.2">
      <c r="A30" s="234" t="s">
        <v>5</v>
      </c>
      <c r="B30" s="497">
        <f>+B29+B20</f>
        <v>1410799.05</v>
      </c>
      <c r="C30" s="498"/>
      <c r="D30" s="497">
        <f>+D29+D20</f>
        <v>14670926.199999999</v>
      </c>
      <c r="E30" s="498"/>
      <c r="F30" s="497">
        <f>+F29+F20</f>
        <v>16081725.25</v>
      </c>
      <c r="G30" s="498"/>
      <c r="H30" s="497">
        <f>+H29+H20</f>
        <v>52843.9</v>
      </c>
    </row>
    <row r="31" spans="1:11" ht="6.75" customHeight="1" x14ac:dyDescent="0.2">
      <c r="A31" s="234"/>
      <c r="B31" s="498"/>
      <c r="C31" s="498"/>
      <c r="D31" s="498"/>
      <c r="E31" s="498"/>
      <c r="F31" s="498"/>
      <c r="G31" s="498"/>
      <c r="H31" s="498"/>
    </row>
    <row r="32" spans="1:11" s="293" customFormat="1" x14ac:dyDescent="0.2">
      <c r="A32" s="101" t="s">
        <v>609</v>
      </c>
      <c r="B32" s="186"/>
      <c r="C32" s="186"/>
      <c r="D32" s="186"/>
      <c r="E32" s="186"/>
      <c r="F32" s="186"/>
      <c r="G32" s="186"/>
      <c r="H32" s="186"/>
    </row>
    <row r="33" spans="1:46" s="293" customFormat="1" x14ac:dyDescent="0.2">
      <c r="A33" s="520" t="str">
        <f>'[2]1-GWNetPos'!A30</f>
        <v>Pension deferrals</v>
      </c>
      <c r="B33" s="186">
        <f>'1-GWNetPos'!D35*0.2</f>
        <v>45152.226000000002</v>
      </c>
      <c r="C33" s="186"/>
      <c r="D33" s="186">
        <f>'1-GWNetPos'!D35*0.8</f>
        <v>180608.90400000001</v>
      </c>
      <c r="E33" s="186"/>
      <c r="F33" s="186">
        <f>SUM(B33:D33)</f>
        <v>225761.13</v>
      </c>
      <c r="G33" s="186"/>
      <c r="H33" s="186">
        <f>0.605*0.02*(121450+(-121450+2874+2313-847+328974-65795+128000-263179-1104)+(-3758-124242-27238-58985-847+13134+386974+47878-2702-77395-9851+83602+125000)+(9547+11501-222756-848+120000-125000))+(0.605*0.02*(155000+81037+5678+124223+50106-120000))+1</f>
        <v>6913.6574000000001</v>
      </c>
      <c r="I33" s="482"/>
      <c r="J33" s="294"/>
    </row>
    <row r="34" spans="1:46" s="293" customFormat="1" x14ac:dyDescent="0.2">
      <c r="A34" s="520" t="s">
        <v>696</v>
      </c>
      <c r="B34" s="186">
        <f>'1-GWNetPos'!D36*0.2</f>
        <v>5103.6000000000004</v>
      </c>
      <c r="C34" s="186"/>
      <c r="D34" s="186">
        <f>'1-GWNetPos'!D36*0.8</f>
        <v>20414.400000000001</v>
      </c>
      <c r="E34" s="186"/>
      <c r="F34" s="186">
        <f>SUM(B34:D34)</f>
        <v>25518</v>
      </c>
      <c r="G34" s="186"/>
      <c r="H34" s="186">
        <f>0.6*0.02*(19588+45000+50)</f>
        <v>775.65600000000006</v>
      </c>
      <c r="J34" s="448"/>
    </row>
    <row r="35" spans="1:46" s="293" customFormat="1" x14ac:dyDescent="0.2">
      <c r="A35" s="520" t="s">
        <v>610</v>
      </c>
      <c r="B35" s="481">
        <v>0</v>
      </c>
      <c r="C35" s="498"/>
      <c r="D35" s="186">
        <v>157614</v>
      </c>
      <c r="E35" s="186"/>
      <c r="F35" s="186">
        <f>SUM(B35:D35)</f>
        <v>157614</v>
      </c>
      <c r="G35" s="186"/>
      <c r="H35" s="481">
        <v>0</v>
      </c>
      <c r="J35" s="294"/>
    </row>
    <row r="36" spans="1:46" s="297" customFormat="1" ht="12.75" customHeight="1" x14ac:dyDescent="0.2">
      <c r="A36" s="296" t="s">
        <v>608</v>
      </c>
      <c r="B36" s="499">
        <f>SUM(B33:B35)</f>
        <v>50255.826000000001</v>
      </c>
      <c r="C36" s="186"/>
      <c r="D36" s="499">
        <f>SUM(D33:D35)</f>
        <v>358637.304</v>
      </c>
      <c r="E36" s="186"/>
      <c r="F36" s="499">
        <f>SUM(F33:F35)-0.1</f>
        <v>408893.03</v>
      </c>
      <c r="G36" s="186"/>
      <c r="H36" s="499">
        <f>SUM(H33:H35)+0.19</f>
        <v>7689.5033999999996</v>
      </c>
      <c r="I36" s="293"/>
      <c r="J36" s="294"/>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row>
    <row r="37" spans="1:46" ht="7.35" customHeight="1" x14ac:dyDescent="0.2">
      <c r="A37" s="296"/>
      <c r="B37" s="420"/>
      <c r="C37" s="422"/>
      <c r="D37" s="420"/>
      <c r="E37" s="422"/>
      <c r="F37" s="420"/>
      <c r="G37" s="422"/>
      <c r="H37" s="420"/>
    </row>
    <row r="38" spans="1:46" x14ac:dyDescent="0.2">
      <c r="A38" s="101" t="s">
        <v>6</v>
      </c>
      <c r="B38" s="420"/>
      <c r="C38" s="422"/>
      <c r="D38" s="420"/>
      <c r="E38" s="422"/>
      <c r="F38" s="420"/>
      <c r="G38" s="422"/>
      <c r="H38" s="420"/>
    </row>
    <row r="39" spans="1:46" x14ac:dyDescent="0.2">
      <c r="A39" t="s">
        <v>46</v>
      </c>
      <c r="B39" s="420"/>
      <c r="C39" s="422"/>
      <c r="D39" s="420"/>
      <c r="E39" s="422"/>
      <c r="F39" s="420"/>
      <c r="G39" s="422"/>
      <c r="H39" s="420"/>
    </row>
    <row r="40" spans="1:46" ht="25.5" x14ac:dyDescent="0.2">
      <c r="A40" s="251" t="s">
        <v>111</v>
      </c>
      <c r="B40" s="420">
        <v>202957</v>
      </c>
      <c r="C40" s="422"/>
      <c r="D40" s="420">
        <f>62010</f>
        <v>62010</v>
      </c>
      <c r="E40" s="422"/>
      <c r="F40" s="420">
        <f t="shared" ref="F40:F47" si="0">SUM(B40:D40)</f>
        <v>264967</v>
      </c>
      <c r="G40" s="422"/>
      <c r="H40" s="420">
        <v>2900</v>
      </c>
      <c r="J40" s="30"/>
    </row>
    <row r="41" spans="1:46" x14ac:dyDescent="0.2">
      <c r="A41" s="520" t="s">
        <v>453</v>
      </c>
      <c r="B41" s="420">
        <v>0</v>
      </c>
      <c r="C41" s="422"/>
      <c r="D41" s="420">
        <v>528</v>
      </c>
      <c r="E41" s="422"/>
      <c r="F41" s="420">
        <f t="shared" si="0"/>
        <v>528</v>
      </c>
      <c r="G41" s="422"/>
      <c r="H41" s="420"/>
      <c r="J41" s="30"/>
    </row>
    <row r="42" spans="1:46" x14ac:dyDescent="0.2">
      <c r="A42" s="33" t="s">
        <v>19</v>
      </c>
      <c r="B42" s="421">
        <v>160</v>
      </c>
      <c r="C42" s="423"/>
      <c r="D42" s="421">
        <f>240+3000</f>
        <v>3240</v>
      </c>
      <c r="E42" s="423"/>
      <c r="F42" s="421">
        <f t="shared" si="0"/>
        <v>3400</v>
      </c>
      <c r="G42" s="423"/>
      <c r="H42" s="420">
        <v>0</v>
      </c>
    </row>
    <row r="43" spans="1:46" x14ac:dyDescent="0.2">
      <c r="A43" s="33" t="s">
        <v>113</v>
      </c>
      <c r="B43" s="422">
        <v>0</v>
      </c>
      <c r="C43" s="422"/>
      <c r="D43" s="422">
        <v>675000</v>
      </c>
      <c r="E43" s="422"/>
      <c r="F43" s="422">
        <f>SUM(B43:D43)</f>
        <v>675000</v>
      </c>
      <c r="G43" s="422"/>
      <c r="H43" s="422">
        <v>0</v>
      </c>
    </row>
    <row r="44" spans="1:46" ht="25.5" x14ac:dyDescent="0.2">
      <c r="A44" s="251" t="s">
        <v>115</v>
      </c>
      <c r="B44" s="420">
        <v>12000</v>
      </c>
      <c r="C44" s="422"/>
      <c r="D44" s="420">
        <v>9000</v>
      </c>
      <c r="E44" s="422"/>
      <c r="F44" s="420">
        <f t="shared" si="0"/>
        <v>21000</v>
      </c>
      <c r="G44" s="422"/>
      <c r="H44" s="420">
        <v>0</v>
      </c>
      <c r="K44" s="232"/>
    </row>
    <row r="45" spans="1:46" x14ac:dyDescent="0.2">
      <c r="A45" s="520" t="s">
        <v>772</v>
      </c>
      <c r="B45" s="420"/>
      <c r="C45" s="422"/>
      <c r="D45" s="420">
        <v>9423</v>
      </c>
      <c r="E45" s="422"/>
      <c r="F45" s="420">
        <f t="shared" si="0"/>
        <v>9423</v>
      </c>
      <c r="G45" s="422"/>
      <c r="H45" s="420">
        <v>0</v>
      </c>
      <c r="K45" s="232"/>
    </row>
    <row r="46" spans="1:46" x14ac:dyDescent="0.2">
      <c r="A46" s="251" t="s">
        <v>532</v>
      </c>
      <c r="B46" s="420">
        <v>0</v>
      </c>
      <c r="C46" s="422"/>
      <c r="D46" s="420">
        <f>401000+48022</f>
        <v>449022</v>
      </c>
      <c r="E46" s="422"/>
      <c r="F46" s="420">
        <f t="shared" si="0"/>
        <v>449022</v>
      </c>
      <c r="G46" s="422"/>
      <c r="H46" s="420">
        <v>0</v>
      </c>
      <c r="K46" s="30"/>
    </row>
    <row r="47" spans="1:46" x14ac:dyDescent="0.2">
      <c r="A47" s="251" t="s">
        <v>112</v>
      </c>
      <c r="B47" s="420">
        <v>0</v>
      </c>
      <c r="C47" s="422"/>
      <c r="D47" s="420">
        <v>34339</v>
      </c>
      <c r="E47" s="422"/>
      <c r="F47" s="420">
        <f t="shared" si="0"/>
        <v>34339</v>
      </c>
      <c r="G47" s="422"/>
      <c r="H47" s="420">
        <v>0</v>
      </c>
      <c r="J47" s="30"/>
      <c r="K47" s="232"/>
    </row>
    <row r="48" spans="1:46" x14ac:dyDescent="0.2">
      <c r="A48" s="251" t="s">
        <v>526</v>
      </c>
      <c r="B48" s="422"/>
      <c r="C48" s="422"/>
      <c r="D48" s="422"/>
      <c r="E48" s="422"/>
      <c r="F48" s="422"/>
      <c r="G48" s="422"/>
      <c r="H48" s="422"/>
    </row>
    <row r="49" spans="1:11" x14ac:dyDescent="0.2">
      <c r="A49" s="4" t="s">
        <v>18</v>
      </c>
      <c r="B49" s="422">
        <v>0</v>
      </c>
      <c r="C49" s="422"/>
      <c r="D49" s="422">
        <v>115557</v>
      </c>
      <c r="E49" s="422"/>
      <c r="F49" s="422">
        <f>SUM(B49:D49)</f>
        <v>115557</v>
      </c>
      <c r="G49" s="422"/>
      <c r="H49" s="422">
        <v>0</v>
      </c>
    </row>
    <row r="50" spans="1:11" x14ac:dyDescent="0.2">
      <c r="A50" s="287" t="s">
        <v>579</v>
      </c>
      <c r="B50" s="420">
        <v>56105</v>
      </c>
      <c r="C50" s="422"/>
      <c r="D50" s="420">
        <v>16930</v>
      </c>
      <c r="E50" s="422"/>
      <c r="F50" s="420">
        <f>SUM(B50:D50)</f>
        <v>73035</v>
      </c>
      <c r="G50" s="422"/>
      <c r="H50" s="420">
        <v>0</v>
      </c>
    </row>
    <row r="51" spans="1:11" x14ac:dyDescent="0.2">
      <c r="A51" s="4" t="s">
        <v>48</v>
      </c>
      <c r="B51" s="424">
        <f>SUM(B40:B50)</f>
        <v>271222</v>
      </c>
      <c r="C51" s="422"/>
      <c r="D51" s="424">
        <f>SUM(D40:D50)</f>
        <v>1375049</v>
      </c>
      <c r="E51" s="422"/>
      <c r="F51" s="424">
        <f>SUM(F40:F50)</f>
        <v>1646271</v>
      </c>
      <c r="G51" s="422"/>
      <c r="H51" s="424">
        <f>SUM(H40:H50)</f>
        <v>2900</v>
      </c>
      <c r="J51" s="30"/>
    </row>
    <row r="52" spans="1:11" ht="7.35" customHeight="1" x14ac:dyDescent="0.2">
      <c r="A52" s="4"/>
      <c r="B52" s="422"/>
      <c r="C52" s="422"/>
      <c r="D52" s="422"/>
      <c r="E52" s="422"/>
      <c r="F52" s="422"/>
      <c r="G52" s="422"/>
      <c r="H52" s="422"/>
    </row>
    <row r="53" spans="1:11" x14ac:dyDescent="0.2">
      <c r="A53" t="s">
        <v>49</v>
      </c>
      <c r="B53" s="422"/>
      <c r="C53" s="422"/>
      <c r="D53" s="422"/>
      <c r="E53" s="422"/>
      <c r="F53" s="422"/>
      <c r="G53" s="422"/>
      <c r="H53" s="422"/>
    </row>
    <row r="54" spans="1:11" x14ac:dyDescent="0.2">
      <c r="A54" s="4" t="s">
        <v>645</v>
      </c>
      <c r="B54" s="421">
        <v>0</v>
      </c>
      <c r="C54" s="423"/>
      <c r="D54" s="421">
        <v>27000</v>
      </c>
      <c r="E54" s="421"/>
      <c r="F54" s="421">
        <f t="shared" ref="F54:F60" si="1">SUM(B54:D54)</f>
        <v>27000</v>
      </c>
      <c r="G54" s="421"/>
      <c r="H54" s="420">
        <v>0</v>
      </c>
      <c r="K54" s="232"/>
    </row>
    <row r="55" spans="1:11" x14ac:dyDescent="0.2">
      <c r="A55" s="4" t="s">
        <v>47</v>
      </c>
      <c r="B55" s="420">
        <f>38200-B44</f>
        <v>26200</v>
      </c>
      <c r="C55" s="420"/>
      <c r="D55" s="420">
        <f>50900-D44</f>
        <v>41900</v>
      </c>
      <c r="E55" s="420"/>
      <c r="F55" s="420">
        <f t="shared" si="1"/>
        <v>68100</v>
      </c>
      <c r="G55" s="420"/>
      <c r="H55" s="420">
        <v>2400</v>
      </c>
      <c r="K55" s="232"/>
    </row>
    <row r="56" spans="1:11" x14ac:dyDescent="0.2">
      <c r="A56" s="4" t="s">
        <v>750</v>
      </c>
      <c r="B56" s="420">
        <v>0</v>
      </c>
      <c r="C56" s="420"/>
      <c r="D56" s="420">
        <v>19416</v>
      </c>
      <c r="E56" s="420"/>
      <c r="F56" s="420">
        <f t="shared" si="1"/>
        <v>19416</v>
      </c>
      <c r="G56" s="420"/>
      <c r="H56" s="420">
        <v>0</v>
      </c>
      <c r="K56" s="232"/>
    </row>
    <row r="57" spans="1:11" x14ac:dyDescent="0.2">
      <c r="A57" s="4" t="s">
        <v>657</v>
      </c>
      <c r="B57" s="449">
        <f>'1-GWNetPos'!$D$52*0.2</f>
        <v>51726.751000000004</v>
      </c>
      <c r="C57" s="449"/>
      <c r="D57" s="449">
        <f>'1-GWNetPos'!$D$52*0.8</f>
        <v>206907.00400000002</v>
      </c>
      <c r="E57" s="449"/>
      <c r="F57" s="421">
        <f t="shared" si="1"/>
        <v>258633.755</v>
      </c>
      <c r="G57" s="421"/>
      <c r="H57" s="484">
        <f>0.02*0.605*'1-GWNetPos'!F52</f>
        <v>7922.6686</v>
      </c>
      <c r="J57" s="463"/>
      <c r="K57" s="232"/>
    </row>
    <row r="58" spans="1:11" x14ac:dyDescent="0.2">
      <c r="A58" s="310" t="s">
        <v>695</v>
      </c>
      <c r="B58" s="449">
        <f>'1-GWNetPos'!D54*0.2</f>
        <v>94588.29700000002</v>
      </c>
      <c r="C58" s="449"/>
      <c r="D58" s="449">
        <f>'1-GWNetPos'!D54*0.8</f>
        <v>378353.18800000008</v>
      </c>
      <c r="E58" s="449"/>
      <c r="F58" s="421">
        <f>SUM(B58:D58)-0.31</f>
        <v>472941.1750000001</v>
      </c>
      <c r="G58" s="421"/>
      <c r="H58" s="485">
        <f>1197321*0.6*0.02</f>
        <v>14367.851999999999</v>
      </c>
      <c r="J58" s="463"/>
      <c r="K58" s="232"/>
    </row>
    <row r="59" spans="1:11" ht="25.5" x14ac:dyDescent="0.2">
      <c r="A59" s="298" t="s">
        <v>611</v>
      </c>
      <c r="B59" s="420">
        <v>0</v>
      </c>
      <c r="C59" s="420"/>
      <c r="D59" s="421">
        <f>2801000-401000+157614-48022</f>
        <v>2509592</v>
      </c>
      <c r="E59" s="423"/>
      <c r="F59" s="421">
        <f t="shared" si="1"/>
        <v>2509592</v>
      </c>
      <c r="G59" s="423"/>
      <c r="H59" s="420">
        <v>0</v>
      </c>
    </row>
    <row r="60" spans="1:11" ht="25.5" x14ac:dyDescent="0.2">
      <c r="A60" s="1" t="s">
        <v>114</v>
      </c>
      <c r="B60" s="425">
        <v>0</v>
      </c>
      <c r="C60" s="422"/>
      <c r="D60" s="425">
        <v>872584</v>
      </c>
      <c r="E60" s="422"/>
      <c r="F60" s="425">
        <f t="shared" si="1"/>
        <v>872584</v>
      </c>
      <c r="G60" s="422"/>
      <c r="H60" s="425">
        <v>0</v>
      </c>
    </row>
    <row r="61" spans="1:11" x14ac:dyDescent="0.2">
      <c r="A61" s="32" t="s">
        <v>50</v>
      </c>
      <c r="B61" s="424">
        <f>SUM(B55:B60)</f>
        <v>172515.04800000001</v>
      </c>
      <c r="C61" s="422"/>
      <c r="D61" s="424">
        <f>SUM(D54:D60)</f>
        <v>4055752.1919999998</v>
      </c>
      <c r="E61" s="422"/>
      <c r="F61" s="424">
        <f>SUM(F54:F60)</f>
        <v>4228266.93</v>
      </c>
      <c r="G61" s="422"/>
      <c r="H61" s="424">
        <f>SUM(H55:H60)</f>
        <v>24690.5206</v>
      </c>
    </row>
    <row r="62" spans="1:11" x14ac:dyDescent="0.2">
      <c r="A62" s="235" t="s">
        <v>7</v>
      </c>
      <c r="B62" s="424">
        <f>+B51+B61</f>
        <v>443737.04800000001</v>
      </c>
      <c r="C62" s="422"/>
      <c r="D62" s="424">
        <f>+D51+D61</f>
        <v>5430801.1919999998</v>
      </c>
      <c r="E62" s="422"/>
      <c r="F62" s="424">
        <f>+F51+F61</f>
        <v>5874537.9299999997</v>
      </c>
      <c r="G62" s="422"/>
      <c r="H62" s="424">
        <f>+H51+H61</f>
        <v>27590.5206</v>
      </c>
      <c r="J62" s="30"/>
    </row>
    <row r="63" spans="1:11" ht="6.75" customHeight="1" x14ac:dyDescent="0.2">
      <c r="A63" s="235"/>
      <c r="B63" s="422"/>
      <c r="C63" s="422"/>
      <c r="D63" s="422"/>
      <c r="E63" s="422"/>
      <c r="F63" s="422"/>
      <c r="G63" s="422"/>
      <c r="H63" s="422"/>
      <c r="J63" s="30"/>
    </row>
    <row r="64" spans="1:11" x14ac:dyDescent="0.2">
      <c r="A64" s="101" t="s">
        <v>594</v>
      </c>
      <c r="B64" s="422"/>
      <c r="C64" s="422"/>
      <c r="D64" s="422"/>
      <c r="E64" s="422"/>
      <c r="F64" s="422"/>
      <c r="G64" s="422"/>
      <c r="H64" s="422"/>
    </row>
    <row r="65" spans="1:11" x14ac:dyDescent="0.2">
      <c r="A65" s="1" t="s">
        <v>635</v>
      </c>
      <c r="B65" s="423">
        <f>'1-GWNetPos'!$D$62*0.2</f>
        <v>1083.0109999999991</v>
      </c>
      <c r="C65" s="423"/>
      <c r="D65" s="423">
        <f>'1-GWNetPos'!$D$62*0.8</f>
        <v>4332.0439999999962</v>
      </c>
      <c r="E65" s="423"/>
      <c r="F65" s="423">
        <f>SUM(B65:D65)</f>
        <v>5415.0549999999948</v>
      </c>
      <c r="G65" s="423"/>
      <c r="H65" s="423">
        <f>0.605*0.02/0.395*'1-GWNetPos'!D62</f>
        <v>165.87889999999985</v>
      </c>
      <c r="J65" s="463"/>
    </row>
    <row r="66" spans="1:11" x14ac:dyDescent="0.2">
      <c r="A66" s="298" t="s">
        <v>696</v>
      </c>
      <c r="B66" s="423">
        <f>'1-GWNetPos'!D63*0.2</f>
        <v>478.97700000000009</v>
      </c>
      <c r="C66" s="423"/>
      <c r="D66" s="423">
        <f>'1-GWNetPos'!D63*0.8</f>
        <v>1915.9080000000004</v>
      </c>
      <c r="E66" s="423"/>
      <c r="F66" s="423">
        <f>SUM(B66:D66)</f>
        <v>2394.8850000000002</v>
      </c>
      <c r="G66" s="423"/>
      <c r="H66" s="423">
        <f>0.6*0.02*(6063)</f>
        <v>72.756</v>
      </c>
      <c r="J66" s="463"/>
    </row>
    <row r="67" spans="1:11" x14ac:dyDescent="0.2">
      <c r="A67" s="298" t="s">
        <v>742</v>
      </c>
      <c r="B67" s="423">
        <v>0</v>
      </c>
      <c r="C67" s="423"/>
      <c r="D67" s="423">
        <v>51321</v>
      </c>
      <c r="E67" s="423"/>
      <c r="F67" s="423">
        <f>SUM(B67:D67)</f>
        <v>51321</v>
      </c>
      <c r="G67" s="423"/>
      <c r="H67" s="423">
        <v>0</v>
      </c>
      <c r="J67" s="463"/>
    </row>
    <row r="68" spans="1:11" x14ac:dyDescent="0.2">
      <c r="A68" s="514" t="s">
        <v>595</v>
      </c>
      <c r="B68" s="429">
        <f>SUM(B65:B67)</f>
        <v>1561.9879999999991</v>
      </c>
      <c r="C68" s="423"/>
      <c r="D68" s="429">
        <f>SUM(D65:D67)</f>
        <v>57568.951999999997</v>
      </c>
      <c r="E68" s="423"/>
      <c r="F68" s="429">
        <f>SUM(F65:F67)</f>
        <v>59130.939999999995</v>
      </c>
      <c r="G68" s="423"/>
      <c r="H68" s="429">
        <f>SUM(H65:H67)</f>
        <v>238.63489999999985</v>
      </c>
      <c r="J68" s="463"/>
    </row>
    <row r="69" spans="1:11" ht="7.35" customHeight="1" x14ac:dyDescent="0.2">
      <c r="B69" s="420"/>
      <c r="C69" s="422"/>
      <c r="D69" s="420"/>
      <c r="E69" s="422"/>
      <c r="F69" s="423"/>
      <c r="G69" s="423"/>
      <c r="H69" s="420"/>
    </row>
    <row r="70" spans="1:11" x14ac:dyDescent="0.2">
      <c r="A70" s="101" t="s">
        <v>596</v>
      </c>
      <c r="B70" s="420"/>
      <c r="C70" s="422"/>
      <c r="D70" s="420"/>
      <c r="E70" s="422"/>
      <c r="F70" s="420"/>
      <c r="G70" s="422"/>
      <c r="H70" s="420"/>
      <c r="K70" s="434"/>
    </row>
    <row r="71" spans="1:11" x14ac:dyDescent="0.2">
      <c r="A71" s="230" t="s">
        <v>607</v>
      </c>
      <c r="B71" s="420">
        <v>997672</v>
      </c>
      <c r="C71" s="422"/>
      <c r="D71" s="420">
        <f>12588296-2958614-675000-906923-28839+1658125</f>
        <v>9677045</v>
      </c>
      <c r="E71" s="422"/>
      <c r="F71" s="420">
        <f>SUM(B71:D71)</f>
        <v>10674717</v>
      </c>
      <c r="G71" s="422"/>
      <c r="H71" s="420">
        <v>0</v>
      </c>
      <c r="K71" s="232"/>
    </row>
    <row r="72" spans="1:11" x14ac:dyDescent="0.2">
      <c r="A72" s="230" t="s">
        <v>664</v>
      </c>
      <c r="B72" s="420">
        <v>0</v>
      </c>
      <c r="C72" s="422"/>
      <c r="D72" s="420">
        <v>109725</v>
      </c>
      <c r="E72" s="422"/>
      <c r="F72" s="422">
        <f>SUM(B72:D72)</f>
        <v>109725</v>
      </c>
      <c r="G72" s="422"/>
      <c r="H72" s="420">
        <v>0</v>
      </c>
      <c r="K72" s="232"/>
    </row>
    <row r="73" spans="1:11" x14ac:dyDescent="0.2">
      <c r="A73" s="230" t="s">
        <v>51</v>
      </c>
      <c r="B73" s="431">
        <f>B30+B36-B62-B65-B66-B71</f>
        <v>18083.8400000002</v>
      </c>
      <c r="C73" s="423"/>
      <c r="D73" s="431">
        <f>D30+D36-D62-D65-D66-D67-D71-D72</f>
        <v>-245576.6400000006</v>
      </c>
      <c r="E73" s="423"/>
      <c r="F73" s="425">
        <f>SUM(B73:D73)-0.2</f>
        <v>-227493.00000000041</v>
      </c>
      <c r="G73" s="422"/>
      <c r="H73" s="425">
        <f>+H30-H62-H71+H36-H65-H66</f>
        <v>32704.247899999995</v>
      </c>
      <c r="J73" s="232">
        <f>205118-18066</f>
        <v>187052</v>
      </c>
      <c r="K73" s="232"/>
    </row>
    <row r="74" spans="1:11" ht="13.5" thickBot="1" x14ac:dyDescent="0.25">
      <c r="A74" s="230" t="s">
        <v>597</v>
      </c>
      <c r="B74" s="283">
        <f>SUM(B71:B73)</f>
        <v>1015755.8400000002</v>
      </c>
      <c r="C74" s="443"/>
      <c r="D74" s="283">
        <f>SUM(D71:D73)</f>
        <v>9541193.3599999994</v>
      </c>
      <c r="E74" s="443"/>
      <c r="F74" s="30">
        <f>SUM(F71:F73)-0.2</f>
        <v>10556948.800000001</v>
      </c>
      <c r="G74" s="30"/>
      <c r="H74" s="283">
        <f>SUM(H71:H73)</f>
        <v>32704.247899999995</v>
      </c>
      <c r="J74" s="30"/>
      <c r="K74" s="232"/>
    </row>
    <row r="75" spans="1:11" ht="7.35" customHeight="1" thickTop="1" x14ac:dyDescent="0.2">
      <c r="A75" s="231"/>
      <c r="F75" s="30"/>
      <c r="G75" s="30"/>
    </row>
    <row r="76" spans="1:11" ht="25.15" customHeight="1" x14ac:dyDescent="0.2">
      <c r="A76" s="816" t="s">
        <v>445</v>
      </c>
      <c r="B76" s="816"/>
      <c r="C76" s="816"/>
      <c r="D76" s="816"/>
      <c r="E76" s="241"/>
      <c r="F76" s="425">
        <v>300</v>
      </c>
      <c r="G76" s="422"/>
      <c r="J76" s="434"/>
      <c r="K76" s="232"/>
    </row>
    <row r="77" spans="1:11" ht="13.5" thickBot="1" x14ac:dyDescent="0.25">
      <c r="A77" s="19" t="s">
        <v>599</v>
      </c>
      <c r="B77" s="401"/>
      <c r="C77" s="401"/>
      <c r="D77" s="401"/>
      <c r="E77" s="401"/>
      <c r="F77" s="446">
        <f>+F74+F76</f>
        <v>10557248.800000001</v>
      </c>
      <c r="G77" s="443"/>
      <c r="I77" s="232"/>
      <c r="J77" s="232"/>
    </row>
    <row r="78" spans="1:11" ht="10.5" customHeight="1" thickTop="1" thickBot="1" x14ac:dyDescent="0.25">
      <c r="A78" s="19"/>
      <c r="B78" s="434"/>
      <c r="C78" s="434"/>
      <c r="D78" s="434"/>
      <c r="E78" s="434"/>
      <c r="F78" s="443"/>
      <c r="G78" s="443"/>
      <c r="J78" s="232"/>
    </row>
    <row r="79" spans="1:11" ht="64.5" customHeight="1" thickBot="1" x14ac:dyDescent="0.25">
      <c r="A79" s="817" t="s">
        <v>628</v>
      </c>
      <c r="B79" s="818"/>
      <c r="C79" s="818"/>
      <c r="D79" s="818"/>
      <c r="E79" s="818"/>
      <c r="F79" s="818"/>
      <c r="G79" s="818"/>
      <c r="H79" s="819"/>
      <c r="I79" s="406"/>
    </row>
    <row r="80" spans="1:11" ht="9.75" customHeight="1" x14ac:dyDescent="0.2">
      <c r="I80" s="406"/>
    </row>
    <row r="81" spans="1:7" x14ac:dyDescent="0.2">
      <c r="A81" t="s">
        <v>8</v>
      </c>
    </row>
    <row r="84" spans="1:7" x14ac:dyDescent="0.2">
      <c r="B84" s="232">
        <f>B74-'7-Rev, Exp-Prop'!B45</f>
        <v>19.465000000200234</v>
      </c>
      <c r="C84" s="232"/>
      <c r="D84" s="232">
        <f>D74-'7-Rev, Exp-Prop'!D45</f>
        <v>80.859999999403954</v>
      </c>
      <c r="E84" s="232"/>
      <c r="F84" s="232">
        <f>F30+F36-F62-F68</f>
        <v>10556949.41</v>
      </c>
      <c r="G84" s="232"/>
    </row>
    <row r="86" spans="1:7" x14ac:dyDescent="0.2">
      <c r="B86" s="232">
        <f>B74-'7-Rev, Exp-Prop'!B45</f>
        <v>19.465000000200234</v>
      </c>
      <c r="C86" s="232"/>
    </row>
  </sheetData>
  <sheetProtection selectLockedCells="1" selectUnlockedCells="1"/>
  <mergeCells count="7">
    <mergeCell ref="A76:D76"/>
    <mergeCell ref="A79:H79"/>
    <mergeCell ref="A1:H1"/>
    <mergeCell ref="A2:H2"/>
    <mergeCell ref="A3:H3"/>
    <mergeCell ref="A4:H4"/>
    <mergeCell ref="B7:F7"/>
  </mergeCells>
  <printOptions horizontalCentered="1"/>
  <pageMargins left="0.7" right="0.7" top="0.5" bottom="0.5" header="0.3" footer="0.3"/>
  <pageSetup scale="64"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pageSetUpPr fitToPage="1"/>
  </sheetPr>
  <dimension ref="A1:N55"/>
  <sheetViews>
    <sheetView topLeftCell="A26" workbookViewId="0">
      <selection activeCell="A5" sqref="A5"/>
    </sheetView>
  </sheetViews>
  <sheetFormatPr defaultColWidth="9.140625" defaultRowHeight="12.75" x14ac:dyDescent="0.2"/>
  <cols>
    <col min="1" max="1" width="39.28515625" customWidth="1"/>
    <col min="2" max="2" width="13" customWidth="1"/>
    <col min="3" max="3" width="1.28515625" customWidth="1"/>
    <col min="4" max="4" width="13" customWidth="1"/>
    <col min="5" max="5" width="1.28515625" customWidth="1"/>
    <col min="6" max="6" width="13" customWidth="1"/>
    <col min="7" max="7" width="1.28515625" customWidth="1"/>
    <col min="8" max="8" width="13" customWidth="1"/>
    <col min="9" max="9" width="13.7109375" customWidth="1"/>
    <col min="10" max="10" width="12.85546875" bestFit="1" customWidth="1"/>
    <col min="11" max="11" width="12.140625" customWidth="1"/>
    <col min="12" max="12" width="12.42578125" bestFit="1" customWidth="1"/>
    <col min="14" max="14" width="11.28515625" bestFit="1" customWidth="1"/>
  </cols>
  <sheetData>
    <row r="1" spans="1:11" x14ac:dyDescent="0.2">
      <c r="A1" s="777" t="s">
        <v>0</v>
      </c>
      <c r="B1" s="777"/>
      <c r="C1" s="777"/>
      <c r="D1" s="777"/>
      <c r="E1" s="777"/>
      <c r="F1" s="777"/>
      <c r="G1" s="777"/>
      <c r="H1" s="777"/>
    </row>
    <row r="2" spans="1:11" s="19" customFormat="1" x14ac:dyDescent="0.2">
      <c r="A2" s="777" t="s">
        <v>593</v>
      </c>
      <c r="B2" s="777"/>
      <c r="C2" s="777"/>
      <c r="D2" s="777"/>
      <c r="E2" s="777"/>
      <c r="F2" s="777"/>
      <c r="G2" s="777"/>
      <c r="H2" s="777"/>
    </row>
    <row r="3" spans="1:11" x14ac:dyDescent="0.2">
      <c r="A3" s="777" t="s">
        <v>41</v>
      </c>
      <c r="B3" s="777"/>
      <c r="C3" s="777"/>
      <c r="D3" s="777"/>
      <c r="E3" s="777"/>
      <c r="F3" s="777"/>
      <c r="G3" s="777"/>
      <c r="H3" s="777"/>
    </row>
    <row r="4" spans="1:11" s="19" customFormat="1" x14ac:dyDescent="0.2">
      <c r="A4" s="781" t="s">
        <v>783</v>
      </c>
      <c r="B4" s="777"/>
      <c r="C4" s="777"/>
      <c r="D4" s="777"/>
      <c r="E4" s="777"/>
      <c r="F4" s="777"/>
      <c r="G4" s="777"/>
      <c r="H4" s="777"/>
    </row>
    <row r="5" spans="1:11" s="19" customFormat="1" x14ac:dyDescent="0.2">
      <c r="A5" s="590"/>
      <c r="B5" s="228"/>
      <c r="C5" s="228"/>
      <c r="D5" s="228"/>
      <c r="E5" s="228"/>
      <c r="F5" s="228"/>
      <c r="G5" s="228"/>
      <c r="H5" s="55" t="s">
        <v>52</v>
      </c>
    </row>
    <row r="6" spans="1:11" ht="13.5" thickBot="1" x14ac:dyDescent="0.25">
      <c r="A6" s="618"/>
      <c r="B6" s="618"/>
      <c r="C6" s="618"/>
      <c r="D6" s="618"/>
      <c r="E6" s="618"/>
      <c r="F6" s="618"/>
      <c r="G6" s="618"/>
      <c r="H6" s="618"/>
    </row>
    <row r="7" spans="1:11" x14ac:dyDescent="0.2">
      <c r="B7" s="779" t="s">
        <v>503</v>
      </c>
      <c r="C7" s="779"/>
      <c r="D7" s="779"/>
      <c r="E7" s="779"/>
      <c r="F7" s="779"/>
      <c r="G7" s="228"/>
    </row>
    <row r="8" spans="1:11" ht="25.5" x14ac:dyDescent="0.2">
      <c r="B8" s="54" t="s">
        <v>78</v>
      </c>
      <c r="C8" s="594"/>
      <c r="D8" s="54" t="s">
        <v>81</v>
      </c>
      <c r="E8" s="594"/>
      <c r="F8" s="54" t="s">
        <v>1</v>
      </c>
      <c r="G8" s="594"/>
      <c r="H8" s="54" t="s">
        <v>82</v>
      </c>
    </row>
    <row r="9" spans="1:11" x14ac:dyDescent="0.2">
      <c r="A9" s="101" t="s">
        <v>53</v>
      </c>
    </row>
    <row r="10" spans="1:11" x14ac:dyDescent="0.2">
      <c r="A10" s="33" t="s">
        <v>28</v>
      </c>
      <c r="B10" s="443">
        <v>2821645</v>
      </c>
      <c r="C10" s="443"/>
      <c r="D10" s="443">
        <f>1116554+185000+30000+160000+40000</f>
        <v>1531554</v>
      </c>
      <c r="E10" s="443"/>
      <c r="F10" s="443">
        <f>SUM(B10:D10)</f>
        <v>4353199</v>
      </c>
      <c r="G10" s="443"/>
      <c r="H10" s="467">
        <f>31930+600+400</f>
        <v>32930</v>
      </c>
      <c r="J10" s="232"/>
    </row>
    <row r="11" spans="1:11" x14ac:dyDescent="0.2">
      <c r="A11" s="33" t="s">
        <v>83</v>
      </c>
      <c r="B11" s="422">
        <v>0</v>
      </c>
      <c r="C11" s="422"/>
      <c r="D11" s="422">
        <v>12100</v>
      </c>
      <c r="E11" s="422"/>
      <c r="F11" s="422">
        <f>SUM(B11:D11)</f>
        <v>12100</v>
      </c>
      <c r="G11" s="422"/>
      <c r="H11" s="422">
        <v>0</v>
      </c>
    </row>
    <row r="12" spans="1:11" x14ac:dyDescent="0.2">
      <c r="A12" s="33" t="s">
        <v>84</v>
      </c>
      <c r="B12" s="425">
        <v>11524</v>
      </c>
      <c r="C12" s="422"/>
      <c r="D12" s="425">
        <v>630</v>
      </c>
      <c r="E12" s="422"/>
      <c r="F12" s="425">
        <f>SUM(B12:D12)</f>
        <v>12154</v>
      </c>
      <c r="G12" s="422"/>
      <c r="H12" s="425">
        <v>0</v>
      </c>
    </row>
    <row r="13" spans="1:11" x14ac:dyDescent="0.2">
      <c r="A13" s="101" t="s">
        <v>54</v>
      </c>
      <c r="B13" s="424">
        <f>SUM(B10:B12)</f>
        <v>2833169</v>
      </c>
      <c r="C13" s="422"/>
      <c r="D13" s="424">
        <f>SUM(D10:D12)</f>
        <v>1544284</v>
      </c>
      <c r="E13" s="422"/>
      <c r="F13" s="424">
        <f>SUM(F10:F12)</f>
        <v>4377453</v>
      </c>
      <c r="G13" s="422"/>
      <c r="H13" s="424">
        <f>SUM(H10:H12)</f>
        <v>32930</v>
      </c>
    </row>
    <row r="14" spans="1:11" x14ac:dyDescent="0.2">
      <c r="A14" s="33"/>
      <c r="B14" s="422"/>
      <c r="C14" s="422"/>
      <c r="D14" s="422"/>
      <c r="E14" s="422"/>
      <c r="F14" s="422"/>
      <c r="G14" s="422"/>
      <c r="H14" s="422"/>
    </row>
    <row r="15" spans="1:11" x14ac:dyDescent="0.2">
      <c r="A15" s="101" t="s">
        <v>55</v>
      </c>
      <c r="B15" s="420"/>
      <c r="C15" s="422"/>
      <c r="D15" s="420"/>
      <c r="E15" s="422"/>
      <c r="F15" s="420"/>
      <c r="G15" s="422"/>
      <c r="H15" s="420"/>
      <c r="K15" s="19"/>
    </row>
    <row r="16" spans="1:11" x14ac:dyDescent="0.2">
      <c r="A16" s="33" t="s">
        <v>85</v>
      </c>
      <c r="B16" s="421">
        <f>51455+6392+770+(70637*0.395*0.2)-9752*0.395*0.2+(3758-39061-810+89949+97395)*0.395*0.2-0.395*0.2*70638+(0.395*0.2*(-151231+119484))+83840*0.395*0.2-6392+(0.395*0.2*(155000+155804-155000))</f>
        <v>79825.625</v>
      </c>
      <c r="C16" s="423"/>
      <c r="D16" s="421">
        <f>143922+17577+100000+3082+(70637*0.395*0.8)-9752*0.395*0.8+1-70638*0.8*0.395+(3758-39061-810+89949+97395)*0.395*0.8+(0.395*0.8*(-151231+119484))+83840*0.395*0.8-17577+(0.395*0.8*(155000+155804-155000))-1</f>
        <v>357406.5</v>
      </c>
      <c r="E16" s="423"/>
      <c r="F16" s="420">
        <f>SUM(B16:D16)+0.38</f>
        <v>437232.505</v>
      </c>
      <c r="G16" s="422"/>
      <c r="H16" s="420">
        <v>0</v>
      </c>
      <c r="I16" s="401"/>
    </row>
    <row r="17" spans="1:10" x14ac:dyDescent="0.2">
      <c r="A17" s="33" t="s">
        <v>86</v>
      </c>
      <c r="B17" s="420">
        <v>54323</v>
      </c>
      <c r="C17" s="422"/>
      <c r="D17" s="421">
        <f>30996+50000</f>
        <v>80996</v>
      </c>
      <c r="E17" s="423"/>
      <c r="F17" s="420">
        <f t="shared" ref="F17:F23" si="0">SUM(B17:D17)</f>
        <v>135319</v>
      </c>
      <c r="G17" s="422"/>
      <c r="H17" s="420">
        <v>0</v>
      </c>
      <c r="I17" s="401"/>
    </row>
    <row r="18" spans="1:10" x14ac:dyDescent="0.2">
      <c r="A18" s="33" t="s">
        <v>87</v>
      </c>
      <c r="B18" s="420">
        <f>159274-5986</f>
        <v>153288</v>
      </c>
      <c r="C18" s="422"/>
      <c r="D18" s="420">
        <v>0</v>
      </c>
      <c r="E18" s="422"/>
      <c r="F18" s="420">
        <f t="shared" si="0"/>
        <v>153288</v>
      </c>
      <c r="G18" s="422"/>
      <c r="H18" s="420">
        <v>0</v>
      </c>
    </row>
    <row r="19" spans="1:10" x14ac:dyDescent="0.2">
      <c r="A19" s="33" t="s">
        <v>88</v>
      </c>
      <c r="B19" s="420">
        <v>2379120</v>
      </c>
      <c r="C19" s="422"/>
      <c r="D19" s="420">
        <v>0</v>
      </c>
      <c r="E19" s="422"/>
      <c r="F19" s="420">
        <f t="shared" si="0"/>
        <v>2379120</v>
      </c>
      <c r="G19" s="422"/>
      <c r="H19" s="420">
        <v>0</v>
      </c>
    </row>
    <row r="20" spans="1:10" x14ac:dyDescent="0.2">
      <c r="A20" s="33" t="s">
        <v>89</v>
      </c>
      <c r="B20" s="420">
        <v>0</v>
      </c>
      <c r="C20" s="422"/>
      <c r="D20" s="421">
        <f>129744+16843+50000+50000+40000</f>
        <v>286587</v>
      </c>
      <c r="E20" s="423"/>
      <c r="F20" s="420">
        <f t="shared" si="0"/>
        <v>286587</v>
      </c>
      <c r="G20" s="422"/>
      <c r="H20" s="420">
        <v>0</v>
      </c>
      <c r="J20" s="30"/>
    </row>
    <row r="21" spans="1:10" x14ac:dyDescent="0.2">
      <c r="A21" s="33" t="s">
        <v>90</v>
      </c>
      <c r="B21" s="420">
        <v>0</v>
      </c>
      <c r="C21" s="422"/>
      <c r="D21" s="421">
        <f>56353+10000+50000+50000+25000</f>
        <v>191353</v>
      </c>
      <c r="E21" s="423"/>
      <c r="F21" s="420">
        <f t="shared" si="0"/>
        <v>191353</v>
      </c>
      <c r="G21" s="422"/>
      <c r="H21" s="420">
        <v>0</v>
      </c>
      <c r="J21" s="30"/>
    </row>
    <row r="22" spans="1:10" x14ac:dyDescent="0.2">
      <c r="A22" s="33" t="s">
        <v>93</v>
      </c>
      <c r="B22" s="420">
        <v>0</v>
      </c>
      <c r="C22" s="422"/>
      <c r="D22" s="420">
        <v>0</v>
      </c>
      <c r="E22" s="422"/>
      <c r="F22" s="420">
        <f>SUM(B22:D22)</f>
        <v>0</v>
      </c>
      <c r="G22" s="422"/>
      <c r="H22" s="421">
        <f>24800+434+0.6*0.02*(1018-1981-104148+114863)-9752*0.6*0.02+70638*0.6*0.02-70638*0.6*0.02+(3758-39061-810+89949+97395)*0.6*0.02+(119484-151231)*0.6*0.02+0.6*0.02*83840+(0.605*0.02*155000)+(0.605*0.02*(190762-(154958-120000)))-(0.605*0.02*155000)+8</f>
        <v>29567.116400000003</v>
      </c>
    </row>
    <row r="23" spans="1:10" x14ac:dyDescent="0.2">
      <c r="A23" s="33" t="s">
        <v>752</v>
      </c>
      <c r="B23" s="425">
        <v>178273</v>
      </c>
      <c r="C23" s="422"/>
      <c r="D23" s="425">
        <f>251204+9431</f>
        <v>260635</v>
      </c>
      <c r="E23" s="422"/>
      <c r="F23" s="425">
        <f t="shared" si="0"/>
        <v>438908</v>
      </c>
      <c r="G23" s="422"/>
      <c r="H23" s="425">
        <f>290+2076+2400+1</f>
        <v>4767</v>
      </c>
      <c r="J23" s="30"/>
    </row>
    <row r="24" spans="1:10" x14ac:dyDescent="0.2">
      <c r="A24" s="101" t="s">
        <v>483</v>
      </c>
      <c r="B24" s="424">
        <f>SUM(B16:B23)</f>
        <v>2844829.625</v>
      </c>
      <c r="C24" s="422"/>
      <c r="D24" s="424">
        <f>SUM(D16:D23)</f>
        <v>1176977.5</v>
      </c>
      <c r="E24" s="422"/>
      <c r="F24" s="424">
        <f>SUM(F16:F23)</f>
        <v>4021807.5049999999</v>
      </c>
      <c r="G24" s="422"/>
      <c r="H24" s="424">
        <f>SUM(H16:H23)</f>
        <v>34334.116399999999</v>
      </c>
      <c r="I24" s="30"/>
      <c r="J24" s="422"/>
    </row>
    <row r="25" spans="1:10" x14ac:dyDescent="0.2">
      <c r="A25" s="101"/>
      <c r="B25" s="422"/>
      <c r="C25" s="422"/>
      <c r="D25" s="422"/>
      <c r="E25" s="422"/>
      <c r="F25" s="422"/>
      <c r="G25" s="422"/>
      <c r="H25" s="422"/>
    </row>
    <row r="26" spans="1:10" x14ac:dyDescent="0.2">
      <c r="A26" s="101" t="s">
        <v>57</v>
      </c>
      <c r="B26" s="425">
        <f>+B13-B24</f>
        <v>-11660.625</v>
      </c>
      <c r="C26" s="422"/>
      <c r="D26" s="425">
        <f>+D13-D24-1</f>
        <v>367305.5</v>
      </c>
      <c r="E26" s="422"/>
      <c r="F26" s="425">
        <f>+F13-F24</f>
        <v>355645.49500000011</v>
      </c>
      <c r="G26" s="422"/>
      <c r="H26" s="425">
        <f>+H13-H24</f>
        <v>-1404.116399999999</v>
      </c>
    </row>
    <row r="27" spans="1:10" x14ac:dyDescent="0.2">
      <c r="B27" s="420"/>
      <c r="C27" s="422"/>
      <c r="D27" s="420"/>
      <c r="E27" s="422"/>
      <c r="F27" s="420"/>
      <c r="G27" s="422"/>
      <c r="H27" s="420"/>
    </row>
    <row r="28" spans="1:10" x14ac:dyDescent="0.2">
      <c r="A28" s="101" t="s">
        <v>58</v>
      </c>
      <c r="B28" s="420"/>
      <c r="C28" s="422"/>
      <c r="D28" s="420"/>
      <c r="E28" s="422"/>
      <c r="F28" s="420"/>
      <c r="G28" s="422"/>
      <c r="H28" s="420"/>
    </row>
    <row r="29" spans="1:10" x14ac:dyDescent="0.2">
      <c r="A29" s="251" t="s">
        <v>744</v>
      </c>
      <c r="B29" s="420">
        <v>0</v>
      </c>
      <c r="C29" s="422"/>
      <c r="D29" s="420">
        <v>12830</v>
      </c>
      <c r="E29" s="422"/>
      <c r="F29" s="420">
        <f>SUM(B29:D29)</f>
        <v>12830</v>
      </c>
      <c r="G29" s="422"/>
      <c r="H29" s="420">
        <v>0</v>
      </c>
    </row>
    <row r="30" spans="1:10" x14ac:dyDescent="0.2">
      <c r="A30" s="251" t="s">
        <v>29</v>
      </c>
      <c r="B30" s="420">
        <v>1228</v>
      </c>
      <c r="C30" s="422"/>
      <c r="D30" s="420">
        <f>38122+868</f>
        <v>38990</v>
      </c>
      <c r="E30" s="422"/>
      <c r="F30" s="420">
        <f>SUM(B30:D30)</f>
        <v>40218</v>
      </c>
      <c r="G30" s="422"/>
      <c r="H30" s="420">
        <v>700</v>
      </c>
    </row>
    <row r="31" spans="1:10" x14ac:dyDescent="0.2">
      <c r="A31" s="251" t="s">
        <v>35</v>
      </c>
      <c r="B31" s="420">
        <v>0</v>
      </c>
      <c r="C31" s="422"/>
      <c r="D31" s="420">
        <f>-78386-762+169</f>
        <v>-78979</v>
      </c>
      <c r="E31" s="422"/>
      <c r="F31" s="420">
        <f>SUM(B31:D31)</f>
        <v>-78979</v>
      </c>
      <c r="G31" s="422"/>
      <c r="H31" s="420">
        <v>0</v>
      </c>
    </row>
    <row r="32" spans="1:10" x14ac:dyDescent="0.2">
      <c r="A32" s="251" t="s">
        <v>91</v>
      </c>
      <c r="B32" s="420">
        <v>0</v>
      </c>
      <c r="C32" s="422"/>
      <c r="D32" s="420">
        <v>-10000</v>
      </c>
      <c r="E32" s="422"/>
      <c r="F32" s="420">
        <f>SUM(B32:D32)</f>
        <v>-10000</v>
      </c>
      <c r="G32" s="422"/>
      <c r="H32" s="420">
        <v>0</v>
      </c>
    </row>
    <row r="33" spans="1:14" x14ac:dyDescent="0.2">
      <c r="A33" s="229" t="s">
        <v>59</v>
      </c>
      <c r="B33" s="424">
        <f>SUM(B29:B32)</f>
        <v>1228</v>
      </c>
      <c r="C33" s="422"/>
      <c r="D33" s="424">
        <f>SUM(D29:D32)</f>
        <v>-37159</v>
      </c>
      <c r="E33" s="422"/>
      <c r="F33" s="424">
        <f>SUM(F29:F32)</f>
        <v>-35931</v>
      </c>
      <c r="G33" s="422"/>
      <c r="H33" s="424">
        <f>SUM(H29:H32)</f>
        <v>700</v>
      </c>
    </row>
    <row r="34" spans="1:14" x14ac:dyDescent="0.2">
      <c r="A34" s="229"/>
      <c r="B34" s="422"/>
      <c r="C34" s="422"/>
      <c r="D34" s="422"/>
      <c r="E34" s="422"/>
      <c r="F34" s="422"/>
      <c r="G34" s="422"/>
      <c r="H34" s="422"/>
      <c r="K34" s="232"/>
    </row>
    <row r="35" spans="1:14" ht="25.5" x14ac:dyDescent="0.2">
      <c r="A35" s="229" t="s">
        <v>60</v>
      </c>
      <c r="B35" s="420">
        <f>+B26+B33</f>
        <v>-10432.625</v>
      </c>
      <c r="C35" s="422"/>
      <c r="D35" s="420">
        <f>+D26+D33</f>
        <v>330146.5</v>
      </c>
      <c r="E35" s="420"/>
      <c r="F35" s="420">
        <f>+F26+F33</f>
        <v>319714.49500000011</v>
      </c>
      <c r="G35" s="420"/>
      <c r="H35" s="420">
        <f>+H26+H33</f>
        <v>-704.11639999999898</v>
      </c>
    </row>
    <row r="36" spans="1:14" x14ac:dyDescent="0.2">
      <c r="A36" s="229"/>
      <c r="B36" s="420"/>
      <c r="C36" s="422"/>
      <c r="D36" s="420"/>
      <c r="E36" s="420"/>
      <c r="F36" s="420"/>
      <c r="G36" s="422"/>
      <c r="H36" s="420"/>
    </row>
    <row r="37" spans="1:14" x14ac:dyDescent="0.2">
      <c r="A37" s="251" t="s">
        <v>61</v>
      </c>
      <c r="B37" s="420">
        <v>0</v>
      </c>
      <c r="C37" s="422"/>
      <c r="D37" s="420">
        <f>57948+70000</f>
        <v>127948</v>
      </c>
      <c r="E37" s="420"/>
      <c r="F37" s="420">
        <f>SUM(B37:D37)</f>
        <v>127948</v>
      </c>
      <c r="G37" s="422"/>
      <c r="H37" s="420">
        <v>0</v>
      </c>
    </row>
    <row r="38" spans="1:14" ht="25.5" x14ac:dyDescent="0.2">
      <c r="A38" s="251" t="s">
        <v>513</v>
      </c>
      <c r="B38" s="420">
        <v>0</v>
      </c>
      <c r="C38" s="422"/>
      <c r="D38" s="420">
        <v>1281046</v>
      </c>
      <c r="E38" s="422"/>
      <c r="F38" s="420">
        <f>SUM(B38:D38)</f>
        <v>1281046</v>
      </c>
      <c r="G38" s="422"/>
      <c r="H38" s="420">
        <v>0</v>
      </c>
    </row>
    <row r="39" spans="1:14" x14ac:dyDescent="0.2">
      <c r="A39" s="251" t="s">
        <v>460</v>
      </c>
      <c r="B39" s="420">
        <v>0</v>
      </c>
      <c r="C39" s="422"/>
      <c r="D39" s="420">
        <v>97400</v>
      </c>
      <c r="E39" s="422"/>
      <c r="F39" s="420">
        <f>SUM(B39:D39)</f>
        <v>97400</v>
      </c>
      <c r="G39" s="422"/>
      <c r="H39" s="420">
        <v>0</v>
      </c>
    </row>
    <row r="40" spans="1:14" x14ac:dyDescent="0.2">
      <c r="A40" s="251" t="s">
        <v>461</v>
      </c>
      <c r="B40" s="425">
        <v>-5986</v>
      </c>
      <c r="C40" s="422"/>
      <c r="D40" s="425">
        <v>-4827</v>
      </c>
      <c r="E40" s="422"/>
      <c r="F40" s="425">
        <f>SUM(B40:D40)</f>
        <v>-10813</v>
      </c>
      <c r="G40" s="422"/>
      <c r="H40" s="425">
        <v>0</v>
      </c>
      <c r="J40" s="368"/>
    </row>
    <row r="41" spans="1:14" s="293" customFormat="1" x14ac:dyDescent="0.2">
      <c r="A41" s="229" t="s">
        <v>600</v>
      </c>
      <c r="B41" s="421">
        <f>B35+B40</f>
        <v>-16418.625</v>
      </c>
      <c r="C41" s="423"/>
      <c r="D41" s="421">
        <f>D35+D37+D38+D39+D40</f>
        <v>1831713.5</v>
      </c>
      <c r="E41" s="423"/>
      <c r="F41" s="421">
        <f>F35+F37+F38+F39+F40</f>
        <v>1815295.4950000001</v>
      </c>
      <c r="G41" s="423"/>
      <c r="H41" s="421">
        <f>SUM(H35:H40)</f>
        <v>-704.11639999999898</v>
      </c>
      <c r="J41" s="469"/>
      <c r="N41" s="469"/>
    </row>
    <row r="42" spans="1:14" s="293" customFormat="1" ht="12.75" customHeight="1" x14ac:dyDescent="0.2">
      <c r="A42" s="742" t="s">
        <v>875</v>
      </c>
      <c r="B42" s="743">
        <v>1037501</v>
      </c>
      <c r="C42" s="602"/>
      <c r="D42" s="743">
        <v>7726392</v>
      </c>
      <c r="E42" s="602"/>
      <c r="F42" s="743">
        <f>+B42+D42</f>
        <v>8763893</v>
      </c>
      <c r="G42" s="423"/>
      <c r="H42" s="421"/>
      <c r="J42" s="469"/>
      <c r="N42" s="469"/>
    </row>
    <row r="43" spans="1:14" s="293" customFormat="1" ht="12.75" customHeight="1" x14ac:dyDescent="0.2">
      <c r="A43" s="742" t="s">
        <v>865</v>
      </c>
      <c r="B43" s="740">
        <v>-5346</v>
      </c>
      <c r="C43" s="602"/>
      <c r="D43" s="740">
        <v>-16993</v>
      </c>
      <c r="E43" s="602"/>
      <c r="F43" s="740">
        <f>+B43+D43</f>
        <v>-22339</v>
      </c>
      <c r="G43" s="423"/>
      <c r="H43" s="431"/>
      <c r="J43" s="469"/>
      <c r="N43" s="469"/>
    </row>
    <row r="44" spans="1:14" s="293" customFormat="1" x14ac:dyDescent="0.2">
      <c r="A44" s="744" t="s">
        <v>876</v>
      </c>
      <c r="B44" s="509">
        <f>+B42+B43</f>
        <v>1032155</v>
      </c>
      <c r="C44" s="602"/>
      <c r="D44" s="509">
        <f>+D42+D43</f>
        <v>7709399</v>
      </c>
      <c r="E44" s="602"/>
      <c r="F44" s="745">
        <f>+F42+F43</f>
        <v>8741554</v>
      </c>
      <c r="G44" s="422"/>
      <c r="H44" s="423">
        <f>33407+1</f>
        <v>33408</v>
      </c>
      <c r="J44" s="294"/>
      <c r="K44" s="448"/>
      <c r="L44" s="232"/>
    </row>
    <row r="45" spans="1:14" s="293" customFormat="1" ht="13.5" thickBot="1" x14ac:dyDescent="0.25">
      <c r="A45" s="101" t="s">
        <v>874</v>
      </c>
      <c r="B45" s="432">
        <f>+B41+B44</f>
        <v>1015736.375</v>
      </c>
      <c r="C45" s="444"/>
      <c r="D45" s="432">
        <f>+D41+D44</f>
        <v>9541112.5</v>
      </c>
      <c r="E45" s="444"/>
      <c r="F45" s="444">
        <f>+F41+F44</f>
        <v>10556849.495000001</v>
      </c>
      <c r="G45" s="444"/>
      <c r="H45" s="432">
        <f>SUM(H41+H44)</f>
        <v>32703.883600000001</v>
      </c>
      <c r="I45" s="294"/>
      <c r="J45" s="294">
        <f>H45-'6-Net Pos-Prop'!H74</f>
        <v>-0.36429999999381835</v>
      </c>
      <c r="K45" s="294"/>
      <c r="L45" s="232"/>
      <c r="N45" s="469"/>
    </row>
    <row r="46" spans="1:14" ht="13.5" thickTop="1" x14ac:dyDescent="0.2">
      <c r="A46" s="19"/>
      <c r="B46" s="407"/>
      <c r="C46" s="407"/>
      <c r="D46" s="407"/>
      <c r="E46" s="407"/>
      <c r="F46" s="19"/>
      <c r="G46" s="19"/>
      <c r="H46" s="19"/>
      <c r="J46" s="232"/>
      <c r="K46" s="232"/>
      <c r="L46" s="232"/>
    </row>
    <row r="47" spans="1:14" x14ac:dyDescent="0.2">
      <c r="A47" s="19"/>
      <c r="B47" s="407"/>
      <c r="C47" s="407"/>
      <c r="D47" s="407"/>
      <c r="E47" s="407"/>
      <c r="F47" s="19"/>
      <c r="G47" s="19"/>
      <c r="H47" s="19"/>
      <c r="J47" s="232"/>
      <c r="K47" s="232"/>
      <c r="L47" s="232"/>
    </row>
    <row r="48" spans="1:14" x14ac:dyDescent="0.2">
      <c r="A48" s="820" t="s">
        <v>445</v>
      </c>
      <c r="B48" s="820"/>
      <c r="C48" s="820"/>
      <c r="D48" s="820"/>
      <c r="E48" s="303"/>
      <c r="F48" s="431">
        <v>400</v>
      </c>
      <c r="G48" s="423"/>
      <c r="H48" s="19"/>
      <c r="J48" s="401"/>
    </row>
    <row r="49" spans="1:11" s="293" customFormat="1" ht="13.5" thickBot="1" x14ac:dyDescent="0.25">
      <c r="A49" s="582" t="s">
        <v>864</v>
      </c>
      <c r="B49" s="19"/>
      <c r="C49" s="19"/>
      <c r="D49" s="19"/>
      <c r="E49" s="19"/>
      <c r="F49" s="441">
        <f>+F45+F48</f>
        <v>10557249.495000001</v>
      </c>
      <c r="G49" s="444"/>
      <c r="H49" s="407"/>
      <c r="I49" s="407"/>
      <c r="J49" s="741"/>
      <c r="K49" s="294"/>
    </row>
    <row r="50" spans="1:11" ht="14.25" thickTop="1" thickBot="1" x14ac:dyDescent="0.25">
      <c r="J50" s="232"/>
    </row>
    <row r="51" spans="1:11" ht="65.25" customHeight="1" thickBot="1" x14ac:dyDescent="0.25">
      <c r="A51" s="821" t="s">
        <v>670</v>
      </c>
      <c r="B51" s="822"/>
      <c r="C51" s="822"/>
      <c r="D51" s="822"/>
      <c r="E51" s="822"/>
      <c r="F51" s="822"/>
      <c r="G51" s="822"/>
      <c r="H51" s="823"/>
      <c r="I51" s="401"/>
    </row>
    <row r="52" spans="1:11" x14ac:dyDescent="0.2">
      <c r="A52" s="752"/>
      <c r="B52" s="752"/>
      <c r="C52" s="752"/>
      <c r="D52" s="752"/>
      <c r="E52" s="752"/>
      <c r="F52" s="752"/>
      <c r="G52" s="593"/>
    </row>
    <row r="53" spans="1:11" x14ac:dyDescent="0.2">
      <c r="A53" t="s">
        <v>8</v>
      </c>
      <c r="I53" s="420"/>
      <c r="J53" s="420"/>
      <c r="K53" s="420"/>
    </row>
    <row r="54" spans="1:11" x14ac:dyDescent="0.2">
      <c r="I54" s="420"/>
      <c r="J54" s="420"/>
      <c r="K54" s="420"/>
    </row>
    <row r="55" spans="1:11" x14ac:dyDescent="0.2">
      <c r="B55" s="232">
        <f>B45-'6-Net Pos-Prop'!B74</f>
        <v>-19.465000000200234</v>
      </c>
      <c r="C55" s="232"/>
      <c r="D55" s="232">
        <f>D45-'6-Net Pos-Prop'!D74</f>
        <v>-80.859999999403954</v>
      </c>
      <c r="E55" s="232"/>
      <c r="F55" s="232">
        <f>F49-'2-GWStmtAct'!L41</f>
        <v>8741654.0100000016</v>
      </c>
      <c r="G55" s="232"/>
    </row>
  </sheetData>
  <sheetProtection selectLockedCells="1" selectUnlockedCells="1"/>
  <mergeCells count="7">
    <mergeCell ref="A48:D48"/>
    <mergeCell ref="A51:H51"/>
    <mergeCell ref="A1:H1"/>
    <mergeCell ref="A2:H2"/>
    <mergeCell ref="A3:H3"/>
    <mergeCell ref="A4:H4"/>
    <mergeCell ref="B7:F7"/>
  </mergeCells>
  <printOptions horizontalCentered="1"/>
  <pageMargins left="0.7" right="0.7" top="0.75" bottom="0.75" header="0.3" footer="0.3"/>
  <pageSetup scale="91"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pageSetUpPr fitToPage="1"/>
  </sheetPr>
  <dimension ref="A1:P92"/>
  <sheetViews>
    <sheetView topLeftCell="A59" zoomScaleNormal="100" workbookViewId="0">
      <selection activeCell="A6" sqref="A6"/>
    </sheetView>
  </sheetViews>
  <sheetFormatPr defaultColWidth="9.140625" defaultRowHeight="12.75" x14ac:dyDescent="0.2"/>
  <cols>
    <col min="1" max="1" width="48" style="19" customWidth="1"/>
    <col min="2" max="2" width="12.7109375" style="19" customWidth="1"/>
    <col min="3" max="3" width="1.28515625" style="19" customWidth="1"/>
    <col min="4" max="4" width="12.7109375" style="19" customWidth="1"/>
    <col min="5" max="5" width="1.28515625" style="19" customWidth="1"/>
    <col min="6" max="6" width="12.7109375" style="19" customWidth="1"/>
    <col min="7" max="7" width="1.28515625" style="19" customWidth="1"/>
    <col min="8" max="8" width="12.7109375" style="19" customWidth="1"/>
    <col min="9" max="9" width="12.140625" style="19" customWidth="1"/>
    <col min="10" max="10" width="10.42578125" style="19" bestFit="1" customWidth="1"/>
    <col min="11" max="11" width="9.140625" style="19"/>
    <col min="12" max="12" width="9.42578125" style="19" bestFit="1" customWidth="1"/>
    <col min="13" max="13" width="11.140625" style="19" bestFit="1" customWidth="1"/>
    <col min="14" max="16384" width="9.140625" style="19"/>
  </cols>
  <sheetData>
    <row r="1" spans="1:8" x14ac:dyDescent="0.2">
      <c r="A1" s="57" t="s">
        <v>0</v>
      </c>
      <c r="B1" s="57"/>
      <c r="C1" s="57"/>
      <c r="D1" s="57"/>
      <c r="E1" s="57"/>
      <c r="F1" s="57"/>
      <c r="G1" s="57"/>
      <c r="H1" s="57"/>
    </row>
    <row r="2" spans="1:8" x14ac:dyDescent="0.2">
      <c r="A2" s="57" t="s">
        <v>379</v>
      </c>
      <c r="B2" s="57"/>
      <c r="C2" s="57"/>
      <c r="D2" s="57"/>
      <c r="E2" s="57"/>
      <c r="F2" s="57"/>
      <c r="G2" s="57"/>
      <c r="H2" s="57"/>
    </row>
    <row r="3" spans="1:8" x14ac:dyDescent="0.2">
      <c r="A3" s="57" t="s">
        <v>41</v>
      </c>
      <c r="B3" s="57"/>
      <c r="C3" s="57"/>
      <c r="D3" s="57"/>
      <c r="E3" s="57"/>
      <c r="F3" s="57"/>
      <c r="G3" s="57"/>
      <c r="H3" s="57"/>
    </row>
    <row r="4" spans="1:8" x14ac:dyDescent="0.2">
      <c r="A4" s="781" t="s">
        <v>783</v>
      </c>
      <c r="B4" s="781"/>
      <c r="C4" s="781"/>
      <c r="D4" s="781"/>
      <c r="E4" s="781"/>
      <c r="F4" s="781"/>
      <c r="G4" s="781"/>
      <c r="H4" s="781"/>
    </row>
    <row r="5" spans="1:8" x14ac:dyDescent="0.2">
      <c r="A5" s="590"/>
      <c r="B5" s="590"/>
      <c r="C5" s="590"/>
      <c r="D5" s="590"/>
      <c r="E5" s="590"/>
      <c r="F5" s="590"/>
      <c r="G5" s="590"/>
      <c r="H5" s="55" t="s">
        <v>378</v>
      </c>
    </row>
    <row r="6" spans="1:8" ht="13.5" thickBot="1" x14ac:dyDescent="0.25">
      <c r="A6" s="625"/>
      <c r="B6" s="625"/>
      <c r="C6" s="625"/>
      <c r="D6" s="625"/>
      <c r="E6" s="625"/>
      <c r="F6" s="625"/>
      <c r="G6" s="619"/>
      <c r="H6" s="619"/>
    </row>
    <row r="7" spans="1:8" x14ac:dyDescent="0.2">
      <c r="A7" s="101"/>
      <c r="B7" s="58" t="s">
        <v>503</v>
      </c>
      <c r="C7" s="58"/>
      <c r="D7" s="58"/>
      <c r="E7" s="58"/>
      <c r="F7" s="58"/>
      <c r="G7" s="101"/>
      <c r="H7" s="228"/>
    </row>
    <row r="8" spans="1:8" x14ac:dyDescent="0.2">
      <c r="A8" s="101"/>
      <c r="B8" s="228"/>
      <c r="C8" s="228"/>
      <c r="D8" s="228" t="s">
        <v>380</v>
      </c>
      <c r="E8" s="228"/>
      <c r="F8" s="228"/>
      <c r="G8" s="101"/>
      <c r="H8" s="228" t="s">
        <v>381</v>
      </c>
    </row>
    <row r="9" spans="1:8" x14ac:dyDescent="0.2">
      <c r="A9" s="101"/>
      <c r="B9" s="228" t="s">
        <v>382</v>
      </c>
      <c r="C9" s="228"/>
      <c r="D9" s="228" t="s">
        <v>383</v>
      </c>
      <c r="E9" s="228"/>
      <c r="F9" s="228"/>
      <c r="G9" s="101"/>
      <c r="H9" s="228" t="s">
        <v>384</v>
      </c>
    </row>
    <row r="10" spans="1:8" x14ac:dyDescent="0.2">
      <c r="A10" s="101"/>
      <c r="B10" s="56" t="s">
        <v>385</v>
      </c>
      <c r="C10" s="228"/>
      <c r="D10" s="56" t="s">
        <v>385</v>
      </c>
      <c r="E10" s="56"/>
      <c r="F10" s="56" t="s">
        <v>1</v>
      </c>
      <c r="G10" s="101"/>
      <c r="H10" s="56" t="s">
        <v>385</v>
      </c>
    </row>
    <row r="12" spans="1:8" x14ac:dyDescent="0.2">
      <c r="A12" s="229" t="s">
        <v>386</v>
      </c>
    </row>
    <row r="13" spans="1:8" x14ac:dyDescent="0.2">
      <c r="A13" s="230" t="s">
        <v>444</v>
      </c>
      <c r="B13" s="305">
        <v>2818627</v>
      </c>
      <c r="D13" s="305">
        <f>1135249+415000</f>
        <v>1550249</v>
      </c>
      <c r="F13" s="305">
        <f t="shared" ref="F13:F18" si="0">B13+D13</f>
        <v>4368876</v>
      </c>
      <c r="H13" s="305">
        <f>31830+600+400</f>
        <v>32830</v>
      </c>
    </row>
    <row r="14" spans="1:8" x14ac:dyDescent="0.2">
      <c r="A14" s="230" t="s">
        <v>387</v>
      </c>
      <c r="B14" s="267">
        <v>-2589522</v>
      </c>
      <c r="C14" s="267"/>
      <c r="D14" s="267">
        <v>-204925</v>
      </c>
      <c r="E14" s="267"/>
      <c r="F14" s="267">
        <f t="shared" si="0"/>
        <v>-2794447</v>
      </c>
      <c r="G14" s="267"/>
      <c r="H14" s="267">
        <v>-4400</v>
      </c>
    </row>
    <row r="15" spans="1:8" x14ac:dyDescent="0.2">
      <c r="A15" s="230" t="s">
        <v>388</v>
      </c>
      <c r="B15" s="267">
        <f>-131325+20-(120000+45000+50)*0.395*0.2-(155000*0.395*0.2)</f>
        <v>-156588.95000000001</v>
      </c>
      <c r="C15" s="267"/>
      <c r="D15" s="267">
        <f>-243632+10-415000-(120000+45000+50)*0.395*0.8-1-(155000*0.395*0.8)</f>
        <v>-759758.8</v>
      </c>
      <c r="E15" s="267"/>
      <c r="F15" s="267">
        <f t="shared" si="0"/>
        <v>-916347.75</v>
      </c>
      <c r="H15" s="267">
        <f>-18000-(120000+45000+50)*0.02*0.6-(155000*0.605*0.02)</f>
        <v>-21856.1</v>
      </c>
    </row>
    <row r="16" spans="1:8" x14ac:dyDescent="0.2">
      <c r="A16" s="230" t="s">
        <v>389</v>
      </c>
      <c r="B16" s="267">
        <v>10000</v>
      </c>
      <c r="C16" s="267"/>
      <c r="D16" s="267">
        <v>5290</v>
      </c>
      <c r="E16" s="267"/>
      <c r="F16" s="267">
        <f t="shared" si="0"/>
        <v>15290</v>
      </c>
      <c r="H16" s="267">
        <v>0</v>
      </c>
    </row>
    <row r="17" spans="1:8" x14ac:dyDescent="0.2">
      <c r="A17" s="230" t="s">
        <v>390</v>
      </c>
      <c r="B17" s="267">
        <v>-30129</v>
      </c>
      <c r="C17" s="267"/>
      <c r="D17" s="267">
        <v>-8473</v>
      </c>
      <c r="E17" s="267"/>
      <c r="F17" s="267">
        <f t="shared" si="0"/>
        <v>-38602</v>
      </c>
      <c r="H17" s="267">
        <v>0</v>
      </c>
    </row>
    <row r="18" spans="1:8" x14ac:dyDescent="0.2">
      <c r="A18" s="230" t="s">
        <v>84</v>
      </c>
      <c r="B18" s="114">
        <v>11524</v>
      </c>
      <c r="C18" s="267"/>
      <c r="D18" s="114">
        <v>630</v>
      </c>
      <c r="E18" s="267"/>
      <c r="F18" s="267">
        <f t="shared" si="0"/>
        <v>12154</v>
      </c>
      <c r="H18" s="114">
        <v>0</v>
      </c>
    </row>
    <row r="19" spans="1:8" x14ac:dyDescent="0.2">
      <c r="A19" s="520" t="s">
        <v>391</v>
      </c>
      <c r="B19" s="306">
        <f>SUM(B13:B18)</f>
        <v>63911.049999999988</v>
      </c>
      <c r="C19" s="267"/>
      <c r="D19" s="306">
        <f>SUM(D13:D18)</f>
        <v>583012.19999999995</v>
      </c>
      <c r="E19" s="267"/>
      <c r="F19" s="306">
        <f>SUM(F13:F18)</f>
        <v>646923.25</v>
      </c>
      <c r="H19" s="306">
        <f>SUM(H13:H18)</f>
        <v>6573.9000000000015</v>
      </c>
    </row>
    <row r="20" spans="1:8" ht="6.75" customHeight="1" x14ac:dyDescent="0.2">
      <c r="A20" s="230"/>
      <c r="B20" s="267"/>
      <c r="C20" s="267"/>
      <c r="D20" s="267"/>
      <c r="E20" s="267"/>
      <c r="F20" s="267"/>
      <c r="H20" s="267"/>
    </row>
    <row r="21" spans="1:8" ht="25.5" x14ac:dyDescent="0.2">
      <c r="A21" s="229" t="s">
        <v>392</v>
      </c>
      <c r="B21" s="267"/>
      <c r="C21" s="267"/>
      <c r="D21" s="267"/>
      <c r="E21" s="267"/>
      <c r="F21" s="267"/>
      <c r="H21" s="267"/>
    </row>
    <row r="22" spans="1:8" x14ac:dyDescent="0.2">
      <c r="A22" s="230" t="s">
        <v>606</v>
      </c>
      <c r="B22" s="267">
        <v>-20</v>
      </c>
      <c r="C22" s="267"/>
      <c r="D22" s="267">
        <v>-10</v>
      </c>
      <c r="E22" s="267"/>
      <c r="F22" s="267">
        <f>B22+D22</f>
        <v>-30</v>
      </c>
      <c r="H22" s="267">
        <v>100</v>
      </c>
    </row>
    <row r="23" spans="1:8" x14ac:dyDescent="0.2">
      <c r="A23" s="230" t="s">
        <v>647</v>
      </c>
      <c r="B23" s="267">
        <v>0</v>
      </c>
      <c r="C23" s="267"/>
      <c r="D23" s="267">
        <v>30000</v>
      </c>
      <c r="E23" s="267"/>
      <c r="F23" s="267">
        <f>B23+D23</f>
        <v>30000</v>
      </c>
      <c r="H23" s="267">
        <v>0</v>
      </c>
    </row>
    <row r="24" spans="1:8" x14ac:dyDescent="0.2">
      <c r="A24" s="230" t="s">
        <v>460</v>
      </c>
      <c r="B24" s="267">
        <v>0</v>
      </c>
      <c r="C24" s="267"/>
      <c r="D24" s="267">
        <v>97400</v>
      </c>
      <c r="E24" s="267"/>
      <c r="F24" s="267">
        <f>B24+D24</f>
        <v>97400</v>
      </c>
      <c r="H24" s="267">
        <v>0</v>
      </c>
    </row>
    <row r="25" spans="1:8" x14ac:dyDescent="0.2">
      <c r="A25" s="230" t="s">
        <v>461</v>
      </c>
      <c r="B25" s="114">
        <v>-5986</v>
      </c>
      <c r="C25" s="267"/>
      <c r="D25" s="114">
        <v>-4827</v>
      </c>
      <c r="E25" s="267"/>
      <c r="F25" s="114">
        <f>B25+D25</f>
        <v>-10813</v>
      </c>
      <c r="H25" s="114">
        <v>0</v>
      </c>
    </row>
    <row r="26" spans="1:8" ht="25.5" x14ac:dyDescent="0.2">
      <c r="A26" s="230" t="s">
        <v>721</v>
      </c>
      <c r="B26" s="306">
        <f>SUM(B22:B25)</f>
        <v>-6006</v>
      </c>
      <c r="C26" s="267"/>
      <c r="D26" s="306">
        <f>SUM(D22:D25)</f>
        <v>122563</v>
      </c>
      <c r="E26" s="267"/>
      <c r="F26" s="306">
        <f>SUM(F22:F25)</f>
        <v>116557</v>
      </c>
      <c r="H26" s="306">
        <f>SUM(H22:H25)</f>
        <v>100</v>
      </c>
    </row>
    <row r="27" spans="1:8" ht="6.75" customHeight="1" x14ac:dyDescent="0.2">
      <c r="A27" s="230"/>
      <c r="B27" s="267"/>
      <c r="C27" s="267"/>
      <c r="D27" s="267"/>
      <c r="E27" s="267"/>
      <c r="F27" s="267"/>
      <c r="H27" s="267"/>
    </row>
    <row r="28" spans="1:8" ht="25.5" x14ac:dyDescent="0.2">
      <c r="A28" s="229" t="s">
        <v>393</v>
      </c>
      <c r="B28" s="267"/>
      <c r="C28" s="267"/>
      <c r="D28" s="267"/>
      <c r="E28" s="267"/>
      <c r="F28" s="267"/>
      <c r="H28" s="267"/>
    </row>
    <row r="29" spans="1:8" x14ac:dyDescent="0.2">
      <c r="A29" s="230" t="s">
        <v>475</v>
      </c>
      <c r="B29" s="267">
        <v>0</v>
      </c>
      <c r="C29" s="267"/>
      <c r="D29" s="267">
        <v>675000</v>
      </c>
      <c r="E29" s="267"/>
      <c r="F29" s="267">
        <f t="shared" ref="F29:F37" si="1">B29+D29</f>
        <v>675000</v>
      </c>
      <c r="H29" s="267">
        <v>0</v>
      </c>
    </row>
    <row r="30" spans="1:8" x14ac:dyDescent="0.2">
      <c r="A30" s="230" t="s">
        <v>394</v>
      </c>
      <c r="B30" s="267">
        <v>-100010</v>
      </c>
      <c r="C30" s="267"/>
      <c r="D30" s="267">
        <f>-(1282309+3800000)</f>
        <v>-5082309</v>
      </c>
      <c r="E30" s="267"/>
      <c r="F30" s="267">
        <f t="shared" si="1"/>
        <v>-5182319</v>
      </c>
      <c r="H30" s="267">
        <v>-1000</v>
      </c>
    </row>
    <row r="31" spans="1:8" ht="18" customHeight="1" x14ac:dyDescent="0.2">
      <c r="A31" s="230" t="s">
        <v>754</v>
      </c>
      <c r="B31" s="267">
        <v>0</v>
      </c>
      <c r="C31" s="267"/>
      <c r="D31" s="267">
        <f>-317339-9238</f>
        <v>-326577</v>
      </c>
      <c r="E31" s="267"/>
      <c r="F31" s="267">
        <f t="shared" si="1"/>
        <v>-326577</v>
      </c>
      <c r="H31" s="267">
        <v>0</v>
      </c>
    </row>
    <row r="32" spans="1:8" x14ac:dyDescent="0.2">
      <c r="A32" s="230" t="s">
        <v>91</v>
      </c>
      <c r="B32" s="267">
        <v>0</v>
      </c>
      <c r="C32" s="267"/>
      <c r="D32" s="267">
        <v>-10000</v>
      </c>
      <c r="E32" s="267"/>
      <c r="F32" s="267">
        <f t="shared" si="1"/>
        <v>-10000</v>
      </c>
      <c r="H32" s="267">
        <v>0</v>
      </c>
    </row>
    <row r="33" spans="1:8" ht="18" customHeight="1" x14ac:dyDescent="0.2">
      <c r="A33" s="230" t="s">
        <v>755</v>
      </c>
      <c r="B33" s="267">
        <v>0</v>
      </c>
      <c r="C33" s="267"/>
      <c r="D33" s="267">
        <f>-83098-762</f>
        <v>-83860</v>
      </c>
      <c r="E33" s="267"/>
      <c r="F33" s="267">
        <f t="shared" si="1"/>
        <v>-83860</v>
      </c>
      <c r="H33" s="267">
        <v>0</v>
      </c>
    </row>
    <row r="34" spans="1:8" ht="18" customHeight="1" x14ac:dyDescent="0.2">
      <c r="A34" s="230" t="s">
        <v>753</v>
      </c>
      <c r="B34" s="267"/>
      <c r="C34" s="267"/>
      <c r="D34" s="267">
        <v>13911</v>
      </c>
      <c r="E34" s="267"/>
      <c r="F34" s="267">
        <f t="shared" si="1"/>
        <v>13911</v>
      </c>
      <c r="H34" s="267"/>
    </row>
    <row r="35" spans="1:8" ht="12.75" customHeight="1" x14ac:dyDescent="0.2">
      <c r="A35" s="230" t="s">
        <v>512</v>
      </c>
      <c r="B35" s="267">
        <v>0</v>
      </c>
      <c r="C35" s="267"/>
      <c r="D35" s="267">
        <v>3650000</v>
      </c>
      <c r="E35" s="267"/>
      <c r="F35" s="267">
        <f t="shared" si="1"/>
        <v>3650000</v>
      </c>
      <c r="H35" s="267">
        <v>0</v>
      </c>
    </row>
    <row r="36" spans="1:8" x14ac:dyDescent="0.2">
      <c r="A36" s="230" t="s">
        <v>395</v>
      </c>
      <c r="B36" s="267">
        <v>0</v>
      </c>
      <c r="C36" s="267"/>
      <c r="D36" s="267">
        <v>57948</v>
      </c>
      <c r="E36" s="267"/>
      <c r="F36" s="267">
        <f t="shared" si="1"/>
        <v>57948</v>
      </c>
      <c r="H36" s="267">
        <v>0</v>
      </c>
    </row>
    <row r="37" spans="1:8" x14ac:dyDescent="0.2">
      <c r="A37" s="230" t="s">
        <v>396</v>
      </c>
      <c r="B37" s="114">
        <v>0</v>
      </c>
      <c r="C37" s="267"/>
      <c r="D37" s="114">
        <v>70000</v>
      </c>
      <c r="E37" s="267"/>
      <c r="F37" s="267">
        <f t="shared" si="1"/>
        <v>70000</v>
      </c>
      <c r="H37" s="114">
        <v>0</v>
      </c>
    </row>
    <row r="38" spans="1:8" ht="25.5" x14ac:dyDescent="0.2">
      <c r="A38" s="520" t="s">
        <v>397</v>
      </c>
      <c r="B38" s="306">
        <f>SUM(B29:B37)</f>
        <v>-100010</v>
      </c>
      <c r="C38" s="267"/>
      <c r="D38" s="306">
        <f>SUM(D29:D37)</f>
        <v>-1035887</v>
      </c>
      <c r="E38" s="267"/>
      <c r="F38" s="306">
        <f>SUM(F29:F37)</f>
        <v>-1135897</v>
      </c>
      <c r="H38" s="306">
        <f>SUM(H29:H37)</f>
        <v>-1000</v>
      </c>
    </row>
    <row r="39" spans="1:8" ht="6.75" customHeight="1" x14ac:dyDescent="0.2">
      <c r="A39" s="230"/>
      <c r="B39" s="267"/>
      <c r="C39" s="267"/>
      <c r="D39" s="267"/>
      <c r="E39" s="267"/>
      <c r="F39" s="267"/>
      <c r="H39" s="267"/>
    </row>
    <row r="40" spans="1:8" ht="12.75" customHeight="1" x14ac:dyDescent="0.2">
      <c r="A40" s="229" t="s">
        <v>398</v>
      </c>
      <c r="B40" s="267"/>
      <c r="C40" s="267"/>
      <c r="D40" s="267"/>
      <c r="E40" s="267"/>
      <c r="F40" s="267"/>
      <c r="H40" s="267"/>
    </row>
    <row r="41" spans="1:8" ht="12.75" customHeight="1" x14ac:dyDescent="0.2">
      <c r="A41" s="230" t="s">
        <v>399</v>
      </c>
      <c r="B41" s="114">
        <v>1228</v>
      </c>
      <c r="C41" s="267"/>
      <c r="D41" s="114">
        <f>38122</f>
        <v>38122</v>
      </c>
      <c r="E41" s="267"/>
      <c r="F41" s="114">
        <f>B41+D41</f>
        <v>39350</v>
      </c>
      <c r="H41" s="114">
        <v>700</v>
      </c>
    </row>
    <row r="42" spans="1:8" ht="12.75" customHeight="1" x14ac:dyDescent="0.2">
      <c r="A42" s="298" t="s">
        <v>400</v>
      </c>
      <c r="B42" s="267">
        <f>B19+B26+B38+B41</f>
        <v>-40876.950000000012</v>
      </c>
      <c r="C42" s="267"/>
      <c r="D42" s="267">
        <f>D19+D26+D38+D41</f>
        <v>-292189.80000000005</v>
      </c>
      <c r="E42" s="267"/>
      <c r="F42" s="267">
        <f>F19+F26+F38+F41</f>
        <v>-333066.75</v>
      </c>
      <c r="H42" s="267">
        <f>H19+H26+H38+H41</f>
        <v>6373.9000000000015</v>
      </c>
    </row>
    <row r="43" spans="1:8" ht="12.75" customHeight="1" x14ac:dyDescent="0.2">
      <c r="A43" s="606" t="s">
        <v>877</v>
      </c>
      <c r="B43" s="114">
        <f>38825+100000</f>
        <v>138825</v>
      </c>
      <c r="C43" s="267"/>
      <c r="D43" s="114">
        <f>1969851+100000+1-30000+63714</f>
        <v>2103566</v>
      </c>
      <c r="E43" s="267"/>
      <c r="F43" s="114">
        <f>B43+D43</f>
        <v>2242391</v>
      </c>
      <c r="H43" s="114">
        <v>16500</v>
      </c>
    </row>
    <row r="44" spans="1:8" ht="12.75" customHeight="1" thickBot="1" x14ac:dyDescent="0.25">
      <c r="A44" s="753" t="s">
        <v>878</v>
      </c>
      <c r="B44" s="754">
        <f>B42+B43</f>
        <v>97948.049999999988</v>
      </c>
      <c r="C44" s="755"/>
      <c r="D44" s="754">
        <f>D42+D43</f>
        <v>1811376.2</v>
      </c>
      <c r="E44" s="755"/>
      <c r="F44" s="754">
        <f>F42+F43</f>
        <v>1909324.25</v>
      </c>
      <c r="G44" s="756"/>
      <c r="H44" s="754">
        <f>SUM(H42:H43)</f>
        <v>22873.9</v>
      </c>
    </row>
    <row r="45" spans="1:8" ht="13.5" thickTop="1" x14ac:dyDescent="0.2">
      <c r="A45" s="230"/>
      <c r="B45" s="267"/>
      <c r="C45" s="267"/>
      <c r="D45" s="267"/>
      <c r="E45" s="267"/>
      <c r="F45" s="267"/>
      <c r="H45" s="267"/>
    </row>
    <row r="46" spans="1:8" x14ac:dyDescent="0.2">
      <c r="B46" s="267"/>
      <c r="C46" s="267"/>
      <c r="D46" s="267"/>
      <c r="E46" s="267"/>
      <c r="F46" s="267"/>
      <c r="H46" s="308" t="s">
        <v>471</v>
      </c>
    </row>
    <row r="47" spans="1:8" x14ac:dyDescent="0.2">
      <c r="B47" s="267"/>
      <c r="C47" s="267"/>
      <c r="D47" s="267"/>
      <c r="E47" s="267"/>
      <c r="F47" s="267"/>
      <c r="H47" s="308"/>
    </row>
    <row r="48" spans="1:8" x14ac:dyDescent="0.2">
      <c r="B48" s="267"/>
      <c r="C48" s="267"/>
      <c r="D48" s="267"/>
      <c r="E48" s="267"/>
      <c r="F48" s="267"/>
      <c r="H48" s="308"/>
    </row>
    <row r="49" spans="1:16" x14ac:dyDescent="0.2">
      <c r="A49" s="230"/>
      <c r="B49" s="267"/>
      <c r="C49" s="267"/>
      <c r="D49" s="267"/>
      <c r="E49" s="267"/>
      <c r="F49" s="267"/>
      <c r="H49" s="308"/>
    </row>
    <row r="50" spans="1:16" x14ac:dyDescent="0.2">
      <c r="A50" s="57" t="s">
        <v>0</v>
      </c>
      <c r="B50" s="57"/>
      <c r="C50" s="57"/>
      <c r="D50" s="57"/>
      <c r="E50" s="57"/>
      <c r="F50" s="57"/>
      <c r="G50" s="57"/>
      <c r="H50" s="57"/>
    </row>
    <row r="51" spans="1:16" x14ac:dyDescent="0.2">
      <c r="A51" s="57" t="s">
        <v>379</v>
      </c>
      <c r="B51" s="57"/>
      <c r="C51" s="57"/>
      <c r="D51" s="57"/>
      <c r="E51" s="57"/>
      <c r="F51" s="57"/>
      <c r="G51" s="57"/>
      <c r="H51" s="57"/>
    </row>
    <row r="52" spans="1:16" x14ac:dyDescent="0.2">
      <c r="A52" s="57" t="s">
        <v>41</v>
      </c>
      <c r="B52" s="57"/>
      <c r="C52" s="57"/>
      <c r="D52" s="57"/>
      <c r="E52" s="57"/>
      <c r="F52" s="57"/>
      <c r="G52" s="57"/>
      <c r="H52" s="57"/>
      <c r="J52" s="410"/>
      <c r="K52" s="410"/>
      <c r="L52" s="410"/>
      <c r="M52" s="410"/>
      <c r="N52" s="410"/>
      <c r="O52" s="410"/>
      <c r="P52" s="410"/>
    </row>
    <row r="53" spans="1:16" x14ac:dyDescent="0.2">
      <c r="A53" s="57" t="str">
        <f>A4</f>
        <v>For the Year Ended June 30, 2025</v>
      </c>
      <c r="B53" s="57"/>
      <c r="C53" s="57"/>
      <c r="D53" s="57"/>
      <c r="E53" s="57"/>
      <c r="F53" s="57"/>
      <c r="G53" s="57"/>
      <c r="H53" s="57"/>
      <c r="J53" s="411"/>
      <c r="K53" s="410"/>
      <c r="L53" s="410"/>
      <c r="M53" s="410"/>
      <c r="N53" s="410"/>
      <c r="O53" s="410"/>
    </row>
    <row r="54" spans="1:16" x14ac:dyDescent="0.2">
      <c r="A54" s="57"/>
      <c r="B54" s="57"/>
      <c r="C54" s="57"/>
      <c r="D54" s="57"/>
      <c r="E54" s="57"/>
      <c r="F54" s="57"/>
      <c r="G54" s="101"/>
      <c r="H54" s="55" t="s">
        <v>378</v>
      </c>
      <c r="J54" s="411"/>
      <c r="K54" s="410"/>
      <c r="L54" s="410"/>
      <c r="M54" s="410"/>
      <c r="O54" s="410"/>
      <c r="P54" s="410"/>
    </row>
    <row r="55" spans="1:16" x14ac:dyDescent="0.2">
      <c r="A55" s="57"/>
      <c r="B55" s="57"/>
      <c r="C55" s="57"/>
      <c r="D55" s="57"/>
      <c r="E55" s="57"/>
      <c r="F55" s="57"/>
      <c r="G55" s="101"/>
      <c r="H55" s="55"/>
      <c r="J55" s="411"/>
      <c r="K55" s="410"/>
      <c r="L55" s="410"/>
      <c r="M55" s="410"/>
      <c r="O55" s="410"/>
      <c r="P55" s="410"/>
    </row>
    <row r="56" spans="1:16" x14ac:dyDescent="0.2">
      <c r="A56" s="57"/>
      <c r="B56" s="57"/>
      <c r="C56" s="57"/>
      <c r="D56" s="57"/>
      <c r="E56" s="57"/>
      <c r="F56" s="57"/>
      <c r="G56" s="101"/>
      <c r="H56" s="55"/>
      <c r="J56" s="411"/>
      <c r="K56" s="410"/>
      <c r="L56" s="410"/>
      <c r="M56" s="410"/>
      <c r="O56" s="410"/>
      <c r="P56" s="410"/>
    </row>
    <row r="57" spans="1:16" x14ac:dyDescent="0.2">
      <c r="A57" s="57"/>
      <c r="B57" s="57"/>
      <c r="C57" s="57"/>
      <c r="D57" s="57"/>
      <c r="E57" s="57"/>
      <c r="F57" s="57"/>
      <c r="G57" s="101"/>
      <c r="H57" s="55"/>
      <c r="J57" s="411"/>
      <c r="K57" s="410"/>
      <c r="L57" s="410"/>
      <c r="M57" s="410"/>
      <c r="O57" s="410"/>
      <c r="P57" s="410"/>
    </row>
    <row r="58" spans="1:16" x14ac:dyDescent="0.2">
      <c r="J58" s="411"/>
      <c r="K58" s="410"/>
      <c r="L58" s="410"/>
      <c r="M58" s="410"/>
      <c r="N58" s="410"/>
      <c r="O58" s="410"/>
      <c r="P58" s="410"/>
    </row>
    <row r="59" spans="1:16" ht="25.5" customHeight="1" x14ac:dyDescent="0.2">
      <c r="A59" s="230" t="s">
        <v>401</v>
      </c>
      <c r="B59" s="267"/>
      <c r="C59" s="267"/>
      <c r="D59" s="267"/>
      <c r="E59" s="267"/>
      <c r="F59" s="267"/>
      <c r="H59" s="267"/>
      <c r="J59" s="411"/>
      <c r="K59" s="410"/>
      <c r="L59" s="410"/>
      <c r="M59" s="410"/>
      <c r="N59" s="410"/>
      <c r="O59" s="410"/>
      <c r="P59" s="410"/>
    </row>
    <row r="60" spans="1:16" ht="12.75" customHeight="1" x14ac:dyDescent="0.2">
      <c r="A60" s="520" t="s">
        <v>402</v>
      </c>
      <c r="B60" s="309">
        <f>'7-Rev, Exp-Prop'!B26</f>
        <v>-11660.625</v>
      </c>
      <c r="C60" s="305"/>
      <c r="D60" s="309">
        <f>'7-Rev, Exp-Prop'!D26</f>
        <v>367305.5</v>
      </c>
      <c r="E60" s="305"/>
      <c r="F60" s="309">
        <f>B60+D60</f>
        <v>355644.875</v>
      </c>
      <c r="H60" s="309">
        <f>'7-Rev, Exp-Prop'!H26</f>
        <v>-1404.116399999999</v>
      </c>
    </row>
    <row r="61" spans="1:16" ht="25.5" x14ac:dyDescent="0.2">
      <c r="A61" s="230" t="s">
        <v>403</v>
      </c>
      <c r="B61" s="267"/>
      <c r="C61" s="267"/>
      <c r="D61" s="267"/>
      <c r="E61" s="267"/>
      <c r="F61" s="267"/>
      <c r="H61" s="267"/>
    </row>
    <row r="62" spans="1:16" x14ac:dyDescent="0.2">
      <c r="A62" s="520" t="s">
        <v>752</v>
      </c>
      <c r="B62" s="267">
        <v>178273</v>
      </c>
      <c r="C62" s="267"/>
      <c r="D62" s="267">
        <f>251204+9431</f>
        <v>260635</v>
      </c>
      <c r="E62" s="267"/>
      <c r="F62" s="267">
        <f>B62+D62</f>
        <v>438908</v>
      </c>
      <c r="H62" s="267">
        <v>4766</v>
      </c>
    </row>
    <row r="63" spans="1:16" ht="25.5" x14ac:dyDescent="0.2">
      <c r="A63" s="230" t="s">
        <v>656</v>
      </c>
      <c r="B63" s="267"/>
      <c r="C63" s="267"/>
      <c r="D63" s="267"/>
      <c r="E63" s="267"/>
      <c r="F63" s="267"/>
      <c r="H63" s="267"/>
      <c r="K63" s="412"/>
      <c r="L63" s="413"/>
    </row>
    <row r="64" spans="1:16" x14ac:dyDescent="0.2">
      <c r="A64" s="520" t="s">
        <v>404</v>
      </c>
      <c r="B64" s="267">
        <v>-3108</v>
      </c>
      <c r="C64" s="267"/>
      <c r="D64" s="267">
        <v>6258</v>
      </c>
      <c r="E64" s="267"/>
      <c r="F64" s="267">
        <f t="shared" ref="F64:F77" si="2">B64+D64</f>
        <v>3150</v>
      </c>
      <c r="H64" s="267">
        <v>0</v>
      </c>
      <c r="K64" s="414"/>
      <c r="L64" s="413"/>
    </row>
    <row r="65" spans="1:13" ht="25.5" x14ac:dyDescent="0.2">
      <c r="A65" s="520" t="s">
        <v>405</v>
      </c>
      <c r="B65" s="267">
        <v>90</v>
      </c>
      <c r="C65" s="267"/>
      <c r="D65" s="267">
        <v>-153</v>
      </c>
      <c r="E65" s="267"/>
      <c r="F65" s="267">
        <f t="shared" si="2"/>
        <v>-63</v>
      </c>
      <c r="H65" s="267">
        <v>0</v>
      </c>
      <c r="K65" s="412"/>
      <c r="L65" s="413"/>
    </row>
    <row r="66" spans="1:13" x14ac:dyDescent="0.2">
      <c r="A66" s="520" t="s">
        <v>546</v>
      </c>
      <c r="B66" s="267">
        <v>-5605</v>
      </c>
      <c r="C66" s="267"/>
      <c r="D66" s="267">
        <f>1840+1</f>
        <v>1841</v>
      </c>
      <c r="E66" s="267"/>
      <c r="F66" s="267">
        <f t="shared" si="2"/>
        <v>-3764</v>
      </c>
      <c r="H66" s="267">
        <f>1800-4</f>
        <v>1796</v>
      </c>
      <c r="K66" s="411"/>
      <c r="L66" s="413"/>
    </row>
    <row r="67" spans="1:13" x14ac:dyDescent="0.2">
      <c r="A67" s="520" t="s">
        <v>692</v>
      </c>
      <c r="B67" s="267">
        <v>-125</v>
      </c>
      <c r="C67" s="267"/>
      <c r="D67" s="267">
        <v>-260</v>
      </c>
      <c r="E67" s="267"/>
      <c r="F67" s="267">
        <f t="shared" si="2"/>
        <v>-385</v>
      </c>
      <c r="H67" s="267">
        <v>0</v>
      </c>
      <c r="K67" s="411"/>
      <c r="L67" s="413"/>
    </row>
    <row r="68" spans="1:13" ht="25.5" x14ac:dyDescent="0.2">
      <c r="A68" s="520" t="s">
        <v>717</v>
      </c>
      <c r="B68" s="267">
        <f>-(571293-275249)*0.395*0.2</f>
        <v>-23387.476000000002</v>
      </c>
      <c r="C68" s="267"/>
      <c r="D68" s="267">
        <f>(275249-571293)*0.395*0.8</f>
        <v>-93549.90400000001</v>
      </c>
      <c r="E68" s="267"/>
      <c r="F68" s="267">
        <f t="shared" si="2"/>
        <v>-116937.38</v>
      </c>
      <c r="H68" s="267">
        <f>(275249-571293)*0.605*0.02</f>
        <v>-3582.1324</v>
      </c>
      <c r="I68" s="402"/>
      <c r="J68" s="267"/>
      <c r="K68" s="411"/>
      <c r="L68" s="413"/>
    </row>
    <row r="69" spans="1:13" x14ac:dyDescent="0.2">
      <c r="A69" s="520" t="s">
        <v>715</v>
      </c>
      <c r="B69" s="267">
        <f>-0.395*0.2*(19588+45000+50-89774)</f>
        <v>1985.7440000000004</v>
      </c>
      <c r="C69" s="267"/>
      <c r="D69" s="267">
        <f>-0.395*0.8*(19588+45000+50-89774)</f>
        <v>7942.9760000000015</v>
      </c>
      <c r="E69" s="267"/>
      <c r="F69" s="267">
        <f t="shared" si="2"/>
        <v>9928.7200000000012</v>
      </c>
      <c r="H69" s="267">
        <f>-0.6*0.02*(19588+45000+50-89774)</f>
        <v>301.63200000000001</v>
      </c>
      <c r="I69" s="402"/>
      <c r="J69" s="267"/>
      <c r="K69" s="411"/>
      <c r="L69" s="413"/>
    </row>
    <row r="70" spans="1:13" x14ac:dyDescent="0.2">
      <c r="A70" s="520" t="s">
        <v>718</v>
      </c>
      <c r="B70" s="267">
        <f>(654766-346796)*0.395*0.2</f>
        <v>24329.630000000005</v>
      </c>
      <c r="C70" s="267"/>
      <c r="D70" s="267">
        <f>(654766-346796)*0.395*0.8</f>
        <v>97318.520000000019</v>
      </c>
      <c r="E70" s="267"/>
      <c r="F70" s="267">
        <f t="shared" si="2"/>
        <v>121648.15000000002</v>
      </c>
      <c r="H70" s="267">
        <f>(654766-346796)*0.605*0.02</f>
        <v>3726.4370000000004</v>
      </c>
      <c r="I70" s="402"/>
      <c r="K70" s="411"/>
      <c r="L70" s="413"/>
    </row>
    <row r="71" spans="1:13" ht="12.75" customHeight="1" x14ac:dyDescent="0.2">
      <c r="A71" s="588" t="s">
        <v>881</v>
      </c>
      <c r="B71" s="267">
        <f>(13710-24834)*0.395*0.2</f>
        <v>-878.79600000000016</v>
      </c>
      <c r="C71" s="267"/>
      <c r="D71" s="267">
        <f>(13710-24834)*0.395*0.8</f>
        <v>-3515.1840000000007</v>
      </c>
      <c r="E71" s="267"/>
      <c r="F71" s="267">
        <f t="shared" si="2"/>
        <v>-4393.9800000000005</v>
      </c>
      <c r="H71" s="267">
        <f>(13710-24834)*0.605*0.02</f>
        <v>-134.60039999999998</v>
      </c>
      <c r="I71" s="402"/>
      <c r="K71" s="411"/>
      <c r="L71" s="413"/>
    </row>
    <row r="72" spans="1:13" ht="25.5" x14ac:dyDescent="0.2">
      <c r="A72" s="520" t="s">
        <v>406</v>
      </c>
      <c r="B72" s="267">
        <f>-92226+40-10895+12925+10895-33</f>
        <v>-79294</v>
      </c>
      <c r="C72" s="267"/>
      <c r="D72" s="267">
        <f>-71789+10-13074-12925+13074-132</f>
        <v>-84836</v>
      </c>
      <c r="E72" s="267"/>
      <c r="F72" s="267">
        <f t="shared" si="2"/>
        <v>-164130</v>
      </c>
      <c r="H72" s="267">
        <v>107</v>
      </c>
      <c r="I72" s="402"/>
      <c r="K72" s="411"/>
      <c r="L72" s="413"/>
    </row>
    <row r="73" spans="1:13" x14ac:dyDescent="0.2">
      <c r="A73" s="588" t="s">
        <v>882</v>
      </c>
      <c r="B73" s="267">
        <f>-20129</f>
        <v>-20129</v>
      </c>
      <c r="C73" s="267"/>
      <c r="D73" s="267">
        <f>-3183</f>
        <v>-3183</v>
      </c>
      <c r="E73" s="267"/>
      <c r="F73" s="267">
        <f t="shared" si="2"/>
        <v>-23312</v>
      </c>
      <c r="H73" s="267">
        <v>0</v>
      </c>
      <c r="K73" s="411"/>
      <c r="L73" s="413"/>
    </row>
    <row r="74" spans="1:13" x14ac:dyDescent="0.2">
      <c r="A74" s="520" t="s">
        <v>274</v>
      </c>
      <c r="B74" s="267">
        <v>2350</v>
      </c>
      <c r="C74" s="267"/>
      <c r="D74" s="267">
        <v>22925</v>
      </c>
      <c r="E74" s="267"/>
      <c r="F74" s="267">
        <f t="shared" si="2"/>
        <v>25275</v>
      </c>
      <c r="H74" s="267">
        <f>500+334</f>
        <v>834</v>
      </c>
      <c r="K74" s="411"/>
      <c r="L74" s="413"/>
    </row>
    <row r="75" spans="1:13" x14ac:dyDescent="0.2">
      <c r="A75" s="520" t="s">
        <v>709</v>
      </c>
      <c r="B75" s="267">
        <f>0.395*0.2*6063</f>
        <v>478.97700000000009</v>
      </c>
      <c r="C75" s="267"/>
      <c r="D75" s="267">
        <f>0.395*0.8*6063</f>
        <v>1915.9080000000004</v>
      </c>
      <c r="E75" s="267"/>
      <c r="F75" s="267">
        <f t="shared" si="2"/>
        <v>2394.8850000000002</v>
      </c>
      <c r="H75" s="267">
        <f>0.6*0.02*6063</f>
        <v>72.756</v>
      </c>
      <c r="K75" s="411"/>
      <c r="L75" s="413"/>
    </row>
    <row r="76" spans="1:13" x14ac:dyDescent="0.2">
      <c r="A76" s="520" t="s">
        <v>707</v>
      </c>
      <c r="B76" s="267">
        <f>-(1189833-1197321)*0.395*0.2</f>
        <v>591.55200000000002</v>
      </c>
      <c r="C76" s="267"/>
      <c r="D76" s="267">
        <f>-(1189833-1197321)*0.395*0.8</f>
        <v>2366.2080000000001</v>
      </c>
      <c r="E76" s="267"/>
      <c r="F76" s="267">
        <f t="shared" si="2"/>
        <v>2957.76</v>
      </c>
      <c r="H76" s="267">
        <f>-(1189833-1197321)*0.6*0.02</f>
        <v>89.856000000000009</v>
      </c>
      <c r="K76" s="411"/>
      <c r="L76" s="413"/>
    </row>
    <row r="77" spans="1:13" hidden="1" x14ac:dyDescent="0.2">
      <c r="A77" s="520" t="s">
        <v>555</v>
      </c>
      <c r="B77" s="114">
        <v>0</v>
      </c>
      <c r="C77" s="267"/>
      <c r="D77" s="114">
        <v>0</v>
      </c>
      <c r="E77" s="267"/>
      <c r="F77" s="267">
        <f t="shared" si="2"/>
        <v>0</v>
      </c>
      <c r="H77" s="114">
        <v>0</v>
      </c>
      <c r="K77" s="411"/>
      <c r="L77" s="415"/>
      <c r="M77" s="402"/>
    </row>
    <row r="78" spans="1:13" x14ac:dyDescent="0.2">
      <c r="A78" s="298" t="s">
        <v>407</v>
      </c>
      <c r="B78" s="306">
        <f>SUM(B62:B77)</f>
        <v>75571.631000000008</v>
      </c>
      <c r="C78" s="267"/>
      <c r="D78" s="306">
        <f>SUM(D62:D77)</f>
        <v>215705.524</v>
      </c>
      <c r="E78" s="267"/>
      <c r="F78" s="306">
        <f>SUM(F62:F77)+0.35</f>
        <v>291277.505</v>
      </c>
      <c r="H78" s="306">
        <f>SUM(H62:H77)</f>
        <v>7976.9482000000007</v>
      </c>
      <c r="K78" s="411"/>
      <c r="L78" s="410"/>
    </row>
    <row r="79" spans="1:13" ht="13.5" thickBot="1" x14ac:dyDescent="0.25">
      <c r="A79" s="757" t="s">
        <v>408</v>
      </c>
      <c r="B79" s="754">
        <f>B78+B60</f>
        <v>63911.006000000008</v>
      </c>
      <c r="C79" s="755"/>
      <c r="D79" s="754">
        <f>D78+D60+0.49</f>
        <v>583011.51399999997</v>
      </c>
      <c r="E79" s="755"/>
      <c r="F79" s="754">
        <f>F78+F60+0.35</f>
        <v>646922.73</v>
      </c>
      <c r="G79" s="756"/>
      <c r="H79" s="754">
        <f>H78+H60+1</f>
        <v>6573.8318000000017</v>
      </c>
      <c r="K79" s="411"/>
      <c r="L79" s="415"/>
    </row>
    <row r="80" spans="1:13" ht="13.5" thickTop="1" x14ac:dyDescent="0.2">
      <c r="A80" s="230"/>
      <c r="B80" s="305"/>
      <c r="C80" s="305"/>
      <c r="D80" s="305"/>
      <c r="E80" s="305"/>
      <c r="F80" s="305"/>
      <c r="H80" s="305"/>
      <c r="K80" s="411"/>
      <c r="L80" s="415"/>
    </row>
    <row r="81" spans="1:9" x14ac:dyDescent="0.2">
      <c r="H81" s="267"/>
      <c r="I81" s="402"/>
    </row>
    <row r="82" spans="1:9" x14ac:dyDescent="0.2">
      <c r="A82" s="19" t="s">
        <v>8</v>
      </c>
    </row>
    <row r="83" spans="1:9" ht="13.5" thickBot="1" x14ac:dyDescent="0.25"/>
    <row r="84" spans="1:9" ht="25.5" customHeight="1" thickBot="1" x14ac:dyDescent="0.25">
      <c r="A84" s="821" t="s">
        <v>869</v>
      </c>
      <c r="B84" s="822"/>
      <c r="C84" s="822"/>
      <c r="D84" s="822"/>
      <c r="E84" s="822"/>
      <c r="F84" s="822"/>
      <c r="G84" s="822"/>
      <c r="H84" s="823"/>
    </row>
    <row r="85" spans="1:9" x14ac:dyDescent="0.2">
      <c r="A85" s="752"/>
      <c r="B85" s="752"/>
    </row>
    <row r="86" spans="1:9" x14ac:dyDescent="0.2">
      <c r="A86" s="752"/>
      <c r="B86" s="752"/>
    </row>
    <row r="87" spans="1:9" x14ac:dyDescent="0.2">
      <c r="A87" s="752"/>
      <c r="B87" s="752"/>
    </row>
    <row r="89" spans="1:9" x14ac:dyDescent="0.2">
      <c r="B89" s="20">
        <f>B79-B19</f>
        <v>-4.3999999979860149E-2</v>
      </c>
      <c r="C89" s="20"/>
      <c r="D89" s="20">
        <f>D79-D19</f>
        <v>-0.68599999998696148</v>
      </c>
      <c r="E89" s="20"/>
      <c r="F89" s="20">
        <f>F79-F19</f>
        <v>-0.52000000001862645</v>
      </c>
      <c r="G89" s="20"/>
      <c r="H89" s="20">
        <f>H79-H19</f>
        <v>-6.8199999999706051E-2</v>
      </c>
    </row>
    <row r="90" spans="1:9" x14ac:dyDescent="0.2">
      <c r="B90" s="20"/>
    </row>
    <row r="92" spans="1:9" ht="20.25" x14ac:dyDescent="0.3">
      <c r="A92" s="824"/>
      <c r="B92" s="824"/>
      <c r="C92" s="824"/>
      <c r="D92" s="824"/>
      <c r="E92" s="824"/>
      <c r="F92" s="824"/>
      <c r="G92" s="824"/>
      <c r="H92" s="824"/>
    </row>
  </sheetData>
  <mergeCells count="3">
    <mergeCell ref="A92:H92"/>
    <mergeCell ref="A4:H4"/>
    <mergeCell ref="A84:H84"/>
  </mergeCells>
  <printOptions horizontalCentered="1"/>
  <pageMargins left="0.7" right="0.7" top="0.75" bottom="0.75" header="0.3" footer="0.3"/>
  <pageSetup scale="89" fitToHeight="0" orientation="portrait" r:id="rId1"/>
  <rowBreaks count="1" manualBreakCount="1">
    <brk id="49" max="7" man="1"/>
  </rowBreaks>
  <ignoredErrors>
    <ignoredError sqref="F4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b0d8bf0e-b15b-456f-8ae4-2bdf59acac1f" xsi:nil="true"/>
    <Publication_x0020_Date xmlns="b0d8bf0e-b15b-456f-8ae4-2bdf59acac1f" xsi:nil="true"/>
    <Sort_x0020_Order xmlns="b0d8bf0e-b15b-456f-8ae4-2bdf59acac1f" xsi:nil="true"/>
    <Category xmlns="b0d8bf0e-b15b-456f-8ae4-2bdf59acac1f" xsi:nil="true"/>
    <Resource_x0020_Category xmlns="b0d8bf0e-b15b-456f-8ae4-2bdf59acac1f" xsi:nil="true"/>
    <Resource_x0020_Group xmlns="b0d8bf0e-b15b-456f-8ae4-2bdf59acac1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5EDC1D-34FD-48D5-8901-D4DC2C8F824C}">
  <ds:schemaRefs>
    <ds:schemaRef ds:uri="http://schemas.microsoft.com/sharepoint/events"/>
  </ds:schemaRefs>
</ds:datastoreItem>
</file>

<file path=customXml/itemProps2.xml><?xml version="1.0" encoding="utf-8"?>
<ds:datastoreItem xmlns:ds="http://schemas.openxmlformats.org/officeDocument/2006/customXml" ds:itemID="{80F00315-6633-4533-93A9-319D15A34099}">
  <ds:schemaRefs>
    <ds:schemaRef ds:uri="http://schemas.microsoft.com/sharepoint/v3/contenttype/forms"/>
  </ds:schemaRefs>
</ds:datastoreItem>
</file>

<file path=customXml/itemProps3.xml><?xml version="1.0" encoding="utf-8"?>
<ds:datastoreItem xmlns:ds="http://schemas.openxmlformats.org/officeDocument/2006/customXml" ds:itemID="{65909095-7D71-4250-983B-D24D726CE743}">
  <ds:schemaRefs>
    <ds:schemaRef ds:uri="http://purl.org/dc/elements/1.1/"/>
    <ds:schemaRef ds:uri="b0d8bf0e-b15b-456f-8ae4-2bdf59acac1f"/>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d4ea4015-5b02-447c-9074-d5807a41497e"/>
    <ds:schemaRef ds:uri="http://schemas.microsoft.com/office/2006/metadata/properties"/>
  </ds:schemaRefs>
</ds:datastoreItem>
</file>

<file path=customXml/itemProps4.xml><?xml version="1.0" encoding="utf-8"?>
<ds:datastoreItem xmlns:ds="http://schemas.openxmlformats.org/officeDocument/2006/customXml" ds:itemID="{F58F888D-F5B9-43B4-969F-6BF7C37A2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3fc54b-e5a3-4ebc-8425-8e88f827fc4f}" enabled="0" method="" siteId="{033fc54b-e5a3-4ebc-8425-8e88f827fc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37</vt:i4>
      </vt:variant>
    </vt:vector>
  </HeadingPairs>
  <TitlesOfParts>
    <vt:vector size="72" baseType="lpstr">
      <vt:lpstr>1-GWNetPos</vt:lpstr>
      <vt:lpstr>2-GWStmtAct</vt:lpstr>
      <vt:lpstr>3-GASB34GovtFundsBS</vt:lpstr>
      <vt:lpstr>4-GASB34GovtFundsIS</vt:lpstr>
      <vt:lpstr>4-Recon Change Net Pos</vt:lpstr>
      <vt:lpstr>5-GASB34GovtFundsBudget</vt:lpstr>
      <vt:lpstr>6-Net Pos-Prop</vt:lpstr>
      <vt:lpstr>7-Rev, Exp-Prop</vt:lpstr>
      <vt:lpstr>8-Cash Flow-Prop</vt:lpstr>
      <vt:lpstr>RSI-SSA2</vt:lpstr>
      <vt:lpstr>RSI - LGERS1</vt:lpstr>
      <vt:lpstr>RSI - LGERS2</vt:lpstr>
      <vt:lpstr>RSI - SF1</vt:lpstr>
      <vt:lpstr>RSI - LEO 1</vt:lpstr>
      <vt:lpstr>RSI - LEO 2</vt:lpstr>
      <vt:lpstr>RSI - OPEB 1</vt:lpstr>
      <vt:lpstr>GFBud-Act</vt:lpstr>
      <vt:lpstr>Bud-Act Econ Dev in GF</vt:lpstr>
      <vt:lpstr>911-Fund</vt:lpstr>
      <vt:lpstr>CPBud-Act</vt:lpstr>
      <vt:lpstr>Comb BS-Nonmajor Govt</vt:lpstr>
      <vt:lpstr>Comb IS-Nonmajor Govt</vt:lpstr>
      <vt:lpstr>Bud-ActNon-MajorGovt</vt:lpstr>
      <vt:lpstr>SRFNon-Major Fines &amp; Forfeiture</vt:lpstr>
      <vt:lpstr>ElecFd-Bud-Act</vt:lpstr>
      <vt:lpstr>ElecStabFdBud-Act</vt:lpstr>
      <vt:lpstr>W&amp;SBud-Act</vt:lpstr>
      <vt:lpstr>W&amp;SCPBud-Act</vt:lpstr>
      <vt:lpstr>ISB-A</vt:lpstr>
      <vt:lpstr>AnalysisTaxLevy</vt:lpstr>
      <vt:lpstr>TaxesRec</vt:lpstr>
      <vt:lpstr>USDA-WSF SNP</vt:lpstr>
      <vt:lpstr>USDA-WSF SOA</vt:lpstr>
      <vt:lpstr>USDA-WSF SCF</vt:lpstr>
      <vt:lpstr>Major Fund Det</vt:lpstr>
      <vt:lpstr>'1-GWNetPos'!Print_Area</vt:lpstr>
      <vt:lpstr>'2-GWStmtAct'!Print_Area</vt:lpstr>
      <vt:lpstr>'3-GASB34GovtFundsBS'!Print_Area</vt:lpstr>
      <vt:lpstr>'4-GASB34GovtFundsIS'!Print_Area</vt:lpstr>
      <vt:lpstr>'4-Recon Change Net Pos'!Print_Area</vt:lpstr>
      <vt:lpstr>'5-GASB34GovtFundsBudget'!Print_Area</vt:lpstr>
      <vt:lpstr>'6-Net Pos-Prop'!Print_Area</vt:lpstr>
      <vt:lpstr>'7-Rev, Exp-Prop'!Print_Area</vt:lpstr>
      <vt:lpstr>'8-Cash Flow-Prop'!Print_Area</vt:lpstr>
      <vt:lpstr>'911-Fund'!Print_Area</vt:lpstr>
      <vt:lpstr>AnalysisTaxLevy!Print_Area</vt:lpstr>
      <vt:lpstr>'Bud-Act Econ Dev in GF'!Print_Area</vt:lpstr>
      <vt:lpstr>'Bud-ActNon-MajorGovt'!Print_Area</vt:lpstr>
      <vt:lpstr>'Comb BS-Nonmajor Govt'!Print_Area</vt:lpstr>
      <vt:lpstr>'Comb IS-Nonmajor Govt'!Print_Area</vt:lpstr>
      <vt:lpstr>'CPBud-Act'!Print_Area</vt:lpstr>
      <vt:lpstr>'ElecFd-Bud-Act'!Print_Area</vt:lpstr>
      <vt:lpstr>'ElecStabFdBud-Act'!Print_Area</vt:lpstr>
      <vt:lpstr>'GFBud-Act'!Print_Area</vt:lpstr>
      <vt:lpstr>'ISB-A'!Print_Area</vt:lpstr>
      <vt:lpstr>'Major Fund Det'!Print_Area</vt:lpstr>
      <vt:lpstr>'RSI - LEO 1'!Print_Area</vt:lpstr>
      <vt:lpstr>'RSI - LEO 2'!Print_Area</vt:lpstr>
      <vt:lpstr>'RSI - LGERS1'!Print_Area</vt:lpstr>
      <vt:lpstr>'RSI - LGERS2'!Print_Area</vt:lpstr>
      <vt:lpstr>'RSI - OPEB 1'!Print_Area</vt:lpstr>
      <vt:lpstr>'RSI - SF1'!Print_Area</vt:lpstr>
      <vt:lpstr>'RSI-SSA2'!Print_Area</vt:lpstr>
      <vt:lpstr>TaxesRec!Print_Area</vt:lpstr>
      <vt:lpstr>'USDA-WSF SCF'!Print_Area</vt:lpstr>
      <vt:lpstr>'USDA-WSF SNP'!Print_Area</vt:lpstr>
      <vt:lpstr>'USDA-WSF SOA'!Print_Area</vt:lpstr>
      <vt:lpstr>'W&amp;SBud-Act'!Print_Area</vt:lpstr>
      <vt:lpstr>'W&amp;SCPBud-Act'!Print_Area</vt:lpstr>
      <vt:lpstr>'ElecFd-Bud-Act'!Print_Titles</vt:lpstr>
      <vt:lpstr>'GFBud-Act'!Print_Titles</vt:lpstr>
      <vt:lpstr>'W&amp;SBud-Act'!Print_Titles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Samatha Cox</dc:creator>
  <cp:lastModifiedBy>Becky Dzingeleski</cp:lastModifiedBy>
  <cp:lastPrinted>2025-11-18T21:11:23Z</cp:lastPrinted>
  <dcterms:created xsi:type="dcterms:W3CDTF">2001-01-26T20:11:38Z</dcterms:created>
  <dcterms:modified xsi:type="dcterms:W3CDTF">2025-11-25T20:38:29Z</dcterms:modified>
</cp:coreProperties>
</file>